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125" windowHeight="1230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79" r:id="rId29"/>
    <sheet name=" SEFA (2)" sheetId="183" r:id="rId30"/>
    <sheet name=" SEFA (3)" sheetId="184" r:id="rId31"/>
    <sheet name="SF&amp;QC Sec-1" sheetId="174" r:id="rId32"/>
    <sheet name="SF&amp;QC Sec-2" sheetId="175" r:id="rId33"/>
    <sheet name="SF&amp;QC Sec-2 (2)" sheetId="176" r:id="rId34"/>
    <sheet name="SF&amp;QC Sec-2 (3)" sheetId="185" r:id="rId35"/>
    <sheet name="SF&amp;QC Sec-2 (4)" sheetId="186" r:id="rId36"/>
    <sheet name="SF&amp;QC Sec-2 (5)" sheetId="187" r:id="rId37"/>
    <sheet name="SF&amp;QC Sec-2 (6)" sheetId="188" r:id="rId38"/>
    <sheet name="SSPAF" sheetId="177" r:id="rId39"/>
  </sheets>
  <externalReferences>
    <externalReference r:id="rId40"/>
  </externalReferences>
  <definedNames>
    <definedName name="_xlnm.Print_Area" localSheetId="28">' SEFA (1)'!$B$1:$M$46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Sec-2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c r="B4" i="186"/>
  <c r="B4" i="185"/>
  <c r="H364" i="29"/>
  <c r="H356" i="29"/>
  <c r="I351" i="29"/>
  <c r="E351" i="29"/>
  <c r="I349" i="29"/>
  <c r="E349" i="29"/>
  <c r="I348" i="29"/>
  <c r="E348" i="29"/>
  <c r="H338" i="29"/>
  <c r="J329" i="29"/>
  <c r="F329" i="29"/>
  <c r="J328" i="29"/>
  <c r="F328" i="29"/>
  <c r="J327" i="29"/>
  <c r="F327" i="29"/>
  <c r="J326" i="29"/>
  <c r="F326" i="29"/>
  <c r="J325" i="29"/>
  <c r="F325" i="29"/>
  <c r="J324" i="29"/>
  <c r="F324" i="29"/>
  <c r="J323" i="29"/>
  <c r="F323" i="29"/>
  <c r="J322" i="29"/>
  <c r="F322" i="29"/>
  <c r="J321" i="29"/>
  <c r="F321" i="29"/>
  <c r="J320" i="29"/>
  <c r="D320" i="29"/>
  <c r="H319" i="29"/>
  <c r="D319" i="29"/>
  <c r="H308" i="29"/>
  <c r="H306" i="29"/>
  <c r="H302" i="29"/>
  <c r="D302" i="29"/>
  <c r="H301" i="29"/>
  <c r="D301" i="29"/>
  <c r="H290" i="29"/>
  <c r="D283" i="29"/>
  <c r="D276" i="29"/>
  <c r="D272" i="29"/>
  <c r="D266" i="29"/>
  <c r="D260" i="29"/>
  <c r="D254" i="29"/>
  <c r="D250" i="29"/>
  <c r="D246" i="29"/>
  <c r="D240" i="29"/>
  <c r="D234" i="29"/>
  <c r="D227" i="29"/>
  <c r="D223" i="29"/>
  <c r="D219" i="29"/>
  <c r="D215" i="29"/>
  <c r="H203" i="29"/>
  <c r="H199" i="29"/>
  <c r="E193" i="29"/>
  <c r="E191" i="29"/>
  <c r="E189" i="29"/>
  <c r="I185" i="29"/>
  <c r="E185" i="29"/>
  <c r="I183" i="29"/>
  <c r="E183" i="29"/>
  <c r="I182" i="29"/>
  <c r="D182" i="29"/>
  <c r="H180" i="29"/>
  <c r="D180" i="29"/>
  <c r="H169" i="29"/>
  <c r="H164" i="29"/>
  <c r="H157" i="29"/>
  <c r="H144" i="29"/>
  <c r="E138" i="29"/>
  <c r="E135" i="29"/>
  <c r="E133" i="29"/>
  <c r="G130" i="29"/>
  <c r="C130" i="29"/>
  <c r="G128" i="29"/>
  <c r="C128" i="29"/>
  <c r="I125" i="29"/>
  <c r="E125" i="29"/>
  <c r="I124" i="29"/>
  <c r="E124" i="29"/>
  <c r="I123" i="29"/>
  <c r="E123" i="29"/>
  <c r="I122" i="29"/>
  <c r="E122" i="29"/>
  <c r="I120" i="29"/>
  <c r="E120" i="29"/>
  <c r="H109" i="29"/>
  <c r="H105" i="29"/>
  <c r="E99" i="29"/>
  <c r="H95" i="29"/>
  <c r="H90" i="29"/>
  <c r="H86" i="29"/>
  <c r="H82" i="29"/>
  <c r="H80" i="29"/>
  <c r="H78" i="29"/>
  <c r="H75" i="29"/>
  <c r="D75" i="29"/>
  <c r="H73" i="29"/>
  <c r="D73" i="29"/>
  <c r="H71" i="29"/>
  <c r="D71" i="29"/>
  <c r="H70" i="29"/>
  <c r="D70" i="29"/>
  <c r="H69" i="29"/>
  <c r="D69" i="29"/>
  <c r="H68" i="29"/>
  <c r="D68" i="29"/>
  <c r="H67" i="29"/>
  <c r="D67" i="29"/>
  <c r="H64" i="29"/>
  <c r="D64" i="29"/>
  <c r="H63" i="29"/>
  <c r="D63" i="29"/>
  <c r="H62" i="29"/>
  <c r="D62" i="29"/>
  <c r="H61" i="29"/>
  <c r="D61" i="29"/>
  <c r="H60" i="29"/>
  <c r="D60" i="29"/>
  <c r="H59" i="29"/>
  <c r="D59" i="29"/>
  <c r="H56" i="29"/>
  <c r="H363" i="29"/>
  <c r="H355" i="29"/>
  <c r="H351" i="29"/>
  <c r="D351" i="29"/>
  <c r="H349" i="29"/>
  <c r="D349" i="29"/>
  <c r="H348" i="29"/>
  <c r="D348" i="29"/>
  <c r="H337" i="29"/>
  <c r="I329" i="29"/>
  <c r="E329" i="29"/>
  <c r="I328" i="29"/>
  <c r="E328" i="29"/>
  <c r="I327" i="29"/>
  <c r="E327" i="29"/>
  <c r="I326" i="29"/>
  <c r="E326" i="29"/>
  <c r="I325" i="29"/>
  <c r="E325" i="29"/>
  <c r="I324" i="29"/>
  <c r="E324" i="29"/>
  <c r="I323" i="29"/>
  <c r="E323" i="29"/>
  <c r="I322" i="29"/>
  <c r="E322" i="29"/>
  <c r="I321" i="29"/>
  <c r="E321" i="29"/>
  <c r="I320" i="29"/>
  <c r="C320" i="29"/>
  <c r="G319" i="29"/>
  <c r="C319" i="29"/>
  <c r="E308" i="29"/>
  <c r="E306" i="29"/>
  <c r="G302" i="29"/>
  <c r="C302" i="29"/>
  <c r="G301" i="29"/>
  <c r="C301" i="29"/>
  <c r="H289" i="29"/>
  <c r="D282" i="29"/>
  <c r="D275" i="29"/>
  <c r="D269" i="29"/>
  <c r="D265" i="29"/>
  <c r="D259" i="29"/>
  <c r="D253" i="29"/>
  <c r="D249" i="29"/>
  <c r="D245" i="29"/>
  <c r="D237" i="29"/>
  <c r="D233" i="29"/>
  <c r="D226" i="29"/>
  <c r="D222" i="29"/>
  <c r="D218" i="29"/>
  <c r="H207" i="29"/>
  <c r="H202" i="29"/>
  <c r="H195" i="29"/>
  <c r="H192" i="29"/>
  <c r="H190" i="29"/>
  <c r="H188" i="29"/>
  <c r="H185" i="29"/>
  <c r="D185" i="29"/>
  <c r="H183" i="29"/>
  <c r="D183" i="29"/>
  <c r="H182" i="29"/>
  <c r="C182" i="29"/>
  <c r="G180" i="29"/>
  <c r="C180" i="29"/>
  <c r="H167" i="29"/>
  <c r="H163" i="29"/>
  <c r="H148" i="29"/>
  <c r="H143" i="29"/>
  <c r="H136" i="29"/>
  <c r="H134" i="29"/>
  <c r="J130" i="29"/>
  <c r="F130" i="29"/>
  <c r="J128" i="29"/>
  <c r="F128" i="29"/>
  <c r="I126" i="29"/>
  <c r="H125" i="29"/>
  <c r="D125" i="29"/>
  <c r="H124" i="29"/>
  <c r="D124" i="29"/>
  <c r="H123" i="29"/>
  <c r="D123" i="29"/>
  <c r="H122" i="29"/>
  <c r="D122" i="29"/>
  <c r="H120" i="29"/>
  <c r="D120" i="29"/>
  <c r="H108" i="29"/>
  <c r="H101" i="29"/>
  <c r="H98" i="29"/>
  <c r="H94" i="29"/>
  <c r="H89" i="29"/>
  <c r="H85" i="29"/>
  <c r="E82" i="29"/>
  <c r="E80" i="29"/>
  <c r="E78" i="29"/>
  <c r="G75" i="29"/>
  <c r="C75" i="29"/>
  <c r="G73" i="29"/>
  <c r="C73" i="29"/>
  <c r="G71" i="29"/>
  <c r="C71" i="29"/>
  <c r="G70" i="29"/>
  <c r="C70" i="29"/>
  <c r="G69" i="29"/>
  <c r="C69" i="29"/>
  <c r="G68" i="29"/>
  <c r="C68" i="29"/>
  <c r="G67" i="29"/>
  <c r="C67" i="29"/>
  <c r="G64" i="29"/>
  <c r="C64" i="29"/>
  <c r="G63" i="29"/>
  <c r="C63" i="29"/>
  <c r="G62" i="29"/>
  <c r="C62" i="29"/>
  <c r="G61" i="29"/>
  <c r="C61" i="29"/>
  <c r="G60" i="29"/>
  <c r="C60" i="29"/>
  <c r="G59" i="29"/>
  <c r="C59" i="29"/>
  <c r="G56" i="29"/>
  <c r="C56" i="29"/>
  <c r="G55" i="29"/>
  <c r="C55" i="29"/>
  <c r="G52" i="29"/>
  <c r="C52" i="29"/>
  <c r="H361" i="29"/>
  <c r="H354" i="29"/>
  <c r="G351" i="29"/>
  <c r="C351" i="29"/>
  <c r="G349" i="29"/>
  <c r="C349" i="29"/>
  <c r="G348" i="29"/>
  <c r="C348" i="29"/>
  <c r="H333" i="29"/>
  <c r="H329" i="29"/>
  <c r="D329" i="29"/>
  <c r="H328" i="29"/>
  <c r="D328" i="29"/>
  <c r="H327" i="29"/>
  <c r="D327" i="29"/>
  <c r="H326" i="29"/>
  <c r="D326" i="29"/>
  <c r="H325" i="29"/>
  <c r="D325" i="29"/>
  <c r="H324" i="29"/>
  <c r="D324" i="29"/>
  <c r="H323" i="29"/>
  <c r="D323" i="29"/>
  <c r="H322" i="29"/>
  <c r="D322" i="29"/>
  <c r="H321" i="29"/>
  <c r="D321" i="29"/>
  <c r="H320" i="29"/>
  <c r="J319" i="29"/>
  <c r="F319" i="29"/>
  <c r="H309" i="29"/>
  <c r="H307" i="29"/>
  <c r="J302" i="29"/>
  <c r="F302" i="29"/>
  <c r="J301" i="29"/>
  <c r="F301" i="29"/>
  <c r="H292" i="29"/>
  <c r="H288" i="29"/>
  <c r="D280" i="29"/>
  <c r="D274" i="29"/>
  <c r="D268" i="29"/>
  <c r="D264" i="29"/>
  <c r="D256" i="29"/>
  <c r="D252" i="29"/>
  <c r="D248" i="29"/>
  <c r="D242" i="29"/>
  <c r="D236" i="29"/>
  <c r="D232" i="29"/>
  <c r="D225" i="29"/>
  <c r="D221" i="29"/>
  <c r="D217" i="29"/>
  <c r="H206" i="29"/>
  <c r="H201" i="29"/>
  <c r="E195" i="29"/>
  <c r="E192" i="29"/>
  <c r="E190" i="29"/>
  <c r="E188" i="29"/>
  <c r="G185" i="29"/>
  <c r="C185" i="29"/>
  <c r="G183" i="29"/>
  <c r="C183" i="29"/>
  <c r="F182" i="29"/>
  <c r="J180" i="29"/>
  <c r="F180" i="29"/>
  <c r="H171" i="29"/>
  <c r="H166" i="29"/>
  <c r="H159" i="29"/>
  <c r="H146" i="29"/>
  <c r="H142" i="29"/>
  <c r="E136" i="29"/>
  <c r="E134" i="29"/>
  <c r="I130" i="29"/>
  <c r="E130" i="29"/>
  <c r="I128" i="29"/>
  <c r="E128" i="29"/>
  <c r="G126" i="29"/>
  <c r="G125" i="29"/>
  <c r="C125" i="29"/>
  <c r="G124" i="29"/>
  <c r="C124" i="29"/>
  <c r="G123" i="29"/>
  <c r="C123" i="29"/>
  <c r="G122" i="29"/>
  <c r="C122" i="29"/>
  <c r="G120" i="29"/>
  <c r="C120" i="29"/>
  <c r="H107" i="29"/>
  <c r="E101" i="29"/>
  <c r="H97" i="29"/>
  <c r="H93" i="29"/>
  <c r="H88" i="29"/>
  <c r="H83" i="29"/>
  <c r="H81" i="29"/>
  <c r="H79" i="29"/>
  <c r="J75" i="29"/>
  <c r="F75" i="29"/>
  <c r="J73" i="29"/>
  <c r="F73" i="29"/>
  <c r="J71" i="29"/>
  <c r="F71" i="29"/>
  <c r="J70" i="29"/>
  <c r="F70" i="29"/>
  <c r="J69" i="29"/>
  <c r="F69" i="29"/>
  <c r="J68" i="29"/>
  <c r="F68" i="29"/>
  <c r="J67" i="29"/>
  <c r="F67" i="29"/>
  <c r="J64" i="29"/>
  <c r="F64" i="29"/>
  <c r="J63" i="29"/>
  <c r="F63" i="29"/>
  <c r="J62" i="29"/>
  <c r="F62" i="29"/>
  <c r="J61" i="29"/>
  <c r="F61" i="29"/>
  <c r="J60" i="29"/>
  <c r="F60" i="29"/>
  <c r="J59" i="29"/>
  <c r="F59" i="29"/>
  <c r="J56" i="29"/>
  <c r="F56" i="29"/>
  <c r="J55" i="29"/>
  <c r="F55" i="29"/>
  <c r="J52" i="29"/>
  <c r="F52" i="29"/>
  <c r="J51" i="29"/>
  <c r="H360" i="29"/>
  <c r="J351" i="29"/>
  <c r="J348" i="29"/>
  <c r="G329" i="29"/>
  <c r="G327" i="29"/>
  <c r="G325" i="29"/>
  <c r="G323" i="29"/>
  <c r="G321" i="29"/>
  <c r="E319" i="29"/>
  <c r="E302" i="29"/>
  <c r="D284" i="29"/>
  <c r="D263" i="29"/>
  <c r="D241" i="29"/>
  <c r="D220" i="29"/>
  <c r="H193" i="29"/>
  <c r="F185" i="29"/>
  <c r="E182" i="29"/>
  <c r="H165" i="29"/>
  <c r="H135" i="29"/>
  <c r="H128" i="29"/>
  <c r="J124" i="29"/>
  <c r="J122" i="29"/>
  <c r="H111" i="29"/>
  <c r="H91" i="29"/>
  <c r="E79" i="29"/>
  <c r="E73" i="29"/>
  <c r="E70" i="29"/>
  <c r="E68" i="29"/>
  <c r="E64" i="29"/>
  <c r="E62" i="29"/>
  <c r="E60" i="29"/>
  <c r="E56" i="29"/>
  <c r="E55" i="29"/>
  <c r="E52" i="29"/>
  <c r="G51" i="29"/>
  <c r="C51" i="29"/>
  <c r="G50" i="29"/>
  <c r="C50" i="29"/>
  <c r="G49" i="29"/>
  <c r="C49" i="29"/>
  <c r="G46" i="29"/>
  <c r="C46" i="29"/>
  <c r="G45" i="29"/>
  <c r="C45" i="29"/>
  <c r="G44" i="29"/>
  <c r="C44" i="29"/>
  <c r="G41" i="29"/>
  <c r="C41" i="29"/>
  <c r="G40" i="29"/>
  <c r="C40" i="29"/>
  <c r="G39" i="29"/>
  <c r="C39" i="29"/>
  <c r="G38" i="29"/>
  <c r="C38" i="29"/>
  <c r="G37" i="29"/>
  <c r="C37" i="29"/>
  <c r="G36" i="29"/>
  <c r="C36" i="29"/>
  <c r="H29" i="29"/>
  <c r="H25" i="29"/>
  <c r="H21" i="29"/>
  <c r="H19" i="29"/>
  <c r="D19" i="29"/>
  <c r="H18" i="29"/>
  <c r="D18" i="29"/>
  <c r="H17" i="29"/>
  <c r="D17" i="29"/>
  <c r="H16" i="29"/>
  <c r="D16" i="29"/>
  <c r="H15" i="29"/>
  <c r="D15" i="29"/>
  <c r="H14" i="29"/>
  <c r="D14" i="29"/>
  <c r="H13" i="29"/>
  <c r="D13" i="29"/>
  <c r="H12" i="29"/>
  <c r="D12" i="29"/>
  <c r="H11" i="29"/>
  <c r="D11" i="29"/>
  <c r="H10" i="29"/>
  <c r="D10" i="29"/>
  <c r="H9" i="29"/>
  <c r="D9" i="29"/>
  <c r="H8" i="29"/>
  <c r="D8" i="29"/>
  <c r="H7" i="29"/>
  <c r="D7" i="29"/>
  <c r="I5" i="29"/>
  <c r="E5" i="29"/>
  <c r="F351" i="29"/>
  <c r="F348" i="29"/>
  <c r="C329" i="29"/>
  <c r="C327" i="29"/>
  <c r="C325" i="29"/>
  <c r="C323" i="29"/>
  <c r="C321" i="29"/>
  <c r="E309" i="29"/>
  <c r="I301" i="29"/>
  <c r="D278" i="29"/>
  <c r="D255" i="29"/>
  <c r="D235" i="29"/>
  <c r="D216" i="29"/>
  <c r="H191" i="29"/>
  <c r="J183" i="29"/>
  <c r="I180" i="29"/>
  <c r="H158" i="29"/>
  <c r="H133" i="29"/>
  <c r="D128" i="29"/>
  <c r="F124" i="29"/>
  <c r="F122" i="29"/>
  <c r="H106" i="29"/>
  <c r="H87" i="29"/>
  <c r="I75" i="29"/>
  <c r="I71" i="29"/>
  <c r="I69" i="29"/>
  <c r="I67" i="29"/>
  <c r="I63" i="29"/>
  <c r="I61" i="29"/>
  <c r="I59" i="29"/>
  <c r="D56" i="29"/>
  <c r="D55" i="29"/>
  <c r="D52" i="29"/>
  <c r="F51" i="29"/>
  <c r="J50" i="29"/>
  <c r="F50" i="29"/>
  <c r="J49" i="29"/>
  <c r="F49" i="29"/>
  <c r="J46" i="29"/>
  <c r="F46" i="29"/>
  <c r="J45" i="29"/>
  <c r="F45" i="29"/>
  <c r="J44" i="29"/>
  <c r="F44" i="29"/>
  <c r="J41" i="29"/>
  <c r="F41" i="29"/>
  <c r="J40" i="29"/>
  <c r="F40" i="29"/>
  <c r="J39" i="29"/>
  <c r="F39" i="29"/>
  <c r="J38" i="29"/>
  <c r="F38" i="29"/>
  <c r="J37" i="29"/>
  <c r="F37" i="29"/>
  <c r="J36" i="29"/>
  <c r="F36" i="29"/>
  <c r="H32" i="29"/>
  <c r="H28" i="29"/>
  <c r="H24" i="29"/>
  <c r="H20" i="29"/>
  <c r="G19" i="29"/>
  <c r="C19" i="29"/>
  <c r="G18" i="29"/>
  <c r="C18" i="29"/>
  <c r="G17" i="29"/>
  <c r="C17" i="29"/>
  <c r="G16" i="29"/>
  <c r="C16" i="29"/>
  <c r="G15" i="29"/>
  <c r="C15" i="29"/>
  <c r="G14" i="29"/>
  <c r="C14" i="29"/>
  <c r="G13" i="29"/>
  <c r="C13" i="29"/>
  <c r="G12" i="29"/>
  <c r="C12" i="29"/>
  <c r="G11" i="29"/>
  <c r="C11" i="29"/>
  <c r="G10" i="29"/>
  <c r="C10" i="29"/>
  <c r="G9" i="29"/>
  <c r="C9" i="29"/>
  <c r="G8" i="29"/>
  <c r="C8" i="29"/>
  <c r="G7" i="29"/>
  <c r="C7" i="29"/>
  <c r="H5" i="29"/>
  <c r="D5" i="29"/>
  <c r="J349" i="29"/>
  <c r="H339" i="29"/>
  <c r="G328" i="29"/>
  <c r="G326" i="29"/>
  <c r="G324" i="29"/>
  <c r="G322" i="29"/>
  <c r="F320" i="29"/>
  <c r="E307" i="29"/>
  <c r="E301" i="29"/>
  <c r="D273" i="29"/>
  <c r="D251" i="29"/>
  <c r="D228" i="29"/>
  <c r="H205" i="29"/>
  <c r="H189" i="29"/>
  <c r="F183" i="29"/>
  <c r="E180" i="29"/>
  <c r="H145" i="29"/>
  <c r="H130" i="29"/>
  <c r="J125" i="29"/>
  <c r="J123" i="29"/>
  <c r="J120" i="29"/>
  <c r="H99" i="29"/>
  <c r="E83" i="29"/>
  <c r="E75" i="29"/>
  <c r="E71" i="29"/>
  <c r="E69" i="29"/>
  <c r="E67" i="29"/>
  <c r="E63" i="29"/>
  <c r="E61" i="29"/>
  <c r="E59" i="29"/>
  <c r="I55" i="29"/>
  <c r="I52" i="29"/>
  <c r="I51" i="29"/>
  <c r="E51" i="29"/>
  <c r="I50" i="29"/>
  <c r="E50" i="29"/>
  <c r="I49" i="29"/>
  <c r="E49" i="29"/>
  <c r="I46" i="29"/>
  <c r="E46" i="29"/>
  <c r="I45" i="29"/>
  <c r="E45" i="29"/>
  <c r="I44" i="29"/>
  <c r="E44" i="29"/>
  <c r="I41" i="29"/>
  <c r="E41" i="29"/>
  <c r="I40" i="29"/>
  <c r="E40" i="29"/>
  <c r="I39" i="29"/>
  <c r="E39" i="29"/>
  <c r="I38" i="29"/>
  <c r="E38" i="29"/>
  <c r="I37" i="29"/>
  <c r="E37" i="29"/>
  <c r="I36" i="29"/>
  <c r="E36" i="29"/>
  <c r="H31" i="29"/>
  <c r="H27" i="29"/>
  <c r="H23" i="29"/>
  <c r="J19" i="29"/>
  <c r="F19" i="29"/>
  <c r="J18" i="29"/>
  <c r="F18" i="29"/>
  <c r="J17" i="29"/>
  <c r="F17" i="29"/>
  <c r="J16" i="29"/>
  <c r="F16" i="29"/>
  <c r="J15" i="29"/>
  <c r="F15" i="29"/>
  <c r="J14" i="29"/>
  <c r="F14" i="29"/>
  <c r="J13" i="29"/>
  <c r="F13" i="29"/>
  <c r="J12" i="29"/>
  <c r="F12" i="29"/>
  <c r="J11" i="29"/>
  <c r="F11" i="29"/>
  <c r="J10" i="29"/>
  <c r="F10" i="29"/>
  <c r="J9" i="29"/>
  <c r="F9" i="29"/>
  <c r="J8" i="29"/>
  <c r="F8" i="29"/>
  <c r="J7" i="29"/>
  <c r="F7" i="29"/>
  <c r="E6" i="29"/>
  <c r="G5" i="29"/>
  <c r="C5" i="29"/>
  <c r="F349" i="29"/>
  <c r="H332" i="29"/>
  <c r="C328" i="29"/>
  <c r="C326" i="29"/>
  <c r="C324" i="29"/>
  <c r="C322" i="29"/>
  <c r="I319" i="29"/>
  <c r="I302" i="29"/>
  <c r="H291" i="29"/>
  <c r="D267" i="29"/>
  <c r="D247" i="29"/>
  <c r="D224" i="29"/>
  <c r="H200" i="29"/>
  <c r="J185" i="29"/>
  <c r="J182" i="29"/>
  <c r="H170" i="29"/>
  <c r="H138" i="29"/>
  <c r="D130" i="29"/>
  <c r="F125" i="29"/>
  <c r="F123" i="29"/>
  <c r="F120" i="29"/>
  <c r="H96" i="29"/>
  <c r="E81" i="29"/>
  <c r="I73" i="29"/>
  <c r="I70" i="29"/>
  <c r="I68" i="29"/>
  <c r="I64" i="29"/>
  <c r="I62" i="29"/>
  <c r="I60" i="29"/>
  <c r="I56" i="29"/>
  <c r="H55" i="29"/>
  <c r="H52" i="29"/>
  <c r="H51" i="29"/>
  <c r="D51" i="29"/>
  <c r="H50" i="29"/>
  <c r="D50" i="29"/>
  <c r="H49" i="29"/>
  <c r="D49" i="29"/>
  <c r="H46" i="29"/>
  <c r="D46" i="29"/>
  <c r="H45" i="29"/>
  <c r="D45" i="29"/>
  <c r="H44" i="29"/>
  <c r="D44" i="29"/>
  <c r="H41" i="29"/>
  <c r="D41" i="29"/>
  <c r="H40" i="29"/>
  <c r="D40" i="29"/>
  <c r="H39" i="29"/>
  <c r="D39" i="29"/>
  <c r="H38" i="29"/>
  <c r="D38" i="29"/>
  <c r="H37" i="29"/>
  <c r="D37" i="29"/>
  <c r="H36" i="29"/>
  <c r="D36" i="29"/>
  <c r="H30" i="29"/>
  <c r="H26" i="29"/>
  <c r="H22" i="29"/>
  <c r="I19" i="29"/>
  <c r="E19" i="29"/>
  <c r="I18" i="29"/>
  <c r="E18" i="29"/>
  <c r="I17" i="29"/>
  <c r="E17" i="29"/>
  <c r="I16" i="29"/>
  <c r="E16" i="29"/>
  <c r="I15" i="29"/>
  <c r="E15" i="29"/>
  <c r="I14" i="29"/>
  <c r="E14" i="29"/>
  <c r="I13" i="29"/>
  <c r="E13" i="29"/>
  <c r="I12" i="29"/>
  <c r="E12" i="29"/>
  <c r="I11" i="29"/>
  <c r="E11" i="29"/>
  <c r="I10" i="29"/>
  <c r="E10" i="29"/>
  <c r="I9" i="29"/>
  <c r="E9" i="29"/>
  <c r="I8" i="29"/>
  <c r="E8" i="29"/>
  <c r="I7" i="29"/>
  <c r="E7" i="29"/>
  <c r="J5" i="29"/>
  <c r="F5" i="29"/>
  <c r="I75" i="4"/>
  <c r="E75" i="4"/>
  <c r="H74" i="4"/>
  <c r="C74" i="4"/>
  <c r="C69" i="4"/>
  <c r="D61" i="4"/>
  <c r="C57" i="4"/>
  <c r="F50" i="4"/>
  <c r="D49" i="4"/>
  <c r="I43" i="4"/>
  <c r="D43" i="4"/>
  <c r="G42" i="4"/>
  <c r="C42" i="4"/>
  <c r="G36" i="4"/>
  <c r="C36" i="4"/>
  <c r="H35" i="4"/>
  <c r="C35" i="4"/>
  <c r="H34" i="4"/>
  <c r="C34" i="4"/>
  <c r="H33" i="4"/>
  <c r="C33" i="4"/>
  <c r="K28" i="4"/>
  <c r="G28" i="4"/>
  <c r="F27" i="4"/>
  <c r="J26" i="4"/>
  <c r="E26" i="4"/>
  <c r="J25" i="4"/>
  <c r="E25" i="4"/>
  <c r="H32" i="3"/>
  <c r="K31" i="3"/>
  <c r="G31" i="3"/>
  <c r="C31" i="3"/>
  <c r="H30" i="3"/>
  <c r="D30" i="3"/>
  <c r="I28" i="3"/>
  <c r="E28" i="3"/>
  <c r="J27" i="3"/>
  <c r="F27" i="3"/>
  <c r="K26" i="3"/>
  <c r="G26" i="3"/>
  <c r="C26" i="3"/>
  <c r="G25" i="3"/>
  <c r="C25" i="3"/>
  <c r="H12" i="3"/>
  <c r="D12" i="3"/>
  <c r="I11" i="3"/>
  <c r="E11" i="3"/>
  <c r="J10" i="3"/>
  <c r="F10" i="3"/>
  <c r="K9" i="3"/>
  <c r="G9" i="3"/>
  <c r="C9" i="3"/>
  <c r="H8" i="3"/>
  <c r="D8" i="3"/>
  <c r="I7" i="3"/>
  <c r="E7" i="3"/>
  <c r="J6" i="3"/>
  <c r="F6" i="3"/>
  <c r="G5" i="3"/>
  <c r="J4" i="3"/>
  <c r="F4" i="3"/>
  <c r="H6" i="3"/>
  <c r="H4" i="3"/>
  <c r="G4" i="3"/>
  <c r="H75" i="4"/>
  <c r="D75" i="4"/>
  <c r="G74" i="4"/>
  <c r="D73" i="4"/>
  <c r="D65" i="4"/>
  <c r="C61" i="4"/>
  <c r="J50" i="4"/>
  <c r="E50" i="4"/>
  <c r="C49" i="4"/>
  <c r="H43" i="4"/>
  <c r="C43" i="4"/>
  <c r="F42" i="4"/>
  <c r="K36" i="4"/>
  <c r="F36" i="4"/>
  <c r="K35" i="4"/>
  <c r="F35" i="4"/>
  <c r="K34" i="4"/>
  <c r="F34" i="4"/>
  <c r="K33" i="4"/>
  <c r="F33" i="4"/>
  <c r="E31" i="4"/>
  <c r="J28" i="4"/>
  <c r="F28" i="4"/>
  <c r="D27" i="4"/>
  <c r="H26" i="4"/>
  <c r="D26" i="4"/>
  <c r="H25" i="4"/>
  <c r="D25" i="4"/>
  <c r="K32" i="3"/>
  <c r="G32" i="3"/>
  <c r="J31" i="3"/>
  <c r="F31" i="3"/>
  <c r="K30" i="3"/>
  <c r="G30" i="3"/>
  <c r="C30" i="3"/>
  <c r="H28" i="3"/>
  <c r="D28" i="3"/>
  <c r="I27" i="3"/>
  <c r="E27" i="3"/>
  <c r="J26" i="3"/>
  <c r="F26" i="3"/>
  <c r="K25" i="3"/>
  <c r="F25" i="3"/>
  <c r="K12" i="3"/>
  <c r="G12" i="3"/>
  <c r="C12" i="3"/>
  <c r="H11" i="3"/>
  <c r="D11" i="3"/>
  <c r="I10" i="3"/>
  <c r="E10" i="3"/>
  <c r="J9" i="3"/>
  <c r="F9" i="3"/>
  <c r="K8" i="3"/>
  <c r="G8" i="3"/>
  <c r="C8" i="3"/>
  <c r="H7" i="3"/>
  <c r="D7" i="3"/>
  <c r="I6" i="3"/>
  <c r="E6" i="3"/>
  <c r="D5" i="3"/>
  <c r="I4" i="3"/>
  <c r="E4" i="3"/>
  <c r="C5" i="3"/>
  <c r="K4" i="3"/>
  <c r="K75" i="4"/>
  <c r="G75" i="4"/>
  <c r="C75" i="4"/>
  <c r="F74" i="4"/>
  <c r="C73" i="4"/>
  <c r="C65" i="4"/>
  <c r="H57" i="4"/>
  <c r="H50" i="4"/>
  <c r="D50" i="4"/>
  <c r="K43" i="4"/>
  <c r="G43" i="4"/>
  <c r="K42" i="4"/>
  <c r="E42" i="4"/>
  <c r="J36" i="4"/>
  <c r="E36" i="4"/>
  <c r="J35" i="4"/>
  <c r="E35" i="4"/>
  <c r="J34" i="4"/>
  <c r="E34" i="4"/>
  <c r="J33" i="4"/>
  <c r="E33" i="4"/>
  <c r="D30" i="4"/>
  <c r="I28" i="4"/>
  <c r="D28" i="4"/>
  <c r="C27" i="4"/>
  <c r="G26" i="4"/>
  <c r="C26" i="4"/>
  <c r="G25" i="4"/>
  <c r="C25" i="4"/>
  <c r="J32" i="3"/>
  <c r="D32" i="3"/>
  <c r="I31" i="3"/>
  <c r="E31" i="3"/>
  <c r="J30" i="3"/>
  <c r="F30" i="3"/>
  <c r="K28" i="3"/>
  <c r="G28" i="3"/>
  <c r="C28" i="3"/>
  <c r="H27" i="3"/>
  <c r="D27" i="3"/>
  <c r="I26" i="3"/>
  <c r="E26" i="3"/>
  <c r="J25" i="3"/>
  <c r="E25" i="3"/>
  <c r="J12" i="3"/>
  <c r="F12" i="3"/>
  <c r="K11" i="3"/>
  <c r="G11" i="3"/>
  <c r="C11" i="3"/>
  <c r="H10" i="3"/>
  <c r="D10" i="3"/>
  <c r="I9" i="3"/>
  <c r="E9" i="3"/>
  <c r="J8" i="3"/>
  <c r="F8" i="3"/>
  <c r="K7" i="3"/>
  <c r="G7" i="3"/>
  <c r="C7" i="3"/>
  <c r="D6" i="3"/>
  <c r="D4" i="3"/>
  <c r="J75" i="4"/>
  <c r="F75" i="4"/>
  <c r="K74" i="4"/>
  <c r="D74" i="4"/>
  <c r="D69" i="4"/>
  <c r="H61" i="4"/>
  <c r="D57" i="4"/>
  <c r="G50" i="4"/>
  <c r="C50" i="4"/>
  <c r="J43" i="4"/>
  <c r="F43" i="4"/>
  <c r="H42" i="4"/>
  <c r="D42" i="4"/>
  <c r="H36" i="4"/>
  <c r="D36" i="4"/>
  <c r="I35" i="4"/>
  <c r="D35" i="4"/>
  <c r="I34" i="4"/>
  <c r="D34" i="4"/>
  <c r="I33" i="4"/>
  <c r="D33" i="4"/>
  <c r="D29" i="4"/>
  <c r="H28" i="4"/>
  <c r="C28" i="4"/>
  <c r="K26" i="4"/>
  <c r="F26" i="4"/>
  <c r="K25" i="4"/>
  <c r="F25" i="4"/>
  <c r="C24" i="4"/>
  <c r="I32" i="3"/>
  <c r="C32" i="3"/>
  <c r="H31" i="3"/>
  <c r="D31" i="3"/>
  <c r="I30" i="3"/>
  <c r="E30" i="3"/>
  <c r="J28" i="3"/>
  <c r="F28" i="3"/>
  <c r="K27" i="3"/>
  <c r="G27" i="3"/>
  <c r="C27" i="3"/>
  <c r="H26" i="3"/>
  <c r="D26" i="3"/>
  <c r="H25" i="3"/>
  <c r="D25" i="3"/>
  <c r="I12" i="3"/>
  <c r="E12" i="3"/>
  <c r="J11" i="3"/>
  <c r="F11" i="3"/>
  <c r="K10" i="3"/>
  <c r="G10" i="3"/>
  <c r="C10" i="3"/>
  <c r="H9" i="3"/>
  <c r="D9" i="3"/>
  <c r="I8" i="3"/>
  <c r="E8" i="3"/>
  <c r="J7" i="3"/>
  <c r="F7" i="3"/>
  <c r="K6" i="3"/>
  <c r="G6" i="3"/>
  <c r="C6" i="3"/>
  <c r="C4" i="3"/>
  <c r="K19" i="184" l="1"/>
  <c r="K26" i="184" s="1"/>
  <c r="J19" i="184"/>
  <c r="I19" i="184"/>
  <c r="H19" i="184"/>
  <c r="G19" i="184"/>
  <c r="F19" i="184"/>
  <c r="E19" i="184"/>
  <c r="I20" i="183"/>
  <c r="I24" i="183" s="1"/>
  <c r="I26" i="184" s="1"/>
  <c r="H20" i="183"/>
  <c r="H24" i="183" s="1"/>
  <c r="H26" i="184" s="1"/>
  <c r="G20" i="183"/>
  <c r="L20" i="183" s="1"/>
  <c r="F20" i="183"/>
  <c r="E20" i="183"/>
  <c r="E24" i="183" s="1"/>
  <c r="E26" i="184" s="1"/>
  <c r="K14" i="183"/>
  <c r="J14" i="183"/>
  <c r="J24" i="183" s="1"/>
  <c r="J26" i="184" s="1"/>
  <c r="I14" i="183"/>
  <c r="H14" i="183"/>
  <c r="G14" i="183"/>
  <c r="F14" i="183"/>
  <c r="F24" i="183" s="1"/>
  <c r="F26" i="184" s="1"/>
  <c r="E14" i="183"/>
  <c r="K27" i="179"/>
  <c r="J27" i="179"/>
  <c r="I27" i="179"/>
  <c r="H27" i="179"/>
  <c r="G27" i="179"/>
  <c r="L27" i="179" s="1"/>
  <c r="F27" i="179"/>
  <c r="E27" i="179"/>
  <c r="K20" i="179"/>
  <c r="J20" i="179"/>
  <c r="I20" i="179"/>
  <c r="H20" i="179"/>
  <c r="G20" i="179"/>
  <c r="F20" i="179"/>
  <c r="E20" i="179"/>
  <c r="L27" i="184"/>
  <c r="L25" i="184"/>
  <c r="L24" i="184"/>
  <c r="L23" i="184"/>
  <c r="L22" i="184"/>
  <c r="L21" i="184"/>
  <c r="L20" i="184"/>
  <c r="L18" i="184"/>
  <c r="L17" i="184"/>
  <c r="L16" i="184"/>
  <c r="L15" i="184"/>
  <c r="L14" i="184"/>
  <c r="L13" i="184"/>
  <c r="L12" i="184"/>
  <c r="L11" i="184"/>
  <c r="B4" i="184"/>
  <c r="L27" i="183"/>
  <c r="L26" i="183"/>
  <c r="L25" i="183"/>
  <c r="L23" i="183"/>
  <c r="L22" i="183"/>
  <c r="L21" i="183"/>
  <c r="L15" i="183"/>
  <c r="L13" i="183"/>
  <c r="L12" i="183"/>
  <c r="L11" i="183"/>
  <c r="B4" i="183"/>
  <c r="L19" i="184" l="1"/>
  <c r="L14" i="183"/>
  <c r="G24" i="183"/>
  <c r="L24" i="183" l="1"/>
  <c r="G26" i="184"/>
  <c r="L26" i="184" s="1"/>
  <c r="K14" i="12"/>
  <c r="H14" i="12"/>
  <c r="L366" i="29"/>
  <c r="L364" i="29"/>
  <c r="L363" i="29"/>
  <c r="L361" i="29"/>
  <c r="L360" i="29"/>
  <c r="L356" i="29"/>
  <c r="L355" i="29"/>
  <c r="L354" i="29"/>
  <c r="L351" i="29"/>
  <c r="L349" i="29"/>
  <c r="L348" i="29"/>
  <c r="L341" i="29"/>
  <c r="L339" i="29"/>
  <c r="L338" i="29"/>
  <c r="L337" i="29"/>
  <c r="L333" i="29"/>
  <c r="L332" i="29"/>
  <c r="L329" i="29"/>
  <c r="L328" i="29"/>
  <c r="L327" i="29"/>
  <c r="L326" i="29"/>
  <c r="L325" i="29"/>
  <c r="L324" i="29"/>
  <c r="L323" i="29"/>
  <c r="L322" i="29"/>
  <c r="L321" i="29"/>
  <c r="L320" i="29"/>
  <c r="L319" i="29"/>
  <c r="L311" i="29"/>
  <c r="L309" i="29"/>
  <c r="L308" i="29"/>
  <c r="L307" i="29"/>
  <c r="L306" i="29"/>
  <c r="L302" i="29"/>
  <c r="L301" i="29"/>
  <c r="L294" i="29"/>
  <c r="L292" i="29"/>
  <c r="L291" i="29"/>
  <c r="L290" i="29"/>
  <c r="L289" i="29"/>
  <c r="L288" i="29"/>
  <c r="L284" i="29"/>
  <c r="L283" i="29"/>
  <c r="L282" i="29"/>
  <c r="L280" i="29"/>
  <c r="L278" i="29"/>
  <c r="L276" i="29"/>
  <c r="L275" i="29"/>
  <c r="L274" i="29"/>
  <c r="L273" i="29"/>
  <c r="L272"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7" i="29"/>
  <c r="L236" i="29"/>
  <c r="L235" i="29"/>
  <c r="L234" i="29"/>
  <c r="L233" i="29"/>
  <c r="L232" i="29"/>
  <c r="L228" i="29"/>
  <c r="L227" i="29"/>
  <c r="L226" i="29"/>
  <c r="L225" i="29"/>
  <c r="L224" i="29"/>
  <c r="L223" i="29"/>
  <c r="L222" i="29"/>
  <c r="L221" i="29"/>
  <c r="L220" i="29"/>
  <c r="L219" i="29"/>
  <c r="L218" i="29"/>
  <c r="L217" i="29"/>
  <c r="L216" i="29"/>
  <c r="L215" i="29"/>
  <c r="L209" i="29"/>
  <c r="L207" i="29"/>
  <c r="L206" i="29"/>
  <c r="L205" i="29"/>
  <c r="L203" i="29"/>
  <c r="L202" i="29"/>
  <c r="L201" i="29"/>
  <c r="L200" i="29"/>
  <c r="L199" i="29"/>
  <c r="L195" i="29"/>
  <c r="L193" i="29"/>
  <c r="L192" i="29"/>
  <c r="L191" i="29"/>
  <c r="L190" i="29"/>
  <c r="L189" i="29"/>
  <c r="L188" i="29"/>
  <c r="L185" i="29"/>
  <c r="L183" i="29"/>
  <c r="L182" i="29"/>
  <c r="L180" i="29"/>
  <c r="L173" i="29"/>
  <c r="L171" i="29"/>
  <c r="L170" i="29"/>
  <c r="L169" i="29"/>
  <c r="L167" i="29"/>
  <c r="L166" i="29"/>
  <c r="L165" i="29"/>
  <c r="L164" i="29"/>
  <c r="L163" i="29"/>
  <c r="L159" i="29"/>
  <c r="L158" i="29"/>
  <c r="L157" i="29"/>
  <c r="L150" i="29"/>
  <c r="L148" i="29"/>
  <c r="L146" i="29"/>
  <c r="L145" i="29"/>
  <c r="L144" i="29"/>
  <c r="L143" i="29"/>
  <c r="L142" i="29"/>
  <c r="L138" i="29"/>
  <c r="L136" i="29"/>
  <c r="L135" i="29"/>
  <c r="L134" i="29"/>
  <c r="L133" i="29"/>
  <c r="L130" i="29"/>
  <c r="L128" i="29"/>
  <c r="L126" i="29"/>
  <c r="L125" i="29"/>
  <c r="L124" i="29"/>
  <c r="L123" i="29"/>
  <c r="L122" i="29"/>
  <c r="L120" i="29"/>
  <c r="L113" i="29"/>
  <c r="L111" i="29"/>
  <c r="L109" i="29"/>
  <c r="L108" i="29"/>
  <c r="L107" i="29"/>
  <c r="L106" i="29"/>
  <c r="L105" i="29"/>
  <c r="L101" i="29"/>
  <c r="L99" i="29"/>
  <c r="L98" i="29"/>
  <c r="L97" i="29"/>
  <c r="L96" i="29"/>
  <c r="L95" i="29"/>
  <c r="L94" i="29"/>
  <c r="L93" i="29"/>
  <c r="L91" i="29"/>
  <c r="L90" i="29"/>
  <c r="L89" i="29"/>
  <c r="L88" i="29"/>
  <c r="L87" i="29"/>
  <c r="L86" i="29"/>
  <c r="L85" i="29"/>
  <c r="L83" i="29"/>
  <c r="L82" i="29"/>
  <c r="L81" i="29"/>
  <c r="L80" i="29"/>
  <c r="L79" i="29"/>
  <c r="L78" i="29"/>
  <c r="L75" i="29"/>
  <c r="L73" i="29"/>
  <c r="L71" i="29"/>
  <c r="L70" i="29"/>
  <c r="L69" i="29"/>
  <c r="L68" i="29"/>
  <c r="L67" i="29"/>
  <c r="L64" i="29"/>
  <c r="L63" i="29"/>
  <c r="L62" i="29"/>
  <c r="L61" i="29"/>
  <c r="L60" i="29"/>
  <c r="L59" i="29"/>
  <c r="L56" i="29"/>
  <c r="L55" i="29"/>
  <c r="L52" i="29"/>
  <c r="L51" i="29"/>
  <c r="L50" i="29"/>
  <c r="L49" i="29"/>
  <c r="L46" i="29"/>
  <c r="L45" i="29"/>
  <c r="L44" i="29"/>
  <c r="L41" i="29"/>
  <c r="L40" i="29"/>
  <c r="L39" i="29"/>
  <c r="L38" i="29"/>
  <c r="L37" i="29"/>
  <c r="L36"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C38" i="3" l="1"/>
  <c r="E10" i="108"/>
  <c r="K38" i="3"/>
  <c r="J38" i="3"/>
  <c r="I38" i="3"/>
  <c r="H38" i="3"/>
  <c r="G38" i="3"/>
  <c r="F38" i="3"/>
  <c r="E38" i="3"/>
  <c r="D38" i="3"/>
  <c r="C39" i="3"/>
  <c r="I39" i="3"/>
  <c r="E39" i="3"/>
  <c r="H39" i="3"/>
  <c r="K39" i="3"/>
  <c r="G39" i="3"/>
  <c r="J39" i="3"/>
  <c r="F39" i="3"/>
  <c r="D39"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E40" i="181"/>
  <c r="F40" i="181" s="1"/>
  <c r="G40" i="181" s="1"/>
  <c r="F39" i="181"/>
  <c r="G39" i="181" s="1"/>
  <c r="E39" i="181"/>
  <c r="F38" i="181"/>
  <c r="G38" i="181" s="1"/>
  <c r="E38" i="181"/>
  <c r="F37" i="181"/>
  <c r="G37" i="181" s="1"/>
  <c r="E37" i="181"/>
  <c r="E36" i="181"/>
  <c r="F36" i="181" s="1"/>
  <c r="G36" i="181" s="1"/>
  <c r="E35" i="181"/>
  <c r="F35" i="181" s="1"/>
  <c r="G35" i="181" s="1"/>
  <c r="F34" i="181"/>
  <c r="G34" i="181" s="1"/>
  <c r="E34" i="181"/>
  <c r="E33" i="181"/>
  <c r="F33" i="181" s="1"/>
  <c r="G33" i="181" s="1"/>
  <c r="E32" i="181"/>
  <c r="F32" i="181" s="1"/>
  <c r="G32" i="181" s="1"/>
  <c r="F31" i="181"/>
  <c r="G31" i="181" s="1"/>
  <c r="E31" i="181"/>
  <c r="E30" i="181"/>
  <c r="F30" i="181" s="1"/>
  <c r="G30" i="181" s="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E22" i="181"/>
  <c r="F22" i="181" s="1"/>
  <c r="G22" i="181" s="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8"/>
  <c r="B1" i="185"/>
  <c r="B1" i="184"/>
  <c r="B1" i="183"/>
  <c r="B2" i="179"/>
  <c r="B2" i="187"/>
  <c r="B2" i="188"/>
  <c r="B2" i="186"/>
  <c r="B2" i="185"/>
  <c r="B2" i="184"/>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B4395" i="106"/>
  <c r="D4395" i="106" s="1"/>
  <c r="B5246" i="106"/>
  <c r="D5246" i="106" s="1"/>
  <c r="B5304" i="106"/>
  <c r="D5304" i="106" s="1"/>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K83" i="29"/>
  <c r="K93" i="29"/>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G26" i="108"/>
  <c r="E27" i="108"/>
  <c r="G27" i="108"/>
  <c r="E28" i="108"/>
  <c r="F28" i="108"/>
  <c r="F31" i="108"/>
  <c r="F36" i="108"/>
  <c r="F37" i="108"/>
  <c r="G28" i="108"/>
  <c r="G29" i="108"/>
  <c r="E30" i="108"/>
  <c r="G30" i="108"/>
  <c r="D31" i="108"/>
  <c r="D36" i="108"/>
  <c r="D37"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5066" i="106"/>
  <c r="D5066" i="106" s="1"/>
  <c r="B5334" i="106"/>
  <c r="D5334" i="106" s="1"/>
  <c r="B5513" i="106"/>
  <c r="D5513" i="106" s="1"/>
  <c r="B5557" i="106"/>
  <c r="D5557" i="106" s="1"/>
  <c r="B5725" i="106"/>
  <c r="D5725" i="106" s="1"/>
  <c r="B5873" i="106"/>
  <c r="D5873" i="106" s="1"/>
  <c r="B5918" i="106"/>
  <c r="D5918" i="106" s="1"/>
  <c r="B6301" i="106"/>
  <c r="D6301" i="106" s="1"/>
  <c r="B5987" i="106"/>
  <c r="D5987" i="106" s="1"/>
  <c r="B5071" i="106"/>
  <c r="D5071" i="106" s="1"/>
  <c r="B5339" i="106"/>
  <c r="D5339" i="106" s="1"/>
  <c r="B5518" i="106"/>
  <c r="D5518" i="106" s="1"/>
  <c r="B5562" i="106"/>
  <c r="D5562" i="106" s="1"/>
  <c r="B5730" i="106"/>
  <c r="D5730" i="106" s="1"/>
  <c r="B5878" i="106"/>
  <c r="D5878" i="106" s="1"/>
  <c r="B5923" i="106"/>
  <c r="D5923" i="106" s="1"/>
  <c r="B6306" i="106"/>
  <c r="D6306" i="106" s="1"/>
  <c r="B5992" i="106"/>
  <c r="D5992" i="106" s="1"/>
  <c r="B5087" i="106"/>
  <c r="D5087" i="106" s="1"/>
  <c r="B5579" i="106"/>
  <c r="D5579" i="106" s="1"/>
  <c r="B5090" i="106"/>
  <c r="D5090" i="106" s="1"/>
  <c r="B5342" i="106"/>
  <c r="D5342" i="106" s="1"/>
  <c r="B5521" i="106"/>
  <c r="D5521" i="106" s="1"/>
  <c r="B5582" i="106"/>
  <c r="D5582" i="106" s="1"/>
  <c r="B5733" i="106"/>
  <c r="D5733" i="106" s="1"/>
  <c r="B5881" i="106"/>
  <c r="D5881" i="106" s="1"/>
  <c r="B5926" i="106"/>
  <c r="D5926" i="106" s="1"/>
  <c r="B6318" i="106"/>
  <c r="D6318" i="106" s="1"/>
  <c r="B5995" i="106"/>
  <c r="D5995" i="106" s="1"/>
  <c r="B5102" i="106"/>
  <c r="D5102" i="106" s="1"/>
  <c r="B5348" i="106"/>
  <c r="D5348" i="106" s="1"/>
  <c r="B5112" i="106"/>
  <c r="D5112" i="106" s="1"/>
  <c r="B5120" i="106"/>
  <c r="D5120" i="106" s="1"/>
  <c r="B5355" i="106"/>
  <c r="D5355" i="106" s="1"/>
  <c r="B5526" i="106"/>
  <c r="D5526" i="106" s="1"/>
  <c r="B5587" i="106"/>
  <c r="D5587" i="106" s="1"/>
  <c r="B5737" i="106"/>
  <c r="D5737" i="106" s="1"/>
  <c r="B5886" i="106"/>
  <c r="D5886" i="106" s="1"/>
  <c r="B5930" i="106"/>
  <c r="D5930" i="106" s="1"/>
  <c r="B6351" i="106"/>
  <c r="D6351" i="106" s="1"/>
  <c r="B5999" i="106"/>
  <c r="D5999" i="106" s="1"/>
  <c r="B5125" i="106"/>
  <c r="D5125" i="106" s="1"/>
  <c r="B5360" i="106"/>
  <c r="D5360" i="106" s="1"/>
  <c r="B5592" i="106"/>
  <c r="D5592" i="106" s="1"/>
  <c r="B5741" i="106"/>
  <c r="D5741" i="106" s="1"/>
  <c r="B5132" i="106"/>
  <c r="D5132" i="106" s="1"/>
  <c r="B5367" i="106"/>
  <c r="D5367" i="106" s="1"/>
  <c r="B5534" i="106"/>
  <c r="D5534" i="106" s="1"/>
  <c r="B5599" i="106"/>
  <c r="D5599" i="106" s="1"/>
  <c r="B5748" i="106"/>
  <c r="D5748" i="106" s="1"/>
  <c r="B5893" i="106"/>
  <c r="D5893" i="106" s="1"/>
  <c r="B6357" i="106"/>
  <c r="D6357" i="106" s="1"/>
  <c r="B6006" i="106"/>
  <c r="D6006" i="106" s="1"/>
  <c r="B5147" i="106"/>
  <c r="D5147" i="106" s="1"/>
  <c r="B5369" i="106"/>
  <c r="D5369" i="106" s="1"/>
  <c r="B5614" i="106"/>
  <c r="D5614" i="106" s="1"/>
  <c r="B5161" i="106"/>
  <c r="D5161" i="106" s="1"/>
  <c r="B5383" i="106"/>
  <c r="D5383" i="106" s="1"/>
  <c r="B5752" i="106"/>
  <c r="D5752" i="106" s="1"/>
  <c r="B5756" i="106"/>
  <c r="D5756" i="106" s="1"/>
  <c r="B4357" i="106"/>
  <c r="D4357" i="106" s="1"/>
  <c r="B5165" i="106"/>
  <c r="D5165" i="106" s="1"/>
  <c r="B5178" i="106"/>
  <c r="D5178" i="106" s="1"/>
  <c r="B5394" i="106"/>
  <c r="D5394" i="106" s="1"/>
  <c r="B5899" i="106"/>
  <c r="D5899" i="106" s="1"/>
  <c r="B4363" i="106"/>
  <c r="D4363" i="106" s="1"/>
  <c r="B6396" i="106"/>
  <c r="D6396" i="106" s="1"/>
  <c r="B5000" i="106"/>
  <c r="D5000" i="106" s="1"/>
  <c r="B5225" i="106"/>
  <c r="D5225" i="106" s="1"/>
  <c r="B5423" i="106"/>
  <c r="D5423" i="106" s="1"/>
  <c r="B4372" i="106"/>
  <c r="D4372" i="106" s="1"/>
  <c r="B5655" i="106"/>
  <c r="D5655" i="106" s="1"/>
  <c r="B5780" i="106"/>
  <c r="D5780" i="106" s="1"/>
  <c r="B4373" i="106"/>
  <c r="D4373" i="106" s="1"/>
  <c r="B6400" i="106"/>
  <c r="D6400" i="106" s="1"/>
  <c r="B4951" i="106"/>
  <c r="D4951" i="106" s="1"/>
  <c r="B5232" i="106"/>
  <c r="D5232" i="106" s="1"/>
  <c r="B5425" i="106"/>
  <c r="D5425" i="106" s="1"/>
  <c r="B5658" i="106"/>
  <c r="D5658" i="106" s="1"/>
  <c r="B5784" i="106"/>
  <c r="D5784" i="106" s="1"/>
  <c r="B5908" i="106"/>
  <c r="D5908" i="106" s="1"/>
  <c r="B6016" i="106"/>
  <c r="D6016" i="106" s="1"/>
  <c r="B4396" i="106"/>
  <c r="D4396" i="106" s="1"/>
  <c r="B6409" i="106"/>
  <c r="D6409" i="106" s="1"/>
  <c r="B5260" i="106"/>
  <c r="D5260" i="106" s="1"/>
  <c r="B5444" i="106"/>
  <c r="D5444" i="106" s="1"/>
  <c r="B5677" i="106"/>
  <c r="D5677" i="106" s="1"/>
  <c r="B5803" i="106"/>
  <c r="D5803" i="106" s="1"/>
  <c r="B4411" i="106"/>
  <c r="D4411" i="106" s="1"/>
  <c r="B4412" i="106"/>
  <c r="D4412" i="106" s="1"/>
  <c r="B4413" i="106"/>
  <c r="D4413" i="106" s="1"/>
  <c r="B4414" i="106"/>
  <c r="D4414" i="106" s="1"/>
  <c r="B5286" i="106"/>
  <c r="D5286" i="106" s="1"/>
  <c r="B5470" i="106"/>
  <c r="D5470" i="106" s="1"/>
  <c r="B5703" i="106"/>
  <c r="D5703" i="106" s="1"/>
  <c r="B5829" i="106"/>
  <c r="D5829" i="106" s="1"/>
  <c r="B5488" i="106"/>
  <c r="D5488" i="106" s="1"/>
  <c r="B5847" i="106"/>
  <c r="D5847" i="106" s="1"/>
  <c r="B6837" i="106"/>
  <c r="D6837" i="106" s="1"/>
  <c r="B6833" i="106"/>
  <c r="D6833" i="106" s="1"/>
  <c r="B6834" i="106"/>
  <c r="D6834" i="106" s="1"/>
  <c r="B6836" i="106"/>
  <c r="D6836" i="106" s="1"/>
  <c r="B4441" i="106"/>
  <c r="D4441" i="106" s="1"/>
  <c r="B7041" i="106"/>
  <c r="D7041" i="106" s="1"/>
  <c r="B4442" i="106"/>
  <c r="D4442" i="106" s="1"/>
  <c r="D5" i="4"/>
  <c r="B3406" i="106" s="1"/>
  <c r="D3406" i="106" s="1"/>
  <c r="G14" i="4"/>
  <c r="B2609" i="106" s="1"/>
  <c r="D2609" i="106" s="1"/>
  <c r="C14" i="4"/>
  <c r="B2558" i="106" s="1"/>
  <c r="D2558" i="106" s="1"/>
  <c r="B2633" i="106"/>
  <c r="D263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9" i="7"/>
  <c r="B1767" i="106" s="1"/>
  <c r="D1767" i="106" s="1"/>
  <c r="D7" i="7"/>
  <c r="B1763" i="106" s="1"/>
  <c r="D1763" i="106" s="1"/>
  <c r="D11" i="7"/>
  <c r="B1768" i="106" s="1"/>
  <c r="D1768" i="106" s="1"/>
  <c r="D27" i="108" l="1"/>
  <c r="B6995" i="106"/>
  <c r="D6995" i="106" s="1"/>
  <c r="B1124" i="106"/>
  <c r="D1124" i="106" s="1"/>
  <c r="G15" i="145"/>
  <c r="G38" i="108"/>
  <c r="F64" i="34"/>
  <c r="E38" i="108"/>
  <c r="E26" i="108"/>
  <c r="B1274" i="106"/>
  <c r="D1274" i="106" s="1"/>
  <c r="C129" i="29"/>
  <c r="B2026" i="106"/>
  <c r="D2026" i="106" s="1"/>
  <c r="M16" i="3"/>
  <c r="B273" i="106" s="1"/>
  <c r="D273" i="106" s="1"/>
  <c r="F46" i="34"/>
  <c r="D6103" i="106"/>
  <c r="F21" i="8"/>
  <c r="D17" i="7"/>
  <c r="B4104" i="106" s="1"/>
  <c r="D4104" i="106" s="1"/>
  <c r="D13" i="7"/>
  <c r="B3726" i="106" s="1"/>
  <c r="D3726" i="106" s="1"/>
  <c r="G5" i="4"/>
  <c r="B3409" i="106" s="1"/>
  <c r="D3409" i="106" s="1"/>
  <c r="F50" i="34"/>
  <c r="F44" i="34"/>
  <c r="F41" i="34"/>
  <c r="I24" i="12"/>
  <c r="B2028" i="106"/>
  <c r="D2028" i="106" s="1"/>
  <c r="M18" i="3"/>
  <c r="B275" i="106" s="1"/>
  <c r="D275" i="106" s="1"/>
  <c r="D4" i="7"/>
  <c r="B1760" i="106" s="1"/>
  <c r="D1760" i="106" s="1"/>
  <c r="B1746" i="106"/>
  <c r="D1746" i="106" s="1"/>
  <c r="H342" i="29"/>
  <c r="D12" i="7"/>
  <c r="B1769" i="106" s="1"/>
  <c r="D1769" i="106" s="1"/>
  <c r="B6025" i="106"/>
  <c r="D6025" i="106" s="1"/>
  <c r="B2029" i="106"/>
  <c r="D2029" i="106" s="1"/>
  <c r="M19" i="3"/>
  <c r="B276" i="106" s="1"/>
  <c r="D276" i="106" s="1"/>
  <c r="B2027" i="106"/>
  <c r="D2027" i="106" s="1"/>
  <c r="M17" i="3"/>
  <c r="D69" i="36"/>
  <c r="F127" i="34"/>
  <c r="E4" i="4"/>
  <c r="B2630" i="106" s="1"/>
  <c r="D2630" i="106" s="1"/>
  <c r="J352" i="29"/>
  <c r="J367" i="29" s="1"/>
  <c r="B7245" i="106" s="1"/>
  <c r="D7245" i="106" s="1"/>
  <c r="B5906" i="106"/>
  <c r="D5906" i="106" s="1"/>
  <c r="B7235" i="106"/>
  <c r="D7235" i="106" s="1"/>
  <c r="F136" i="34"/>
  <c r="K6" i="4"/>
  <c r="B3570" i="106" s="1"/>
  <c r="D3570" i="106" s="1"/>
  <c r="K76" i="4"/>
  <c r="B3586" i="106" s="1"/>
  <c r="D3586" i="106" s="1"/>
  <c r="K285" i="29"/>
  <c r="B3724" i="106" s="1"/>
  <c r="D3724" i="106" s="1"/>
  <c r="I26" i="12"/>
  <c r="B7741" i="106" s="1"/>
  <c r="D7741" i="106" s="1"/>
  <c r="B1996" i="106"/>
  <c r="D1996" i="106" s="1"/>
  <c r="K24" i="12"/>
  <c r="L312" i="29"/>
  <c r="F131" i="34"/>
  <c r="K184" i="29"/>
  <c r="F13" i="4" s="1"/>
  <c r="B2596" i="106" s="1"/>
  <c r="D2596" i="106" s="1"/>
  <c r="B3647" i="106"/>
  <c r="D3647" i="106" s="1"/>
  <c r="F106" i="34"/>
  <c r="F111" i="34"/>
  <c r="B5770" i="106"/>
  <c r="D5770" i="106" s="1"/>
  <c r="B6024" i="106"/>
  <c r="D6024" i="106" s="1"/>
  <c r="C342" i="29"/>
  <c r="B7216" i="106" s="1"/>
  <c r="D7216" i="106" s="1"/>
  <c r="H44" i="4"/>
  <c r="C352" i="29"/>
  <c r="B3621" i="106" s="1"/>
  <c r="D3621" i="106" s="1"/>
  <c r="B5214" i="106"/>
  <c r="D5214" i="106" s="1"/>
  <c r="F130" i="34"/>
  <c r="B4216" i="106"/>
  <c r="D4216" i="106" s="1"/>
  <c r="B5644" i="106"/>
  <c r="D5644" i="106" s="1"/>
  <c r="B5121" i="106"/>
  <c r="D5121" i="106" s="1"/>
  <c r="J41" i="3"/>
  <c r="B6216" i="106" s="1"/>
  <c r="D6216" i="106" s="1"/>
  <c r="L367" i="29"/>
  <c r="L342" i="29"/>
  <c r="H365" i="29"/>
  <c r="B7242" i="106" s="1"/>
  <c r="D7242" i="106" s="1"/>
  <c r="B3649" i="106"/>
  <c r="D3649"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B7054" i="106"/>
  <c r="D7054" i="106" s="1"/>
  <c r="H6" i="4"/>
  <c r="B2656" i="106" s="1"/>
  <c r="D2656" i="106" s="1"/>
  <c r="B5096" i="106"/>
  <c r="D5096" i="106" s="1"/>
  <c r="B5356" i="106"/>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B5653" i="106"/>
  <c r="D5653" i="106" s="1"/>
  <c r="D18" i="7"/>
  <c r="B4105" i="106" s="1"/>
  <c r="D4105" i="106" s="1"/>
  <c r="K7" i="4"/>
  <c r="B3718" i="106" s="1"/>
  <c r="D3718" i="106" s="1"/>
  <c r="F105" i="34"/>
  <c r="F107" i="34"/>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B5412" i="106"/>
  <c r="D5412" i="106" s="1"/>
  <c r="B5618" i="106"/>
  <c r="D5618" i="106" s="1"/>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B5713" i="106"/>
  <c r="D5713" i="106" s="1"/>
  <c r="B4397" i="106"/>
  <c r="D4397" i="106" s="1"/>
  <c r="B4950" i="106"/>
  <c r="D4950" i="106" s="1"/>
  <c r="H7" i="4"/>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B6835" i="106"/>
  <c r="D6835" i="106" s="1"/>
  <c r="B4398" i="106"/>
  <c r="D4398" i="106" s="1"/>
  <c r="B5537" i="106"/>
  <c r="D553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B5501" i="106"/>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6"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J24" i="12"/>
  <c r="B7730" i="106"/>
  <c r="D7730" i="106" s="1"/>
  <c r="B5914" i="106"/>
  <c r="D5914" i="106" s="1"/>
  <c r="B3447" i="106"/>
  <c r="D3447" i="106" s="1"/>
  <c r="B7270" i="106"/>
  <c r="H77" i="4" l="1"/>
  <c r="B3299" i="106" s="1"/>
  <c r="D3299" i="106" s="1"/>
  <c r="B1317" i="106"/>
  <c r="D1317" i="106" s="1"/>
  <c r="B1879" i="106"/>
  <c r="D1879" i="106" s="1"/>
  <c r="H22" i="37"/>
  <c r="C4" i="4"/>
  <c r="B2551" i="106" s="1"/>
  <c r="D2551" i="106" s="1"/>
  <c r="B5527" i="106"/>
  <c r="D5527" i="106" s="1"/>
  <c r="D7" i="4"/>
  <c r="K365" i="29"/>
  <c r="K16" i="4" s="1"/>
  <c r="G4" i="4"/>
  <c r="B2603" i="106" s="1"/>
  <c r="D2603" i="106" s="1"/>
  <c r="H8" i="4"/>
  <c r="B274" i="106"/>
  <c r="D274" i="106" s="1"/>
  <c r="M23" i="3"/>
  <c r="J35" i="8"/>
  <c r="J31" i="8"/>
  <c r="J33" i="8"/>
  <c r="J34" i="8"/>
  <c r="J32" i="8"/>
  <c r="C114" i="29"/>
  <c r="B757" i="106" s="1"/>
  <c r="D757" i="106" s="1"/>
  <c r="D44" i="36"/>
  <c r="L16" i="11"/>
  <c r="B2061" i="106" s="1"/>
  <c r="D2061" i="106" s="1"/>
  <c r="F73" i="34"/>
  <c r="G15" i="4"/>
  <c r="B6032" i="106" s="1"/>
  <c r="D6032" i="106" s="1"/>
  <c r="D52" i="36"/>
  <c r="B7733" i="106"/>
  <c r="D7733" i="106" s="1"/>
  <c r="K26" i="12"/>
  <c r="B7743" i="106" s="1"/>
  <c r="D7743" i="106" s="1"/>
  <c r="K342" i="29"/>
  <c r="F13" i="34" s="1"/>
  <c r="D19" i="7"/>
  <c r="B1775" i="106" s="1"/>
  <c r="D1775" i="106" s="1"/>
  <c r="J7" i="4"/>
  <c r="D4" i="4"/>
  <c r="B2564" i="106" s="1"/>
  <c r="D2564" i="106" s="1"/>
  <c r="C367" i="29"/>
  <c r="B3622" i="106" s="1"/>
  <c r="D3622" i="106" s="1"/>
  <c r="I6" i="4"/>
  <c r="B5011" i="106" s="1"/>
  <c r="D5011" i="106" s="1"/>
  <c r="L114" i="29"/>
  <c r="B3670" i="106"/>
  <c r="D3670" i="106" s="1"/>
  <c r="K352" i="29"/>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B6023" i="106"/>
  <c r="D6023" i="106" s="1"/>
  <c r="B5320" i="106"/>
  <c r="D5320" i="106" s="1"/>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B5946" i="106"/>
  <c r="D5946" i="106" s="1"/>
  <c r="B5863" i="106"/>
  <c r="D5863" i="106" s="1"/>
  <c r="B7747" i="106"/>
  <c r="D7747" i="106" s="1"/>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B5507" i="106"/>
  <c r="D5507" i="106" s="1"/>
  <c r="B7298" i="106"/>
  <c r="B7299" i="106"/>
  <c r="J17" i="4" l="1"/>
  <c r="J19" i="4" s="1"/>
  <c r="B6229" i="106" s="1"/>
  <c r="D6229" i="106" s="1"/>
  <c r="K367" i="29"/>
  <c r="K368" i="29" s="1"/>
  <c r="B3681" i="106" s="1"/>
  <c r="D3681" i="106" s="1"/>
  <c r="F8" i="4"/>
  <c r="B2595" i="106" s="1"/>
  <c r="D2595" i="106" s="1"/>
  <c r="B279" i="106"/>
  <c r="D279" i="106" s="1"/>
  <c r="M40" i="3"/>
  <c r="J49" i="8"/>
  <c r="G41" i="108"/>
  <c r="G44" i="108" s="1"/>
  <c r="G45" i="108" s="1"/>
  <c r="B5223" i="106"/>
  <c r="D5223" i="106" s="1"/>
  <c r="C6" i="4"/>
  <c r="B2553" i="106" s="1"/>
  <c r="D2553" i="106" s="1"/>
  <c r="B5778" i="106"/>
  <c r="D5778" i="106" s="1"/>
  <c r="G6" i="4"/>
  <c r="B2604" i="106" s="1"/>
  <c r="D2604" i="106" s="1"/>
  <c r="E41" i="108"/>
  <c r="E44" i="108" s="1"/>
  <c r="E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K151" i="29"/>
  <c r="B1281" i="106"/>
  <c r="D1281" i="106" s="1"/>
  <c r="D13" i="4"/>
  <c r="B2634" i="106"/>
  <c r="D2634" i="106" s="1"/>
  <c r="E17" i="4"/>
  <c r="B1332" i="106"/>
  <c r="D1332" i="106" s="1"/>
  <c r="B1259" i="106"/>
  <c r="D1259" i="106" s="1"/>
  <c r="B989" i="106"/>
  <c r="D989" i="106" s="1"/>
  <c r="F54" i="34"/>
  <c r="B5326" i="106"/>
  <c r="D5326" i="106" s="1"/>
  <c r="C7" i="4"/>
  <c r="F10" i="4"/>
  <c r="B4125" i="106" s="1"/>
  <c r="D4125" i="106" s="1"/>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146" l="1"/>
  <c r="B6227" i="106"/>
  <c r="D6227" i="106" s="1"/>
  <c r="J20" i="4"/>
  <c r="B6230" i="106" s="1"/>
  <c r="D6230" i="106" s="1"/>
  <c r="K17" i="4"/>
  <c r="K19" i="4" s="1"/>
  <c r="B4144" i="106" s="1"/>
  <c r="D4144" i="106" s="1"/>
  <c r="D8" i="4"/>
  <c r="M41" i="3"/>
  <c r="B280" i="106"/>
  <c r="D280" i="106" s="1"/>
  <c r="B4172" i="106"/>
  <c r="D4172" i="106" s="1"/>
  <c r="N22" i="3"/>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B281" i="106"/>
  <c r="D281" i="106" s="1"/>
  <c r="D54" i="36"/>
  <c r="B283" i="106"/>
  <c r="D283" i="106" s="1"/>
  <c r="N23" i="3"/>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<sst xmlns="http://schemas.openxmlformats.org/spreadsheetml/2006/main" count="5453" uniqueCount="2255">
  <si>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</si>
  <si>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</si>
  <si>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</si>
  <si>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</si>
  <si>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</si>
  <si>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</si>
  <si>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</si>
  <si>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</si>
  <si>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</si>
  <si>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</si>
  <si>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</si>
  <si>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</si>
  <si>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</si>
  <si>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</si>
  <si>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</si>
  <si>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</si>
  <si>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</si>
  <si>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</si>
  <si>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</si>
  <si>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</si>
  <si>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</si>
  <si>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</si>
  <si>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</si>
  <si>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</si>
  <si>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</si>
  <si>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</si>
  <si>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</si>
  <si>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</si>
  <si>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</si>
  <si>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</si>
  <si>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</si>
  <si>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</si>
  <si>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</si>
  <si>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</si>
  <si>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</si>
  <si>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</si>
  <si>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</si>
  <si>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</si>
  <si>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</si>
  <si>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</si>
  <si>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</si>
  <si>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</si>
  <si>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</si>
  <si>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</si>
  <si>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</si>
  <si>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</si>
  <si>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</si>
  <si>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</si>
  <si>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</si>
  <si>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</si>
  <si>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</si>
  <si>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</si>
  <si>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</si>
  <si>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</si>
  <si>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</si>
  <si>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</si>
  <si>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</si>
  <si>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</si>
  <si>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</si>
  <si>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</si>
  <si>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</si>
  <si>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</si>
  <si>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</si>
  <si>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</si>
  <si>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</si>
  <si>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</si>
  <si>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</si>
  <si>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</si>
  <si>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</si>
  <si>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</si>
  <si>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</si>
  <si>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</si>
  <si>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</si>
  <si>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</si>
  <si>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</si>
  <si>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</si>
  <si>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</si>
  <si>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</si>
  <si>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</si>
  <si>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</si>
  <si>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</si>
  <si>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</si>
  <si>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</si>
  <si>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</si>
  <si>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</si>
  <si>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</si>
  <si>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</si>
  <si>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</si>
  <si>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</si>
  <si>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</si>
  <si>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</si>
  <si>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</si>
  <si>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</si>
  <si>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</si>
  <si>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</si>
  <si>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</si>
  <si>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</si>
  <si>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</si>
  <si>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</si>
  <si>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</si>
  <si>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</si>
  <si>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</si>
  <si>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</si>
  <si>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</si>
  <si>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</si>
  <si>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</si>
  <si>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</si>
  <si>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</si>
  <si>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</si>
  <si>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</si>
  <si>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</si>
  <si>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</si>
  <si>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</si>
  <si>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</si>
  <si>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</si>
  <si>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</si>
  <si>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</si>
  <si>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</si>
  <si>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</si>
  <si>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</si>
  <si>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</si>
  <si>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</si>
  <si>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</si>
  <si>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</si>
  <si>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</si>
  <si>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</si>
  <si>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</si>
  <si>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</si>
  <si>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</si>
  <si>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</si>
  <si>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</si>
  <si>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</si>
  <si>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</si>
  <si>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</si>
  <si>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</si>
  <si>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</si>
  <si>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</si>
  <si>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</si>
  <si>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</si>
  <si>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</si>
  <si>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</si>
  <si>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</si>
  <si>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</si>
  <si>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</si>
  <si>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</si>
  <si>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</si>
  <si>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</si>
  <si>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</si>
  <si>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</si>
  <si>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</si>
  <si>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</si>
  <si>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</si>
  <si>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</si>
  <si>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</si>
  <si>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</si>
  <si>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</si>
  <si>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</si>
  <si>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</si>
  <si>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</si>
  <si>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</si>
  <si>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</si>
  <si>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</si>
  <si>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</si>
  <si>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</si>
  <si>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</si>
  <si>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</si>
  <si>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</si>
  <si>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</si>
  <si>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</si>
  <si>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</si>
  <si>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</si>
  <si>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</si>
  <si>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</si>
  <si>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</si>
  <si>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</si>
  <si>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</si>
  <si>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</si>
  <si>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</si>
  <si>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</si>
  <si>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</si>
  <si>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</si>
  <si>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</si>
  <si>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</si>
  <si>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</si>
  <si>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</si>
  <si>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</si>
  <si>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</si>
  <si>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</si>
  <si>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</si>
  <si>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</si>
  <si>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</si>
  <si>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</si>
  <si>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</si>
  <si>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</si>
  <si>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</si>
  <si>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</si>
  <si>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</si>
  <si>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</si>
  <si>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</si>
  <si>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</si>
  <si>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</si>
  <si>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</si>
  <si>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</si>
  <si>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</si>
  <si>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</si>
  <si>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</si>
  <si>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</si>
  <si>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</si>
  <si>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</si>
  <si>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</si>
  <si>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</si>
  <si>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</si>
  <si>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</si>
  <si>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</si>
  <si>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</si>
  <si>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</si>
  <si>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</si>
  <si>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</si>
  <si>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</si>
  <si>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</si>
  <si>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</si>
  <si>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</si>
  <si>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</si>
  <si>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</si>
  <si>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</si>
  <si>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</si>
  <si>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</si>
  <si>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</si>
  <si>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</si>
  <si>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</si>
  <si>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</si>
  <si>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</si>
  <si>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</si>
  <si>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</si>
  <si>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</si>
  <si>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</si>
  <si>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</si>
  <si>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</si>
  <si>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</si>
  <si>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</si>
  <si>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</si>
  <si>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</si>
  <si>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</si>
  <si>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</si>
  <si>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</si>
  <si>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</si>
  <si>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</si>
  <si>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</si>
  <si>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</si>
  <si>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</si>
  <si>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</si>
  <si>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</si>
  <si>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</si>
  <si>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</si>
  <si>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</si>
  <si>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</si>
  <si>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</si>
  <si>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</si>
  <si>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</si>
  <si>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</si>
  <si>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</si>
  <si>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</si>
  <si>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</si>
  <si>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</si>
  <si>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</si>
  <si>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</si>
  <si>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</si>
  <si>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</si>
  <si>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</si>
  <si>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</si>
  <si>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</si>
  <si>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</si>
  <si>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</si>
  <si>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</si>
  <si>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</si>
  <si>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</si>
  <si>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</si>
  <si>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</si>
  <si>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</si>
  <si>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</si>
  <si>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</si>
  <si>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</si>
  <si>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</si>
  <si>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</si>
  <si>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</si>
  <si>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</si>
  <si>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</si>
  <si>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</si>
  <si>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</si>
  <si>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</si>
  <si>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</si>
  <si>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</si>
  <si>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</si>
  <si>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</si>
  <si>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</si>
  <si>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</si>
  <si>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</si>
  <si>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</si>
  <si>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</si>
  <si>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</si>
  <si>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</si>
  <si>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</si>
  <si>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</si>
  <si>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</si>
  <si>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</si>
  <si>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</si>
  <si>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</si>
  <si>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</si>
  <si>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</si>
  <si>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</si>
  <si>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</si>
  <si>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</si>
  <si>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</si>
  <si>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</si>
  <si>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</si>
  <si>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</si>
  <si>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</si>
  <si>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</si>
  <si>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</si>
  <si>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</si>
  <si>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</si>
  <si>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</si>
  <si>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</si>
  <si>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</si>
  <si>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</si>
  <si>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</si>
  <si>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</si>
  <si>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</si>
  <si>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</si>
  <si>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</si>
  <si>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</si>
  <si>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</si>
  <si>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</si>
  <si>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</si>
  <si>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</si>
  <si>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</si>
  <si>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</si>
  <si>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</si>
  <si>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</si>
  <si>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</si>
  <si>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</si>
  <si>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</si>
  <si>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</si>
  <si>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</si>
  <si>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</si>
  <si>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</si>
  <si>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</si>
  <si>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</si>
  <si>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</si>
  <si>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</si>
  <si>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</si>
  <si>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</si>
  <si>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</si>
  <si>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</si>
  <si>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</si>
  <si>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</si>
  <si>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</si>
  <si>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</si>
  <si>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</si>
  <si>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</si>
  <si>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</si>
  <si>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</si>
  <si>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</si>
  <si>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</si>
  <si>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</si>
  <si>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</si>
  <si>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</si>
  <si>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</si>
  <si>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</si>
  <si>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</si>
  <si>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</si>
  <si>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</si>
  <si>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</si>
  <si>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</si>
  <si>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</si>
  <si>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</si>
  <si>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</si>
  <si>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</si>
  <si>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</si>
  <si>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</si>
  <si>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</si>
  <si>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</si>
  <si>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</si>
  <si>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</si>
  <si>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</si>
  <si>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</si>
  <si>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</si>
  <si>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</si>
  <si>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</si>
  <si>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</si>
  <si>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</si>
  <si>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</si>
  <si>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</si>
  <si>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</si>
  <si>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</si>
  <si>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</si>
  <si>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</si>
  <si>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</si>
  <si>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</si>
  <si>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</si>
  <si>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</si>
  <si>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</si>
  <si>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</si>
  <si>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</si>
  <si>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</si>
  <si>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</si>
  <si>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</si>
  <si>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</si>
  <si>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</si>
  <si>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</si>
  <si>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</si>
  <si>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</si>
  <si>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</si>
  <si>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</si>
  <si>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</si>
  <si>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</si>
  <si>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</si>
  <si>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</si>
  <si>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</si>
  <si>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</si>
  <si>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</si>
  <si>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</si>
  <si>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</si>
  <si>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</si>
  <si>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</si>
  <si>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</si>
  <si>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</si>
  <si>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</si>
  <si>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</si>
  <si>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</si>
  <si>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</si>
  <si>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</si>
  <si>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</si>
  <si>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</si>
  <si>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</si>
  <si>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</si>
  <si>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</si>
  <si>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</si>
  <si>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</si>
  <si>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</si>
  <si>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</si>
  <si>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</si>
  <si>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</si>
  <si>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</si>
  <si>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</si>
  <si>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</si>
  <si>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</si>
  <si>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</si>
  <si>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</si>
  <si>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</si>
  <si>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</si>
  <si>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</si>
  <si>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</si>
  <si>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</si>
  <si>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</si>
  <si>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</si>
  <si>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</si>
  <si>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</si>
  <si>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</si>
  <si>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</si>
  <si>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</si>
  <si>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</si>
  <si>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</si>
  <si>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</si>
  <si>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</si>
  <si>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</si>
  <si>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</si>
  <si>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</si>
  <si>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</si>
  <si>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</si>
  <si>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</si>
  <si>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</si>
  <si>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</si>
  <si>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</si>
  <si>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</si>
  <si>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</si>
  <si>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</si>
  <si>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</si>
  <si>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</si>
  <si>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</si>
  <si>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</si>
  <si>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</si>
  <si>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</si>
  <si>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</si>
  <si>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</si>
  <si>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</si>
  <si>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</si>
  <si>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</si>
  <si>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</si>
  <si>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</si>
  <si>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</si>
  <si>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</si>
  <si>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</si>
  <si>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</si>
  <si>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</si>
  <si>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</si>
  <si>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</si>
  <si>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</si>
  <si>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</si>
  <si>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</si>
  <si>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</si>
  <si>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</si>
  <si>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</si>
  <si>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</si>
  <si>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</si>
  <si>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</si>
  <si>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</si>
  <si>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</si>
  <si>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</si>
  <si>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</si>
  <si>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</si>
  <si>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</si>
  <si>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</si>
  <si>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</si>
  <si>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</si>
  <si>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</si>
  <si>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</si>
  <si>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</si>
  <si>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</si>
  <si>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</si>
  <si>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</si>
  <si>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</si>
  <si>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</si>
  <si>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</si>
  <si>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</si>
  <si>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</si>
  <si>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</si>
  <si>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</si>
  <si>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</si>
  <si>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</si>
  <si>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</si>
  <si>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</si>
  <si>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</si>
  <si>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</si>
  <si>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</si>
  <si>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</si>
  <si>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</si>
  <si>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</si>
  <si>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</si>
  <si>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</si>
  <si>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</si>
  <si>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</si>
  <si>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</si>
  <si>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</si>
  <si>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</si>
  <si>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</si>
  <si>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</si>
  <si>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</si>
  <si>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</si>
  <si>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</si>
  <si>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</si>
  <si>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</si>
  <si>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</si>
  <si>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</si>
  <si>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</si>
  <si>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</si>
  <si>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</si>
  <si>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</si>
  <si>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</si>
  <si>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</si>
  <si>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</si>
  <si>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</si>
  <si>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</si>
  <si>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</si>
  <si>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</si>
  <si>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</si>
  <si>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</si>
  <si>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</si>
  <si>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</si>
  <si>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</si>
  <si>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</si>
  <si>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</si>
  <si>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</si>
  <si>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</si>
  <si>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</si>
  <si>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</si>
  <si>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</si>
  <si>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</si>
  <si>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</si>
  <si>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</si>
  <si>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</si>
  <si>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</si>
  <si>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</si>
  <si>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</si>
  <si>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</si>
  <si>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</si>
  <si>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</si>
  <si>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</si>
  <si>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</si>
  <si>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</si>
  <si>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</si>
  <si>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</si>
  <si>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</si>
  <si>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</si>
  <si>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</si>
  <si>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</si>
  <si>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</si>
  <si>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</si>
  <si>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</si>
  <si>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</si>
  <si>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</si>
  <si>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</si>
  <si>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</si>
  <si>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</si>
  <si>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</si>
  <si>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</si>
  <si>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</si>
  <si>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</si>
  <si>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</si>
  <si>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</si>
  <si>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</si>
  <si>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</si>
  <si>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</si>
  <si>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</si>
  <si>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</si>
  <si>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</si>
  <si>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</si>
  <si>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</si>
  <si>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</si>
  <si>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</si>
  <si>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</si>
  <si>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</si>
  <si>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</si>
  <si>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</si>
  <si>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</si>
  <si>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</si>
  <si>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</si>
  <si>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</si>
  <si>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</si>
  <si>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</si>
  <si>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</si>
  <si>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</si>
  <si>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</si>
  <si>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</si>
  <si>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</si>
  <si>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</si>
  <si>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</si>
  <si>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</si>
  <si>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</si>
  <si>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</si>
  <si>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</si>
  <si>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</si>
  <si>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</si>
  <si>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</si>
  <si>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</si>
  <si>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</si>
  <si>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</si>
  <si>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</si>
  <si>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</si>
  <si>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</si>
  <si>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</si>
  <si>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</si>
  <si>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</si>
  <si>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</si>
  <si>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</si>
  <si>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</si>
  <si>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</si>
  <si>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</si>
  <si>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</si>
  <si>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</si>
  <si>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</si>
  <si>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</si>
  <si>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</si>
  <si>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</si>
  <si>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</si>
  <si>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</si>
  <si>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</si>
  <si>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</si>
  <si>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</si>
  <si>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</si>
  <si>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</si>
  <si>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</si>
  <si>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</si>
  <si>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</si>
  <si>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</si>
  <si>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</si>
  <si>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</si>
  <si>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</si>
  <si>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</si>
  <si>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</si>
  <si>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</si>
  <si>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</si>
  <si>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</si>
  <si>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</si>
  <si>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</si>
  <si>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</si>
  <si>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</si>
  <si>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</si>
  <si>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</si>
  <si>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</si>
  <si>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</si>
  <si>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</si>
  <si>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</si>
  <si>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</si>
  <si>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</si>
  <si>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</si>
  <si>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</si>
  <si>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</si>
  <si>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</si>
  <si>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</si>
  <si>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</si>
  <si>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</si>
  <si>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</si>
  <si>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</si>
  <si>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</si>
  <si>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</si>
  <si>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</si>
  <si>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</si>
  <si>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</si>
  <si>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</si>
  <si>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</si>
  <si>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</si>
  <si>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</si>
  <si>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</si>
  <si>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</si>
  <si>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</si>
  <si>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</si>
  <si>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</si>
  <si>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</si>
  <si>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</si>
  <si>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</si>
  <si>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</si>
  <si>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</si>
  <si>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</si>
  <si>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</si>
  <si>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</si>
  <si>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</si>
  <si>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</si>
  <si>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</si>
  <si>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</si>
  <si>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</si>
  <si>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</si>
  <si>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</si>
  <si>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</si>
  <si>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</si>
  <si>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</si>
  <si>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</si>
  <si>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</si>
  <si>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</si>
  <si>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</si>
  <si>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</si>
  <si>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</si>
  <si>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</si>
  <si>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</si>
  <si>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</si>
  <si>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</si>
  <si>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</si>
  <si>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</si>
  <si>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</si>
  <si>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</si>
  <si>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</si>
  <si>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</si>
  <si>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</si>
  <si>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</si>
  <si>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</si>
  <si>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</si>
  <si>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</si>
  <si>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</si>
  <si>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</si>
  <si>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</si>
  <si>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</si>
  <si>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</si>
  <si>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</si>
  <si>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</si>
  <si>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</si>
  <si>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</si>
  <si>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</si>
  <si>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</si>
  <si>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</si>
  <si>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</si>
  <si>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</si>
  <si>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</si>
  <si>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</si>
  <si>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</si>
  <si>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</si>
  <si>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</si>
  <si>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</si>
  <si>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</si>
  <si>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</si>
  <si>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</si>
  <si>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</si>
  <si>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</si>
  <si>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</si>
  <si>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</si>
  <si>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</si>
  <si>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</si>
  <si>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</si>
  <si>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</si>
  <si>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</si>
  <si>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</si>
  <si>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</si>
  <si>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</si>
  <si>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</si>
  <si>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</si>
  <si>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</si>
  <si>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</si>
  <si>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</si>
  <si>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</si>
  <si>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</si>
  <si>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</si>
  <si>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</si>
  <si>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</si>
  <si>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</si>
  <si>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</si>
  <si>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</si>
  <si>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</si>
  <si>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</si>
  <si>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</si>
  <si>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</si>
  <si>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</si>
  <si>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</si>
  <si>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</si>
  <si>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</si>
  <si>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</si>
  <si>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</si>
  <si>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</si>
  <si>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</si>
  <si>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</si>
  <si>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</si>
  <si>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</si>
  <si>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</si>
  <si>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</si>
  <si>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</si>
  <si>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</si>
  <si>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</si>
  <si>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</si>
  <si>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</si>
  <si>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</si>
  <si>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</si>
  <si>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</si>
  <si>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</si>
  <si>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</si>
  <si>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</si>
  <si>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</si>
  <si>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</si>
  <si>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</si>
  <si>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</si>
  <si>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</si>
  <si>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</si>
  <si>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</si>
  <si>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</si>
  <si>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</si>
  <si>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</si>
  <si>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</si>
  <si>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</si>
  <si>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</si>
  <si>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</si>
  <si>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</si>
  <si>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</si>
  <si>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</si>
  <si>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</si>
  <si>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</si>
  <si>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</si>
  <si>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</si>
  <si>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</si>
  <si>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</si>
  <si>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</si>
  <si>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</si>
  <si>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</si>
  <si>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</si>
  <si>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</si>
  <si>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</si>
  <si>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</si>
  <si>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</si>
  <si>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</si>
  <si>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</si>
  <si>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</si>
  <si>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</si>
  <si>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</si>
  <si>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</si>
  <si>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</si>
  <si>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</si>
  <si>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</si>
  <si>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</si>
  <si>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</si>
  <si>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</si>
  <si>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</si>
  <si>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</si>
  <si>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</si>
  <si>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</si>
  <si>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</si>
  <si>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</si>
  <si>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</si>
  <si>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</si>
  <si>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</si>
  <si>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</si>
  <si>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</si>
  <si>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</si>
  <si>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</si>
  <si>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</si>
  <si>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</si>
  <si>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</si>
  <si>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</si>
  <si>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</si>
  <si>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</si>
  <si>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</si>
  <si>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</si>
  <si>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</si>
  <si>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</si>
  <si>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</si>
  <si>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</si>
  <si>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</si>
  <si>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</si>
  <si>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</si>
  <si>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</si>
  <si>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</si>
  <si>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</si>
  <si>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</si>
  <si>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</si>
  <si>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</si>
  <si>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</si>
  <si>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</si>
  <si>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</si>
  <si>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</si>
  <si>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</si>
  <si>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</si>
  <si>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</si>
  <si>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</si>
  <si>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</si>
  <si>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</si>
  <si>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</si>
  <si>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</si>
  <si>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</si>
  <si>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</si>
  <si>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</si>
  <si>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</si>
  <si>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</si>
  <si>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</si>
  <si>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</si>
  <si>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</si>
  <si>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</si>
  <si>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</si>
  <si>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</si>
  <si>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</si>
  <si>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</si>
  <si>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</si>
  <si>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</si>
  <si>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</si>
  <si>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</si>
  <si>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</si>
  <si>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</si>
  <si>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</si>
  <si>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</si>
  <si>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</si>
  <si>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</si>
  <si>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</si>
  <si>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</si>
  <si>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</si>
  <si>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</si>
  <si>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</si>
  <si>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</si>
  <si>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</si>
  <si>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</si>
  <si>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</si>
  <si>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</si>
  <si>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</si>
  <si>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</si>
  <si>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</si>
  <si>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</si>
  <si>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</si>
  <si>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</si>
  <si>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</si>
  <si>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</si>
  <si>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</si>
  <si>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</si>
  <si>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</si>
  <si>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</si>
  <si>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</si>
  <si>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</si>
  <si>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</si>
  <si>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</si>
  <si>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</si>
  <si>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</si>
  <si>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</si>
  <si>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</si>
  <si>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</si>
  <si>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</si>
  <si>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</si>
  <si>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</si>
  <si>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</si>
  <si>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</si>
  <si>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</si>
  <si>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</si>
  <si>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</si>
  <si>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</si>
  <si>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</si>
  <si>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</si>
  <si>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</si>
  <si>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</si>
  <si>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</si>
  <si>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</si>
  <si>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</si>
  <si>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</si>
  <si>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</si>
  <si>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</si>
  <si>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</si>
  <si>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</si>
  <si>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</si>
  <si>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</si>
  <si>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</si>
  <si>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</si>
  <si>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</si>
  <si>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</si>
  <si>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</si>
  <si>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</si>
  <si>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</si>
  <si>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</si>
  <si>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</si>
  <si>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</si>
  <si>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</si>
  <si>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</si>
  <si>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</si>
  <si>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</si>
  <si>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</si>
  <si>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</si>
  <si>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</si>
  <si>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</si>
  <si>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</si>
  <si>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</si>
  <si>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</si>
  <si>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</si>
  <si>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</si>
  <si>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</si>
  <si>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</si>
  <si>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</si>
  <si>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</si>
  <si>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</si>
  <si>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</si>
  <si>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</si>
  <si>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</si>
  <si>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</si>
  <si>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</si>
  <si>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</si>
  <si>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</si>
  <si>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</si>
  <si>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</si>
  <si>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</si>
  <si>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</si>
  <si>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</si>
  <si>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</si>
  <si>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</si>
  <si>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</si>
  <si>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</si>
  <si>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</si>
  <si>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</si>
  <si>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</si>
  <si>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</si>
  <si>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</si>
  <si>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</si>
  <si>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</si>
  <si>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</si>
  <si>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</si>
  <si>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</si>
  <si>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</si>
  <si>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</si>
  <si>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</si>
  <si>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</si>
  <si>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</si>
  <si>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</si>
  <si>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</si>
  <si>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</si>
  <si>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</si>
  <si>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</si>
  <si>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</si>
  <si>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</si>
  <si>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</si>
  <si>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</si>
  <si>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</si>
  <si>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</si>
  <si>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</si>
  <si>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</si>
  <si>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</si>
  <si>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</si>
  <si>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</si>
  <si>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</si>
  <si>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</si>
  <si>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</si>
  <si>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</si>
  <si>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</si>
  <si>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</si>
  <si>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</si>
  <si>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</si>
  <si>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</si>
  <si>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</si>
  <si>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</si>
  <si>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</si>
  <si>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</si>
  <si>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</si>
  <si>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</si>
  <si>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</si>
  <si>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</si>
  <si>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</si>
  <si>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</si>
  <si>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</si>
  <si>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</si>
  <si>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</si>
  <si>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</si>
  <si>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</si>
  <si>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</si>
  <si>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</si>
  <si>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</si>
  <si>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</si>
  <si>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</si>
  <si>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</si>
  <si>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</si>
  <si>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</si>
  <si>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</si>
  <si>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</si>
  <si>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</si>
  <si>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</si>
  <si>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</si>
  <si>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</si>
  <si>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</si>
  <si>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</si>
  <si>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</si>
  <si>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</si>
  <si>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</si>
  <si>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</si>
  <si>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</si>
  <si>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</si>
  <si>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</si>
  <si>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</si>
  <si>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</si>
  <si>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</si>
  <si>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</si>
  <si>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</si>
  <si>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</si>
  <si>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</si>
  <si>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</si>
  <si>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</si>
  <si>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</si>
  <si>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</si>
  <si>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</si>
  <si>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</si>
  <si>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</si>
  <si>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</si>
  <si>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</si>
  <si>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</si>
  <si>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</si>
  <si>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</si>
  <si>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</si>
  <si>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</si>
  <si>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</si>
  <si>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</si>
  <si>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</si>
  <si>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</si>
  <si>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</si>
  <si>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</si>
  <si>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</si>
  <si>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</si>
  <si>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</si>
  <si>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</si>
  <si>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</si>
  <si>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</si>
  <si>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</si>
  <si>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</si>
  <si>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</si>
  <si>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</si>
  <si>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</si>
  <si>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</si>
  <si>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</si>
  <si>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</si>
  <si>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</si>
  <si>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</si>
  <si>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</si>
  <si>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</si>
  <si>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</si>
  <si>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</si>
  <si>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</si>
  <si>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</si>
  <si>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</si>
  <si>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</si>
  <si>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</si>
  <si>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</si>
  <si>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</si>
  <si>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</si>
  <si>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</si>
  <si>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</si>
  <si>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</si>
  <si>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</si>
  <si>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</si>
  <si>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</si>
  <si>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</si>
  <si>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</si>
  <si>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</si>
  <si>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</si>
  <si>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</si>
  <si>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</si>
  <si>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</si>
  <si>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</si>
  <si>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</si>
  <si>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</si>
  <si>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</si>
  <si>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</si>
  <si>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</si>
  <si>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</si>
  <si>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</si>
  <si>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</si>
  <si>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</si>
  <si>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</si>
  <si>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</si>
  <si>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</si>
  <si>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</si>
  <si>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</si>
  <si>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</si>
  <si>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</si>
  <si>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</si>
  <si>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</si>
  <si>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</si>
  <si>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</si>
  <si>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</si>
  <si>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</si>
  <si>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</si>
  <si>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</si>
  <si>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</si>
  <si>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</si>
  <si>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</si>
  <si>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</si>
  <si>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</si>
  <si>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</si>
  <si>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</si>
  <si>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</si>
  <si>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</si>
  <si>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</si>
  <si>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</si>
  <si>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</si>
  <si>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</si>
  <si>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</si>
  <si>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</si>
  <si>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</si>
  <si>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</si>
  <si>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</si>
  <si>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</si>
  <si>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</si>
  <si>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</si>
  <si>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</si>
  <si>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</si>
  <si>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</si>
  <si>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</si>
  <si>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</si>
  <si>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</si>
  <si>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</si>
  <si>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</si>
  <si>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</si>
  <si>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</si>
  <si>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</si>
  <si>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</si>
  <si>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</si>
  <si>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</si>
  <si>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</si>
  <si>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</si>
  <si>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</si>
  <si>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</si>
  <si>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</si>
  <si>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</si>
  <si>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</si>
  <si>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</si>
  <si>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</si>
  <si>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</si>
  <si>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</si>
  <si>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</si>
  <si>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</si>
  <si>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</si>
  <si>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</si>
  <si>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</si>
  <si>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</si>
  <si>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</si>
  <si>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</si>
  <si>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</si>
  <si>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</si>
  <si>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</si>
  <si>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</si>
  <si>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</si>
  <si>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</si>
  <si>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</si>
  <si>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</si>
  <si>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</si>
  <si>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</si>
  <si>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</si>
  <si>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</si>
  <si>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</si>
  <si>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</si>
  <si>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</si>
  <si>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</si>
  <si>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</si>
  <si>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</si>
  <si>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</si>
  <si>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</si>
  <si>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</si>
  <si>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</si>
  <si>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</si>
  <si>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</si>
  <si>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</si>
  <si>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</si>
  <si>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</si>
  <si>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</si>
  <si>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</si>
  <si>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</si>
  <si>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</si>
  <si>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</si>
  <si>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</si>
  <si>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</si>
  <si>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</si>
  <si>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</si>
  <si>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</si>
  <si>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</si>
  <si>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</si>
  <si>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</si>
  <si>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</si>
  <si>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</si>
  <si>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</si>
  <si>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</si>
  <si>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</si>
  <si>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</si>
  <si>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</si>
  <si>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</si>
  <si>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</si>
  <si>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</si>
  <si>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</si>
  <si>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</si>
  <si>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</si>
  <si>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</si>
  <si>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</si>
  <si>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</si>
  <si>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</si>
  <si>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</si>
  <si>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</si>
  <si>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</si>
  <si>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</si>
  <si>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</si>
  <si>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</si>
  <si>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</si>
  <si>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</si>
  <si>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</si>
  <si>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</si>
  <si>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</si>
  <si>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</si>
  <si>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</si>
  <si>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</si>
  <si>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</si>
  <si>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</si>
  <si>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</si>
  <si>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</si>
  <si>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</si>
  <si>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</si>
  <si>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</si>
  <si>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</si>
  <si>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</si>
  <si>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</si>
  <si>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</si>
  <si>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</si>
  <si>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</si>
  <si>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</si>
  <si>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</si>
  <si>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</si>
  <si>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</si>
  <si>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</si>
  <si>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</si>
  <si>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</si>
  <si>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</si>
  <si>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</si>
  <si>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</si>
  <si>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</si>
  <si>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</si>
  <si>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</si>
  <si>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</si>
  <si>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</si>
  <si>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</si>
  <si>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</si>
  <si>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</si>
  <si>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</si>
  <si>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</si>
  <si>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</si>
  <si>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</si>
  <si>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</si>
  <si>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</si>
  <si>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</si>
  <si>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</si>
  <si>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</si>
  <si>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</si>
  <si>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</si>
  <si>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</si>
  <si>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</si>
  <si>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</si>
  <si>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</si>
  <si>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</si>
  <si>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</si>
  <si>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</si>
  <si>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</si>
  <si>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</si>
  <si>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</si>
  <si>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</si>
  <si>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</si>
  <si>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</si>
  <si>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</si>
  <si>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</si>
  <si>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</si>
  <si>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</si>
  <si>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</si>
  <si>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</si>
  <si>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</si>
  <si>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</si>
  <si>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</si>
  <si>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</si>
  <si>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</si>
  <si>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</si>
  <si>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</si>
  <si>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</si>
  <si>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</si>
  <si>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</si>
  <si>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</si>
  <si>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</si>
  <si>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</si>
  <si>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</si>
  <si>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</si>
  <si>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</si>
  <si>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</si>
  <si>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</si>
  <si>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</si>
  <si>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</si>
  <si>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</si>
  <si>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</si>
  <si>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</si>
  <si>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</si>
  <si>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</si>
  <si>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</si>
  <si>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</si>
  <si>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</si>
  <si>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</si>
  <si>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</si>
  <si>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</si>
  <si>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</si>
  <si>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</si>
  <si>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</si>
  <si>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</si>
  <si>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</si>
  <si>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</si>
  <si>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</si>
  <si>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</si>
  <si>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</si>
  <si>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</si>
  <si>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</si>
  <si>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</si>
  <si>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</si>
  <si>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</si>
  <si>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</si>
  <si>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</si>
  <si>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</si>
  <si>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</si>
  <si>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</si>
  <si>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</si>
  <si>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</si>
  <si>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</si>
  <si>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</si>
  <si>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</si>
  <si>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</si>
  <si>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</si>
  <si>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</si>
  <si>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</si>
  <si>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</si>
  <si>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</si>
  <si>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</si>
  <si>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</si>
  <si>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</si>
  <si>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</si>
  <si>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</si>
  <si>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</si>
  <si>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</si>
  <si>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</si>
  <si>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</si>
  <si>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</si>
  <si>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</si>
  <si>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</si>
  <si>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</si>
  <si>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</si>
  <si>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</si>
  <si>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</si>
  <si>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</si>
  <si>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</si>
  <si>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</si>
  <si>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</si>
  <si>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</si>
  <si>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</si>
  <si>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</si>
  <si>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</si>
  <si>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</si>
  <si>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</si>
  <si>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</si>
  <si>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</si>
  <si>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</si>
  <si>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</si>
  <si>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</si>
  <si>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</si>
  <si>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</si>
  <si>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</si>
  <si>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</si>
  <si>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</si>
  <si>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</si>
  <si>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</si>
  <si>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</si>
  <si>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</si>
  <si>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</si>
  <si>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</si>
  <si>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</si>
  <si>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</si>
  <si>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</si>
  <si>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</si>
  <si>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</si>
  <si>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</si>
  <si>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</si>
  <si>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</si>
  <si>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</si>
  <si>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</si>
  <si>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</si>
  <si>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</si>
  <si>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</si>
  <si>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</si>
  <si>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</si>
  <si>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</si>
  <si>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</si>
  <si>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</si>
  <si>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</si>
  <si>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</si>
  <si>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</si>
  <si>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</si>
  <si>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</si>
  <si>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</si>
  <si>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</si>
  <si>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</si>
  <si>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</si>
  <si>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</si>
  <si>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</si>
  <si>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</si>
  <si>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</si>
  <si>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</si>
  <si>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</si>
  <si>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</si>
  <si>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</si>
  <si>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</si>
  <si>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</si>
  <si>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</si>
  <si>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</si>
  <si>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</si>
  <si>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</si>
  <si>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</si>
  <si>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</si>
  <si>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</si>
  <si>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</si>
  <si>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</si>
  <si>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</si>
  <si>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</si>
  <si>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</si>
  <si>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</si>
  <si>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</si>
  <si>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</si>
  <si>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</si>
  <si>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</si>
  <si>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</si>
  <si>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</si>
  <si>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</si>
  <si>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</si>
  <si>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</si>
  <si>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</si>
  <si>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</si>
  <si>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</si>
  <si>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</si>
  <si>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</si>
  <si>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</si>
  <si>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</si>
  <si>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</si>
  <si>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</si>
  <si>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</si>
  <si>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</si>
  <si>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</si>
  <si>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</si>
  <si>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</si>
  <si>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</si>
  <si>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</si>
  <si>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</si>
  <si>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</si>
  <si>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</si>
  <si>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</si>
  <si>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</si>
  <si>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</si>
  <si>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</si>
  <si>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</si>
  <si>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</si>
  <si>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</si>
  <si>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</si>
  <si>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</si>
  <si>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</si>
  <si>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</si>
  <si>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</si>
  <si>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</si>
  <si>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</si>
  <si>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</si>
  <si>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</si>
  <si>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</si>
  <si>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</si>
  <si>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</si>
  <si>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</si>
  <si>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</si>
  <si>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</si>
  <si>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</si>
  <si>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</si>
  <si>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</si>
  <si>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</si>
  <si>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</si>
  <si>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</si>
  <si>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</si>
  <si>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</si>
  <si>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</si>
  <si>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</si>
  <si>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</si>
  <si>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</si>
  <si>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</si>
  <si>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</si>
  <si>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</si>
  <si>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</si>
  <si>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</si>
  <si>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</si>
  <si>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</si>
  <si>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</si>
  <si>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</si>
  <si>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</si>
  <si>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</si>
  <si>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</si>
  <si>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</si>
  <si>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</si>
  <si>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</si>
  <si>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</si>
  <si>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</si>
  <si>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</si>
  <si>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</si>
  <si>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</si>
  <si>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</si>
  <si>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</si>
  <si>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</si>
  <si>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</si>
  <si>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</si>
  <si>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</si>
  <si>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</si>
  <si>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</si>
  <si>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</si>
  <si>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</si>
  <si>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</si>
  <si>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</si>
  <si>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</si>
  <si>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</si>
  <si>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</si>
  <si>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</si>
  <si>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</si>
  <si>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</si>
  <si>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</si>
  <si>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</si>
  <si>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</si>
  <si>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</si>
  <si>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</si>
  <si>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</si>
  <si>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</si>
  <si>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</si>
  <si>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</si>
  <si>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</si>
  <si>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</si>
  <si>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</si>
  <si>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</si>
  <si>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</si>
  <si>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</si>
  <si>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</si>
  <si>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</si>
  <si>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</si>
  <si>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</si>
  <si>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</si>
  <si>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</si>
  <si>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</si>
  <si>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</si>
  <si>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</si>
  <si>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</si>
  <si>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</si>
  <si>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</si>
  <si>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</si>
  <si>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</si>
  <si>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</si>
  <si>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</si>
  <si>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</si>
  <si>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</si>
  <si>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</si>
  <si>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</si>
  <si>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</si>
  <si>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</si>
  <si>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</si>
  <si>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</si>
  <si>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</si>
  <si>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</si>
  <si>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</si>
  <si>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</si>
  <si>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</si>
  <si>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</si>
  <si>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</si>
  <si>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</si>
  <si>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</si>
  <si>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</si>
  <si>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</si>
  <si>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</si>
  <si>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</si>
  <si>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</si>
  <si>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</si>
  <si>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</si>
  <si>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</si>
  <si>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</si>
  <si>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</si>
  <si>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</si>
  <si>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</si>
  <si>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</si>
  <si>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</si>
  <si>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</si>
  <si>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</si>
  <si>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</si>
  <si>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</si>
  <si>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</si>
  <si>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</si>
  <si>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</si>
  <si>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</si>
  <si>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</si>
  <si>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</si>
  <si>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</si>
  <si>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</si>
  <si>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</si>
  <si>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</si>
  <si>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</si>
  <si>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</si>
  <si>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</si>
  <si>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</si>
  <si>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</si>
  <si>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</si>
  <si>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</si>
  <si>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</si>
  <si>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</si>
  <si>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</si>
  <si>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</si>
  <si>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</si>
  <si>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</si>
  <si>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</si>
  <si>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</si>
  <si>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</si>
  <si>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</si>
  <si>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</si>
  <si>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</si>
  <si>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</si>
  <si>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</si>
  <si>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</si>
  <si>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</si>
  <si>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</si>
  <si>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</si>
  <si>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</si>
  <si>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</si>
  <si>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</si>
  <si>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</si>
  <si>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</si>
  <si>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</si>
  <si>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</si>
  <si>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</si>
  <si>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</si>
  <si>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</si>
  <si>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</si>
  <si>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</si>
  <si>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</si>
  <si>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</si>
  <si>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</si>
  <si>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</si>
  <si>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</si>
  <si>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</si>
  <si>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</si>
  <si>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</si>
  <si>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</si>
  <si>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</si>
  <si>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</si>
  <si>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</si>
  <si>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</si>
  <si>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</si>
  <si>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</si>
  <si>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</si>
  <si>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</si>
  <si>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</si>
  <si>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</si>
  <si>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</si>
  <si>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</si>
  <si>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</si>
  <si>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</si>
  <si>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</si>
  <si>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</si>
  <si>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</si>
  <si>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</si>
  <si>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</si>
  <si>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</si>
  <si>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</si>
  <si>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</si>
  <si>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</si>
  <si>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</si>
  <si>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</si>
  <si>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</si>
  <si>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</si>
  <si>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</si>
  <si>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</si>
  <si>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</si>
  <si>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</si>
  <si>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</si>
  <si>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</si>
  <si>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</si>
  <si>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</si>
  <si>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</si>
  <si>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</si>
  <si>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</si>
  <si>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</si>
  <si>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</si>
  <si>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</si>
  <si>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</si>
  <si>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</si>
  <si>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</si>
  <si>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</si>
  <si>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</si>
  <si>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</si>
  <si>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</si>
  <si>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</si>
  <si>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</si>
  <si>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</si>
  <si>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</si>
  <si>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</si>
  <si>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</si>
  <si>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</si>
  <si>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</si>
  <si>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</si>
  <si>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</si>
  <si>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</si>
  <si>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</si>
  <si>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</si>
  <si>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</si>
  <si>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</si>
  <si>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</si>
  <si>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</si>
  <si>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</si>
  <si>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</si>
  <si>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</si>
  <si>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</si>
  <si>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</si>
  <si>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</si>
  <si>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</si>
  <si>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</si>
  <si>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</si>
  <si>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</si>
  <si>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</si>
  <si>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</si>
  <si>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</si>
  <si>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</si>
  <si>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</si>
  <si>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</si>
  <si>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</si>
  <si>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</si>
  <si>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</si>
  <si>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</si>
  <si>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</si>
  <si>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</si>
  <si>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</si>
  <si>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</si>
  <si>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</si>
  <si>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</si>
  <si>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</si>
  <si>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</si>
  <si>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</si>
  <si>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</si>
  <si>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</si>
  <si>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</si>
  <si>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</si>
  <si>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</si>
  <si>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</si>
  <si>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</si>
  <si>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</si>
  <si>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</si>
  <si>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</si>
  <si>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</si>
  <si>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</si>
  <si>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</si>
  <si>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</si>
  <si>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</si>
  <si>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</si>
  <si>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</si>
  <si>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</si>
  <si>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</si>
  <si>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</si>
  <si>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</si>
  <si>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</si>
  <si>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</si>
  <si>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</si>
  <si>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</si>
  <si>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</si>
  <si>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</si>
  <si>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</si>
  <si>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</si>
  <si>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</si>
  <si>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</si>
  <si>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</si>
  <si>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</si>
  <si>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</si>
  <si>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</si>
  <si>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</si>
  <si>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</si>
  <si>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</si>
  <si>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</si>
  <si>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</si>
  <si>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</si>
  <si>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</si>
  <si>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</si>
  <si>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</si>
  <si>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</si>
  <si>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</si>
  <si>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</si>
  <si>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</si>
  <si>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</si>
  <si>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</si>
  <si>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</si>
  <si>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</si>
  <si>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</si>
  <si>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</si>
  <si>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</si>
  <si>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</si>
  <si>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</si>
  <si>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</si>
  <si>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</si>
  <si>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</si>
  <si>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</si>
  <si>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</si>
  <si>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</si>
  <si>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</si>
  <si>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</si>
  <si>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</si>
  <si>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</si>
  <si>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</si>
  <si>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</si>
  <si>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</si>
  <si>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</si>
  <si>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</si>
  <si>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</si>
  <si>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</si>
  <si>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</si>
  <si>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</si>
  <si>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</si>
  <si>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</si>
  <si>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</si>
  <si>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</si>
  <si>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</si>
  <si>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</si>
  <si>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</si>
  <si>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</si>
  <si>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</si>
  <si>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</si>
  <si>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</si>
  <si>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</si>
  <si>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</si>
  <si>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</si>
  <si>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</si>
  <si>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</si>
  <si>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</si>
  <si>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</si>
  <si>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</si>
  <si>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</si>
  <si>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</si>
  <si>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</si>
  <si>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</si>
  <si>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</si>
  <si>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</si>
  <si>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</si>
  <si>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</si>
  <si>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</si>
  <si>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</si>
  <si>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</si>
  <si>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</si>
  <si>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</si>
  <si>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</si>
  <si>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</si>
  <si>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</si>
  <si>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</si>
  <si>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</si>
  <si>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</si>
  <si>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</si>
  <si>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</si>
  <si>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</si>
  <si>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</si>
  <si>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</si>
  <si>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</si>
  <si>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</si>
  <si>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</si>
  <si>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</si>
  <si>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</si>
  <si>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</si>
  <si>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</si>
  <si>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</si>
  <si>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</si>
  <si>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</si>
  <si>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</si>
  <si>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</si>
  <si>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</si>
  <si>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</si>
  <si>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</si>
  <si>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</si>
  <si>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</si>
  <si>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</si>
  <si>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</si>
  <si>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</si>
  <si>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</si>
  <si>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</si>
  <si>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</si>
  <si>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</si>
  <si>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</si>
  <si>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</si>
  <si>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</si>
  <si>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</si>
  <si>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</si>
  <si>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</si>
  <si>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</si>
  <si>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</si>
  <si>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</si>
  <si>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</si>
  <si>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</si>
  <si>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</si>
  <si>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</si>
  <si>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</si>
  <si>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</si>
  <si>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</si>
  <si>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</si>
  <si>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</si>
  <si>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</si>
  <si>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</si>
  <si>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</si>
  <si>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</si>
  <si>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</si>
  <si>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</si>
  <si>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</si>
  <si>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</si>
  <si>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</si>
  <si>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</si>
  <si>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</si>
  <si>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</si>
  <si>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</si>
  <si>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</si>
  <si>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</si>
  <si>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</si>
  <si>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</si>
  <si>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</si>
  <si>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</si>
  <si>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</si>
  <si>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</si>
  <si>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</si>
  <si>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</si>
  <si>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</si>
  <si>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</si>
  <si>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</si>
  <si>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</si>
  <si>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</si>
  <si>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</si>
  <si>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</si>
  <si>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</si>
  <si>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</si>
  <si>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</si>
  <si>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</si>
  <si>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</si>
  <si>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</si>
  <si>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</si>
  <si>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</si>
  <si>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</si>
  <si>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</si>
  <si>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</si>
  <si>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</si>
  <si>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</si>
  <si>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</si>
  <si>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</si>
  <si>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</si>
  <si>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</si>
  <si>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</si>
  <si>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</si>
  <si>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</si>
  <si>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</si>
  <si>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</si>
  <si>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07-016-2270-17</t>
  </si>
  <si>
    <t xml:space="preserve">Cook </t>
  </si>
  <si>
    <t>Rich Township High School District 227</t>
  </si>
  <si>
    <t>20550 S Cicero Avenue</t>
  </si>
  <si>
    <t>Matteson</t>
  </si>
  <si>
    <t>Bloom</t>
  </si>
  <si>
    <t>Dr. Johnnie Thomas</t>
  </si>
  <si>
    <t>708-679-5800</t>
  </si>
  <si>
    <t>708-679-5733</t>
  </si>
  <si>
    <t>Dr. Robert G. Grossi</t>
  </si>
  <si>
    <t>708-754-3677</t>
  </si>
  <si>
    <t>708-754-0208</t>
  </si>
  <si>
    <t xml:space="preserve">Betsy Allen </t>
  </si>
  <si>
    <t>Dr. Vanessa Kinder (ISC#4)</t>
  </si>
  <si>
    <t>vkinder@s-cook.org</t>
  </si>
  <si>
    <t>708-754-6600</t>
  </si>
  <si>
    <t>708-754-8687</t>
  </si>
  <si>
    <t>Building and Grounds - Plant Srv - Purchased Srv</t>
  </si>
  <si>
    <t>20-2540-300</t>
  </si>
  <si>
    <t>Northside Construction</t>
  </si>
  <si>
    <t>Education - Guidance - Purchased Srv</t>
  </si>
  <si>
    <t>Reliance Home Health</t>
  </si>
  <si>
    <t>Education - CTE - Purchased Srv</t>
  </si>
  <si>
    <t>Certiport</t>
  </si>
  <si>
    <t>Property Care Management</t>
  </si>
  <si>
    <t>Education - Cummunity Srv - Purchased Srv</t>
  </si>
  <si>
    <t>Inter Vision International, Inc</t>
  </si>
  <si>
    <t>Education - Fiscal Srv - Purchased Srv</t>
  </si>
  <si>
    <t>10-2520-300</t>
  </si>
  <si>
    <t xml:space="preserve">Legacy Professional </t>
  </si>
  <si>
    <t>Education - Interscholastic - Purchased Srv</t>
  </si>
  <si>
    <t>Riddell/All American</t>
  </si>
  <si>
    <t>Education - Data Processing - Purchased Srv</t>
  </si>
  <si>
    <t>10-2660-300</t>
  </si>
  <si>
    <t>Power School Group</t>
  </si>
  <si>
    <t>Sada Systems</t>
  </si>
  <si>
    <t>Education - Special Ed Instrc - Purchased Srv</t>
  </si>
  <si>
    <t>Talent Assessment, Inc</t>
  </si>
  <si>
    <t>Education - Board of Education - Purchased Srv</t>
  </si>
  <si>
    <t>Schlechty Center</t>
  </si>
  <si>
    <t>Transportation - Pupil Trans - Purchased Srv</t>
  </si>
  <si>
    <t>40-2550-300</t>
  </si>
  <si>
    <t>HS Transportation</t>
  </si>
  <si>
    <t>Educatation - Impro Instruction - Purchased Srv</t>
  </si>
  <si>
    <t>The College Board/MRO</t>
  </si>
  <si>
    <t>Education - Staff Srv - Purchased Srv</t>
  </si>
  <si>
    <t>10-2640-300</t>
  </si>
  <si>
    <t>Humanex Ventures, LLC</t>
  </si>
  <si>
    <t>Hodges Loizzi Eisenhammer Rodick &amp; Kohn</t>
  </si>
  <si>
    <t>ED- Prof Srv</t>
  </si>
  <si>
    <t>Acedemic Tutorings, LLC</t>
  </si>
  <si>
    <t>All Transportation Matters</t>
  </si>
  <si>
    <t>Education - Testing/Assessment - Purchased Srv</t>
  </si>
  <si>
    <t>Elevate Learning, LLC</t>
  </si>
  <si>
    <t>Kickert Bus Lines, INC</t>
  </si>
  <si>
    <t>Bloom Township Trustee of Schools</t>
  </si>
  <si>
    <t>Hauser Izzo, LLC</t>
  </si>
  <si>
    <t>Renaissance Learning</t>
  </si>
  <si>
    <t>Special Transportation Co</t>
  </si>
  <si>
    <t>Phil's Paige Business Ventures</t>
  </si>
  <si>
    <t>American School Bus</t>
  </si>
  <si>
    <t>Illinois School Bus</t>
  </si>
  <si>
    <t xml:space="preserve"> GO Bonds (ARS) Series 2009 </t>
  </si>
  <si>
    <t xml:space="preserve"> GO Limited School Bonds, Series 2011A </t>
  </si>
  <si>
    <t xml:space="preserve"> GO Refunding Bonds, Series 2015 </t>
  </si>
  <si>
    <t xml:space="preserve"> GO Limited Tax Refunding Bonds, Series 2016 </t>
  </si>
  <si>
    <t>Capital Lease - Copiers</t>
  </si>
  <si>
    <t>Capital Lease - Bus</t>
  </si>
  <si>
    <t>Capital Lease</t>
  </si>
  <si>
    <t>The District is a member of SPEED 802</t>
  </si>
  <si>
    <t>The District is a member of EBC for employee benefits</t>
  </si>
  <si>
    <t>The District partners with SD159 for catering services</t>
  </si>
  <si>
    <t>The District is part of CLIC for legal liability, WC, and property insurance</t>
  </si>
  <si>
    <t>The District invests with 17 other districts (Bloom Township School Treasurer)</t>
  </si>
  <si>
    <t>U.S. DEPARTMENT OF EDUCATION</t>
  </si>
  <si>
    <t>PASSED THROUGH IL STATE BOARD OF EDUCATION</t>
  </si>
  <si>
    <t>(M) Title I-Low Income</t>
  </si>
  <si>
    <t>84.010A</t>
  </si>
  <si>
    <t>17-4300-00</t>
  </si>
  <si>
    <t>18-4300-00</t>
  </si>
  <si>
    <t>Title IV- Student Support &amp; Academic Enrich</t>
  </si>
  <si>
    <t>84.424A</t>
  </si>
  <si>
    <t>18-4400-00</t>
  </si>
  <si>
    <t>Tittle III- Lang Inst Prog- Limited Eng LIPLEP</t>
  </si>
  <si>
    <t>84.365A</t>
  </si>
  <si>
    <t>17-4909-00</t>
  </si>
  <si>
    <t>84.367A</t>
  </si>
  <si>
    <t>17-4932-00</t>
  </si>
  <si>
    <t>18-4932-00</t>
  </si>
  <si>
    <t>Fed.-Spec. Ed.- IDEA- Room &amp; Board</t>
  </si>
  <si>
    <t>84.027A</t>
  </si>
  <si>
    <t>17-4625-00</t>
  </si>
  <si>
    <t>PASSED THROUGH CAREER PREPARATION NETWORK</t>
  </si>
  <si>
    <t xml:space="preserve">CTE Perkins - Secondary </t>
  </si>
  <si>
    <t>84.048A</t>
  </si>
  <si>
    <t>18-4745-00</t>
  </si>
  <si>
    <t>17-4745-00</t>
  </si>
  <si>
    <t>PASSED THROUGH SPECIAL EDUCATION JOINT AGREEMENT SCHOOL DISTRICT #802</t>
  </si>
  <si>
    <t>Fed.-Spec. Ed.- IDEA- Flow Through</t>
  </si>
  <si>
    <t>17-4620-00</t>
  </si>
  <si>
    <t>18-4620-00</t>
  </si>
  <si>
    <t>SUBTOTAL - PASSED THROUGH IL STATE BOARD OF EDUCATION</t>
  </si>
  <si>
    <t>SUBTOTAL (PASSED THROUGH SPECIAL EDUCATION JOINT AGREEMENT SCHOOL DISTRICT #802)</t>
  </si>
  <si>
    <t>REHAB</t>
  </si>
  <si>
    <t>TOTAL U.S. -DEPARTMENT OF EDUCATION</t>
  </si>
  <si>
    <t>U.S. DEPARTMENT OF AGRICULTURE</t>
  </si>
  <si>
    <t>(M) National School Lunch Program</t>
  </si>
  <si>
    <t>17-4210-00</t>
  </si>
  <si>
    <t>18-4210-00</t>
  </si>
  <si>
    <t>(M) School Breakfast Program</t>
  </si>
  <si>
    <t>17-4220-00</t>
  </si>
  <si>
    <t>18-4220-00</t>
  </si>
  <si>
    <t>(M) Non-Cash USDA Foods</t>
  </si>
  <si>
    <t>FY2018</t>
  </si>
  <si>
    <t>(M) DoD Fresh Fruits and Vegatables</t>
  </si>
  <si>
    <t>U.S. DEPARTMENT OF HEALTH AND FAMILY SERVICES</t>
  </si>
  <si>
    <t>PASSED THROUGH DEPARTMENT OF HEALTHCARE AND FAMILY SERVICES</t>
  </si>
  <si>
    <t xml:space="preserve">Medicaid Matching Funds- Admin Outreach </t>
  </si>
  <si>
    <t>18-4991-00</t>
  </si>
  <si>
    <t>TOTAL U.S. DEPARTMENT OF AGRICULTURE</t>
  </si>
  <si>
    <t>TOTAL U.S. DEPARTMENT OF HEALTH AND FAMILY SERVICES</t>
  </si>
  <si>
    <t>TOTAL FEDERAL ASSISTANCE</t>
  </si>
  <si>
    <t>10-3000-300</t>
  </si>
  <si>
    <t>10-2100-300</t>
  </si>
  <si>
    <t>10-1000-300</t>
  </si>
  <si>
    <t>10-2300-300</t>
  </si>
  <si>
    <t>10-2200-300</t>
  </si>
  <si>
    <r>
      <t xml:space="preserve">The accompanying Schedule of Expenditures of Federal Awards includes the federal grant activity of </t>
    </r>
    <r>
      <rPr>
        <b/>
        <sz val="9"/>
        <rFont val="Calibri"/>
        <family val="2"/>
        <scheme val="minor"/>
      </rPr>
      <t xml:space="preserve">Rich Township School
District 227 </t>
    </r>
    <r>
      <rPr>
        <sz val="9"/>
        <rFont val="Calibri"/>
        <family val="2"/>
        <scheme val="minor"/>
      </rPr>
      <t xml:space="preserve">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</si>
  <si>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N/A</t>
  </si>
  <si>
    <r>
      <t xml:space="preserve">Of the federal expenditures presented in the schedule, </t>
    </r>
    <r>
      <rPr>
        <b/>
        <sz val="9"/>
        <rFont val="Calibri"/>
        <family val="2"/>
        <scheme val="minor"/>
      </rPr>
      <t>Rich Township School
District 227</t>
    </r>
    <r>
      <rPr>
        <sz val="9"/>
        <rFont val="Calibri"/>
        <family val="2"/>
        <scheme val="minor"/>
      </rPr>
      <t xml:space="preserve"> provided federal awards to subrecipients as follows:</t>
    </r>
  </si>
  <si>
    <t>Unmodified</t>
  </si>
  <si>
    <t>Title I Low Income</t>
  </si>
  <si>
    <t>National School Lunch</t>
  </si>
  <si>
    <t>2017-002</t>
  </si>
  <si>
    <t>Expenditure reports submitted by the District included amounts in excess of the District's general ledger.</t>
  </si>
  <si>
    <t>2017-001</t>
  </si>
  <si>
    <t>While select District management personnel fully understand the District's financial statements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</si>
  <si>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Remains a finding in 2017-2018 - See finding 2018-001</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</si>
  <si>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</si>
  <si>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</si>
  <si>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</si>
  <si>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</si>
  <si>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the year end audit.</t>
  </si>
  <si>
    <t>Corrected in 2017-2018 - However, see finding 2018-002 for late submission of expenditure report</t>
  </si>
  <si>
    <t xml:space="preserve">Title I Low Income - 2018
</t>
  </si>
  <si>
    <t>Illinois State Board of Education</t>
  </si>
  <si>
    <t>U.S. Department of Education</t>
  </si>
  <si>
    <t xml:space="preserve">Uniform Grant Guidance requires the District to submit the Data Collection Form and single audit reporting package to the Federal Audit Clearinghouse within the earlier of nine months following its fiscal year end, or 30 days after receipt of the auditors' report. </t>
  </si>
  <si>
    <t>The District failed to submit the Data Collection Form and single audit reporting package to the Federal Audit Clearinghouse within the earlier of nine months following its fiscal year end, or 30 days after receipt of the auditors' report</t>
  </si>
  <si>
    <t xml:space="preserve">Late submission results in a criteria being met under which the District may not be considered a low-risk auditee.  Further, the late submission may impact the availability of certain sources of federal revenues, including those passed through state and local agencies. </t>
  </si>
  <si>
    <t>We recommend the District prepare and submite the reports timely.</t>
  </si>
  <si>
    <t>The 2017-2018 Data Collection Form was submitted/accepted by FAC more than 30 days after the date of receipt of the auditor's report.</t>
  </si>
  <si>
    <t>The District does not perform reconciliations properly or in a timely manner. Certain reconciling items have been on the reconciliation since 2011 and the September 2018 reconciliation was not performed at month end. In addition, the reconciliations were not always properly approved.</t>
  </si>
  <si>
    <t>Cash and investment testing</t>
  </si>
  <si>
    <t>Lack of adherence to policy and process</t>
  </si>
  <si>
    <t>We recommend that management adhere to specific controls put in place and enforce timely review and approval of bank reconcilaitions as these are high dollar value assets.</t>
  </si>
  <si>
    <t>The District requires that monthly bank reconcilaitions be prepared and approved in a timely manner.</t>
  </si>
  <si>
    <t xml:space="preserve">In regards to Food Service Revenue, a single employee (food services secretary) is in control of the food service revenue from start to finish. The employee collects the checks and cash related to food service, deposits the money in the bank, submits the journal entry to record the revenue to the treasurer's office, and finally reconciles the account. </t>
  </si>
  <si>
    <t>Food Service Revenue</t>
  </si>
  <si>
    <t>Lack of proper internal controls related to the account</t>
  </si>
  <si>
    <t>We recommends as the District is larger in size, there should be segregation of duties for the food service revenues, so that one employee is not in control of the whole process.</t>
  </si>
  <si>
    <t xml:space="preserve">The District does not formally track capital asset additions, deletions, and depreciation; nor does it maintain proper records of historical cost and accumulated depreciation. </t>
  </si>
  <si>
    <t>Capital Assets accounts</t>
  </si>
  <si>
    <t>Misstatement may rise to a significant level due to the compounding of annual differences over time.</t>
  </si>
  <si>
    <t>The District has the ability to track capital assets in the accounting system put chooses to track the assets manually in excel.</t>
  </si>
  <si>
    <t xml:space="preserve">We recommend the District maintain these accounts within its accounting system as manual tracking leaves the accounts prone to significant misstatement. </t>
  </si>
  <si>
    <t>Capital Assets must be reported at cost less acummulated depreciation.</t>
  </si>
  <si>
    <t>Agency Cash Funds Segregation of Duties and Lack of Bank Reconciliation Review</t>
  </si>
  <si>
    <t>We noted the Superintendent of Business and Operations is an authorized signer on the District activity related to the District’s agency accounts and is also responsible for preparing and reviewing the bank reconciliation related to this account.  We also noted that several other accounts' bank reconciliations had no indication of review.</t>
  </si>
  <si>
    <t>Internal controls such as segregation of duties must be applied, especially to high dollar value asset accounts</t>
  </si>
  <si>
    <t>We recommends as the District is larger in size, there should be segregation of duties for the agency accounts, so that one employee is not in control of the whole process.</t>
  </si>
  <si>
    <t xml:space="preserve">Error page - Page 24 - the error is due to a capital lease for busses that is accounted for in the Transportation Fund. </t>
  </si>
  <si>
    <t>aevans@rich227.org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</si>
</sst>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 numFmtId="182" formatCode="0.000%"/>
    <numFmt numFmtId="183" formatCode="000000"/>
    <numFmt numFmtId="184" formatCode="#,##0;\-#,##0;&quot;-&quot;"/>
    <numFmt numFmtId="185" formatCode="#,##0.00;\-#,##0.00;&quot;-&quot;"/>
    <numFmt numFmtId="186" formatCode="#,##0%;\-#,##0%;&quot;- &quot;"/>
    <numFmt numFmtId="187" formatCode="#,##0.0%;\-#,##0.0%;&quot;- &quot;"/>
    <numFmt numFmtId="188" formatCode="#,##0.00%;\-#,##0.00%;&quot;- &quot;"/>
    <numFmt numFmtId="189" formatCode="#,##0.0;\-#,##0.0;&quot;-&quot;"/>
    <numFmt numFmtId="190" formatCode="_._.* #,##0.0_)_%;_._.* \(#,##0.0\)_%"/>
    <numFmt numFmtId="191" formatCode="_._.* #,##0.00_)_%;_._.* \(#,##0.00\)_%"/>
    <numFmt numFmtId="192" formatCode="_._.* #,##0.000_)_%;_._.* \(#,##0.000\)_%"/>
    <numFmt numFmtId="193" formatCode="_._.* #,##0.0000_)_%;_._.* \(#,##0.0000\)_%"/>
    <numFmt numFmtId="194" formatCode="#,##0\ &quot;Ft&quot;;\-#,##0\ &quot;Ft&quot;"/>
    <numFmt numFmtId="195" formatCode="_._.&quot;$&quot;* #,##0.0_)_%;_._.&quot;$&quot;* \(#,##0.0\)_%"/>
    <numFmt numFmtId="196" formatCode="_._.&quot;$&quot;* #,##0.00_)_%;_._.&quot;$&quot;* \(#,##0.00\)_%"/>
    <numFmt numFmtId="197" formatCode="_._.&quot;$&quot;* #,##0.000_)_%;_._.&quot;$&quot;* \(#,##0.000\)_%"/>
    <numFmt numFmtId="198" formatCode="_._.&quot;$&quot;* #,##0.0000_)_%;_._.&quot;$&quot;* \(#,##0.0000\)_%"/>
    <numFmt numFmtId="199" formatCode="&quot;$&quot;#,##0\ ;\(&quot;$&quot;#,##0\)"/>
    <numFmt numFmtId="200" formatCode="#,##0.0000_);[Red]\(#,##0.0000\)"/>
    <numFmt numFmtId="201" formatCode="_-* #,##0.00\ &quot;€&quot;_-;\-* #,##0.00\ &quot;€&quot;_-;_-* &quot;-&quot;??\ &quot;€&quot;_-;_-@_-"/>
    <numFmt numFmtId="202" formatCode="\j\u\a\n"/>
    <numFmt numFmtId="203" formatCode="_ * #,##0_ ;_ * \-#,##0_ ;_ * &quot;-&quot;_ ;_ @_ "/>
    <numFmt numFmtId="204" formatCode="[Red]0%;[Red]\(0%\)"/>
    <numFmt numFmtId="205" formatCode="_._._(* 0_)%;_._.* \(0\)%"/>
    <numFmt numFmtId="206" formatCode="0%_);\(0%\)"/>
    <numFmt numFmtId="207" formatCode="0%;\(0%\)"/>
    <numFmt numFmtId="208" formatCode="_(0.0_)%;\(0.0\)%"/>
    <numFmt numFmtId="209" formatCode="_._._(* 0.0_)%;_._.* \(0.0\)%"/>
    <numFmt numFmtId="210" formatCode="_(0.00_)%;\(0.00\)%"/>
    <numFmt numFmtId="211" formatCode="_._._(* 0.00_)%;_._.* \(0.00\)%"/>
    <numFmt numFmtId="212" formatCode="_(0.000_)%;\(0.000\)%"/>
    <numFmt numFmtId="213" formatCode="_._._(* 0.000_)%;_._.* \(0.000\)%"/>
    <numFmt numFmtId="214" formatCode="_(0.0000_)%;\(0.0000\)%"/>
    <numFmt numFmtId="215" formatCode="_._._(* 0.0000_)%;_._.* \(0.0000\)%"/>
    <numFmt numFmtId="216" formatCode="\ \ @"/>
    <numFmt numFmtId="217" formatCode="\ \ \ \ @"/>
    <numFmt numFmtId="218" formatCode="_(* #,##0_);_(* \(#,##0\);_(* 0_);_(@_)"/>
    <numFmt numFmtId="219" formatCode="_(* #,##0.0_);_(* \(#,##0.0\)"/>
    <numFmt numFmtId="220" formatCode="_(* #,##0.00_);_(* \(#,##0.00\)"/>
    <numFmt numFmtId="221" formatCode="_(* #,##0.000_);_(* \(#,##0.000\)"/>
    <numFmt numFmtId="222" formatCode="_(&quot;$&quot;* #,##0_);_(&quot;$&quot;* \(#,##0\);_(&quot;$&quot;* 0_);_(@_)"/>
    <numFmt numFmtId="223" formatCode="_(&quot;$&quot;* #,##0.0_);_(&quot;$&quot;* \(#,##0.0\)"/>
    <numFmt numFmtId="224" formatCode="_(&quot;$&quot;* #,##0.00_);_(&quot;$&quot;* \(#,##0.00\)"/>
    <numFmt numFmtId="225" formatCode="_(&quot;$&quot;* #,##0.000_);_(&quot;$&quot;* \(#,##0.000\)"/>
    <numFmt numFmtId="226" formatCode="_(0_)%;\(0\)%;\ \ _)\%"/>
    <numFmt numFmtId="227" formatCode="_(0.0_)%;\(0.0\)%;\ \ .0_)%"/>
    <numFmt numFmtId="228" formatCode="_(0.00_)%;\(0.00\)%;\ \ .00_)%"/>
    <numFmt numFmtId="229" formatCode="_(0.000_)%;\(0.000\)%;\ \ .000_)%"/>
    <numFmt numFmtId="230" formatCode="_(* #,##0_);_(* \(#,##0\);_(* \ _)"/>
    <numFmt numFmtId="231" formatCode="_(&quot;$&quot;* #,##0_);_(&quot;$&quot;* \(#,##0\);_(&quot;$&quot;* \ _)"/>
    <numFmt numFmtId="232" formatCode="_(0_)%;\(0\)%"/>
    <numFmt numFmtId="233" formatCode="#,##0_);\(#,##0\);&quot;– &quot;"/>
    <numFmt numFmtId="234" formatCode="#,##0_);\(#,##0\);&quot;–             &quot;"/>
    <numFmt numFmtId="235" formatCode="#,##0_);\(#,##0\);&quot;–  &quot;"/>
    <numFmt numFmtId="236" formatCode="#,##0_);\(#,##0\);&quot;–   &quot;"/>
    <numFmt numFmtId="237" formatCode="#,##0_);\(#,##0\);&quot;–    &quot;"/>
    <numFmt numFmtId="238" formatCode="#,##0_);\(#,##0\);&quot;–      &quot;"/>
    <numFmt numFmtId="239" formatCode="#,##0_);\(#,##0\);&quot;–       &quot;"/>
    <numFmt numFmtId="240" formatCode="#,##0_);\(#,##0\);&quot;–         &quot;"/>
    <numFmt numFmtId="241" formatCode="#,##0_);\(#,##0\);&quot;–          &quot;"/>
    <numFmt numFmtId="242" formatCode="#,##0_);\(#,##0\);&quot;–           &quot;"/>
    <numFmt numFmtId="243" formatCode="#,##0\ ;\(#,##0\);\-\ \ \ \ \ "/>
    <numFmt numFmtId="244" formatCode="#,##0.00_);\(#,##0.00\);&quot;–       &quot;"/>
    <numFmt numFmtId="245" formatCode="#,###,_);\(#,###,\);&quot;–   &quot;"/>
    <numFmt numFmtId="246" formatCode="#,##0_);\(#,##0\);&quot;—      &quot;"/>
    <numFmt numFmtId="247" formatCode="#,###,_);\(#,###,\);&quot;–  &quot;\ \ \ \ \ "/>
  </numFmts>
  <fonts count="264">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b/>
      <sz val="11"/>
      <name val="Arial"/>
      <family val="2"/>
    </font>
    <font>
      <b/>
      <sz val="12"/>
      <name val="Arial"/>
      <family val="2"/>
    </font>
    <font>
      <sz val="10"/>
      <name val="Times New Roman"/>
      <family val="1"/>
    </font>
    <font>
      <sz val="11"/>
      <name val="Times New Roman"/>
      <family val="1"/>
    </font>
    <font>
      <sz val="1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indexed="12"/>
      <name val="Arial"/>
      <family val="2"/>
    </font>
    <font>
      <sz val="11"/>
      <color indexed="10"/>
      <name val="Calibri"/>
      <family val="2"/>
    </font>
    <font>
      <b/>
      <sz val="11"/>
      <name val="Times New Roman"/>
      <family val="1"/>
    </font>
    <font>
      <b/>
      <sz val="11"/>
      <color indexed="8"/>
      <name val="Calibri"/>
      <family val="2"/>
    </font>
    <font>
      <b/>
      <sz val="14"/>
      <name val="Arial"/>
      <family val="2"/>
    </font>
    <font>
      <sz val="11"/>
      <color indexed="8"/>
      <name val="Calibri"/>
      <family val="2"/>
    </font>
    <font>
      <sz val="10"/>
      <name val="Courier"/>
      <family val="3"/>
    </font>
    <font>
      <sz val="12"/>
      <name val="Arial"/>
      <family val="2"/>
    </font>
    <font>
      <sz val="10"/>
      <name val="CG Times (WN)"/>
    </font>
    <font>
      <u/>
      <sz val="11"/>
      <name val="Times New Roman"/>
      <family val="1"/>
    </font>
    <font>
      <sz val="12"/>
      <name val="Times New Roman"/>
      <family val="1"/>
    </font>
    <font>
      <sz val="8"/>
      <name val="Times New Roman"/>
      <family val="1"/>
    </font>
    <font>
      <u val="singleAccounting"/>
      <sz val="10"/>
      <name val="Times New Roman"/>
      <family val="1"/>
    </font>
    <font>
      <sz val="8"/>
      <color rgb="FF000000"/>
      <name val="Arial"/>
      <family val="2"/>
    </font>
    <font>
      <b/>
      <sz val="11"/>
      <color rgb="FF000000"/>
      <name val="Arial"/>
      <family val="2"/>
    </font>
    <font>
      <b/>
      <sz val="9"/>
      <color rgb="FF000000"/>
      <name val="Arial"/>
      <family val="2"/>
    </font>
    <font>
      <b/>
      <sz val="8"/>
      <color rgb="FF000000"/>
      <name val="Arial"/>
      <family val="2"/>
    </font>
    <font>
      <b/>
      <sz val="8"/>
      <color rgb="FF0058CD"/>
      <name val="Courier New"/>
      <family val="3"/>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1"/>
      <name val="Georgia"/>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u val="singleAccounting"/>
      <sz val="11"/>
      <name val="Times New Roman"/>
      <family val="1"/>
    </font>
    <font>
      <b/>
      <sz val="16"/>
      <name val="Times New Roman"/>
      <family val="1"/>
    </font>
    <font>
      <sz val="8"/>
      <color indexed="18"/>
      <name val="Helv"/>
    </font>
    <font>
      <sz val="10"/>
      <color indexed="8"/>
      <name val="Arial"/>
      <family val="2"/>
    </font>
    <font>
      <b/>
      <sz val="13"/>
      <name val="Arial"/>
      <family val="2"/>
    </font>
    <font>
      <sz val="10"/>
      <name val="BERNHARD"/>
    </font>
    <font>
      <sz val="10"/>
      <name val="Helv"/>
    </font>
    <font>
      <sz val="8"/>
      <name val="Comic Sans MS"/>
      <family val="4"/>
    </font>
    <font>
      <sz val="1"/>
      <color indexed="8"/>
      <name val="Courier"/>
      <family val="3"/>
    </font>
    <font>
      <b/>
      <sz val="1"/>
      <color indexed="8"/>
      <name val="Courier"/>
      <family val="3"/>
    </font>
    <font>
      <sz val="10"/>
      <color indexed="12"/>
      <name val="Arial"/>
      <family val="2"/>
    </font>
    <font>
      <b/>
      <i/>
      <sz val="10"/>
      <color indexed="9"/>
      <name val="Arial"/>
      <family val="2"/>
    </font>
    <font>
      <sz val="10"/>
      <color indexed="26"/>
      <name val="Times New Roman"/>
      <family val="1"/>
    </font>
    <font>
      <sz val="10"/>
      <color indexed="14"/>
      <name val="Arial"/>
      <family val="2"/>
    </font>
    <font>
      <sz val="8"/>
      <name val="Arial Narrow"/>
      <family val="2"/>
    </font>
    <font>
      <sz val="10"/>
      <color indexed="10"/>
      <name val="Arial"/>
      <family val="2"/>
    </font>
    <font>
      <b/>
      <sz val="10"/>
      <color indexed="10"/>
      <name val="Arial"/>
      <family val="2"/>
    </font>
    <font>
      <sz val="18"/>
      <name val="Times New Roman"/>
      <family val="1"/>
    </font>
    <font>
      <sz val="10"/>
      <name val="StoneSerif"/>
      <family val="1"/>
    </font>
    <font>
      <sz val="12"/>
      <name val="CG Times"/>
      <family val="1"/>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2"/>
      <name val="Tms Rmn"/>
    </font>
    <font>
      <b/>
      <sz val="18"/>
      <name val="Arial"/>
      <family val="2"/>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2"/>
      <name val="CG Times"/>
    </font>
    <font>
      <sz val="10"/>
      <color indexed="8"/>
      <name val="MS Sans Serif"/>
      <family val="2"/>
    </font>
    <font>
      <sz val="10"/>
      <name val="Verdana"/>
      <family val="2"/>
    </font>
    <font>
      <u/>
      <sz val="10"/>
      <color theme="10"/>
      <name val="Verdana"/>
      <family val="2"/>
    </font>
    <font>
      <u/>
      <sz val="10"/>
      <color theme="10"/>
      <name val="Arial"/>
      <family val="2"/>
    </font>
    <font>
      <sz val="11"/>
      <name val="Arial"/>
      <family val="2"/>
    </font>
  </fonts>
  <fills count="8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
      <patternFill patternType="solid">
        <fgColor indexed="56"/>
      </patternFill>
    </fill>
    <fill>
      <patternFill patternType="solid">
        <fgColor indexed="54"/>
      </patternFill>
    </fill>
  </fills>
  <borders count="10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bottom style="double">
        <color indexed="64"/>
      </bottom>
      <diagonal/>
    </border>
    <border>
      <left/>
      <right/>
      <top style="thin">
        <color indexed="64"/>
      </top>
      <bottom style="double">
        <color indexed="64"/>
      </bottom>
      <diagonal/>
    </border>
    <border>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indexed="8"/>
      </top>
      <bottom style="double">
        <color indexed="8"/>
      </bottom>
      <diagonal/>
    </border>
    <border>
      <left/>
      <right/>
      <top/>
      <bottom style="medium">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indexed="56"/>
      </top>
      <bottom style="double">
        <color indexed="56"/>
      </bottom>
      <diagonal/>
    </border>
  </borders>
  <cellStyleXfs count="4430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7" fillId="0" borderId="164" applyNumberFormat="0" applyFill="0" applyAlignment="0" applyProtection="0"/>
    <xf numFmtId="0" fontId="138" fillId="0" borderId="165" applyNumberFormat="0" applyFill="0" applyAlignment="0" applyProtection="0"/>
    <xf numFmtId="0" fontId="139" fillId="0" borderId="166" applyNumberFormat="0" applyFill="0" applyAlignment="0" applyProtection="0"/>
    <xf numFmtId="0" fontId="139" fillId="0" borderId="0" applyNumberFormat="0" applyFill="0" applyBorder="0" applyAlignment="0" applyProtection="0"/>
    <xf numFmtId="0" fontId="140" fillId="28" borderId="0" applyNumberFormat="0" applyBorder="0" applyAlignment="0" applyProtection="0"/>
    <xf numFmtId="0" fontId="141" fillId="29" borderId="0" applyNumberFormat="0" applyBorder="0" applyAlignment="0" applyProtection="0"/>
    <xf numFmtId="0" fontId="143" fillId="31" borderId="167" applyNumberFormat="0" applyAlignment="0" applyProtection="0"/>
    <xf numFmtId="0" fontId="144" fillId="32" borderId="168" applyNumberFormat="0" applyAlignment="0" applyProtection="0"/>
    <xf numFmtId="0" fontId="145" fillId="32" borderId="167" applyNumberFormat="0" applyAlignment="0" applyProtection="0"/>
    <xf numFmtId="0" fontId="146" fillId="0" borderId="169" applyNumberFormat="0" applyFill="0" applyAlignment="0" applyProtection="0"/>
    <xf numFmtId="0" fontId="147" fillId="33" borderId="170" applyNumberFormat="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50" fillId="0" borderId="172" applyNumberFormat="0" applyFill="0" applyAlignment="0" applyProtection="0"/>
    <xf numFmtId="0" fontId="15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5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5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5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xf numFmtId="0" fontId="154" fillId="0" borderId="0"/>
    <xf numFmtId="43" fontId="43" fillId="0" borderId="0" applyFont="0" applyFill="0" applyBorder="0" applyAlignment="0" applyProtection="0"/>
    <xf numFmtId="0" fontId="1" fillId="0" borderId="0"/>
    <xf numFmtId="0" fontId="43" fillId="0" borderId="0"/>
    <xf numFmtId="0" fontId="1" fillId="0" borderId="0"/>
    <xf numFmtId="0" fontId="155" fillId="0" borderId="0"/>
    <xf numFmtId="44" fontId="155" fillId="0" borderId="0" applyFont="0" applyFill="0" applyBorder="0" applyAlignment="0" applyProtection="0"/>
    <xf numFmtId="9" fontId="155" fillId="0" borderId="0" applyFont="0" applyFill="0" applyBorder="0" applyAlignment="0" applyProtection="0"/>
    <xf numFmtId="43" fontId="155" fillId="0" borderId="0" applyFont="0" applyFill="0" applyBorder="0" applyAlignment="0" applyProtection="0"/>
    <xf numFmtId="0" fontId="2" fillId="0" borderId="0"/>
    <xf numFmtId="9" fontId="43" fillId="0" borderId="0" applyFont="0" applyFill="0" applyBorder="0" applyAlignment="0" applyProtection="0"/>
    <xf numFmtId="43" fontId="8" fillId="0" borderId="0" applyFont="0" applyFill="0" applyBorder="0" applyAlignment="0" applyProtection="0"/>
    <xf numFmtId="0" fontId="156" fillId="0" borderId="0"/>
    <xf numFmtId="44"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9" fontId="8"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44" fontId="8" fillId="0" borderId="0" applyFont="0" applyFill="0" applyBorder="0" applyAlignment="0" applyProtection="0"/>
    <xf numFmtId="0" fontId="15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7" fillId="0" borderId="0" applyNumberFormat="0" applyFill="0" applyBorder="0" applyAlignment="0" applyProtection="0"/>
    <xf numFmtId="0" fontId="2" fillId="0" borderId="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2" fillId="34" borderId="171" applyNumberFormat="0" applyFont="0" applyAlignment="0" applyProtection="0"/>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2" fillId="0" borderId="0" applyFont="0" applyFill="0" applyBorder="0" applyAlignment="0" applyProtection="0"/>
    <xf numFmtId="0" fontId="155" fillId="0" borderId="0"/>
    <xf numFmtId="43" fontId="155" fillId="0" borderId="0" applyFont="0" applyFill="0" applyBorder="0" applyAlignment="0" applyProtection="0"/>
    <xf numFmtId="0" fontId="1" fillId="0" borderId="0"/>
    <xf numFmtId="43" fontId="1"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4" fontId="155" fillId="0" borderId="0" applyFont="0" applyFill="0" applyBorder="0" applyAlignment="0" applyProtection="0"/>
    <xf numFmtId="0" fontId="171" fillId="0" borderId="0" applyNumberFormat="0" applyFill="0" applyBorder="0" applyAlignment="0" applyProtection="0">
      <alignment vertical="top"/>
      <protection locked="0"/>
    </xf>
    <xf numFmtId="0" fontId="1" fillId="0" borderId="0"/>
    <xf numFmtId="0" fontId="1" fillId="0" borderId="0"/>
    <xf numFmtId="0" fontId="155" fillId="0" borderId="0"/>
    <xf numFmtId="0" fontId="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37" fontId="177" fillId="59" borderId="0"/>
    <xf numFmtId="44" fontId="155" fillId="0" borderId="0" applyFont="0" applyFill="0" applyBorder="0" applyAlignment="0" applyProtection="0"/>
    <xf numFmtId="0" fontId="179" fillId="0" borderId="0"/>
    <xf numFmtId="9" fontId="155" fillId="0" borderId="0" applyFont="0" applyFill="0" applyBorder="0" applyAlignment="0" applyProtection="0"/>
    <xf numFmtId="0" fontId="2" fillId="0" borderId="0"/>
    <xf numFmtId="0" fontId="184"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7" fillId="0" borderId="0"/>
    <xf numFmtId="0" fontId="188" fillId="0" borderId="0"/>
    <xf numFmtId="0" fontId="189" fillId="0" borderId="0"/>
    <xf numFmtId="0" fontId="189" fillId="0" borderId="0"/>
    <xf numFmtId="0" fontId="189" fillId="0" borderId="0"/>
    <xf numFmtId="0" fontId="190" fillId="0" borderId="0"/>
    <xf numFmtId="0" fontId="191" fillId="0" borderId="0"/>
    <xf numFmtId="0" fontId="192" fillId="0" borderId="0"/>
    <xf numFmtId="0" fontId="193" fillId="0" borderId="0"/>
    <xf numFmtId="0" fontId="194" fillId="0" borderId="0"/>
    <xf numFmtId="0" fontId="187" fillId="0" borderId="0"/>
    <xf numFmtId="0" fontId="195" fillId="0" borderId="0"/>
    <xf numFmtId="0" fontId="184" fillId="0" borderId="0"/>
    <xf numFmtId="0" fontId="196" fillId="0" borderId="0"/>
    <xf numFmtId="0" fontId="197" fillId="0" borderId="0"/>
    <xf numFmtId="0" fontId="198" fillId="0" borderId="0"/>
    <xf numFmtId="0" fontId="199" fillId="0" borderId="0"/>
    <xf numFmtId="0" fontId="200" fillId="0" borderId="0"/>
    <xf numFmtId="0" fontId="201" fillId="0" borderId="0"/>
    <xf numFmtId="0" fontId="202" fillId="0" borderId="0"/>
    <xf numFmtId="37" fontId="177" fillId="59" borderId="0"/>
    <xf numFmtId="37" fontId="179"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4"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7"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 applyNumberFormat="0" applyAlignment="0" applyProtection="0"/>
    <xf numFmtId="0" fontId="207" fillId="79" borderId="179" applyNumberFormat="0" applyAlignment="0" applyProtection="0"/>
    <xf numFmtId="0" fontId="208" fillId="0" borderId="0" applyNumberFormat="0" applyFill="0" applyBorder="0" applyAlignment="0" applyProtection="0"/>
    <xf numFmtId="0" fontId="209" fillId="62" borderId="0" applyNumberFormat="0" applyBorder="0" applyAlignment="0" applyProtection="0"/>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13" fillId="65" borderId="1" applyNumberFormat="0" applyAlignment="0" applyProtection="0"/>
    <xf numFmtId="0" fontId="214" fillId="0" borderId="183" applyNumberFormat="0" applyFill="0" applyAlignment="0" applyProtection="0"/>
    <xf numFmtId="37" fontId="179" fillId="0" borderId="0"/>
    <xf numFmtId="0" fontId="215" fillId="80" borderId="0" applyNumberFormat="0" applyBorder="0" applyAlignment="0" applyProtection="0"/>
    <xf numFmtId="0" fontId="8" fillId="0" borderId="0"/>
    <xf numFmtId="0" fontId="176" fillId="81" borderId="2" applyNumberFormat="0" applyFont="0" applyAlignment="0" applyProtection="0"/>
    <xf numFmtId="0" fontId="216" fillId="78" borderId="184" applyNumberFormat="0" applyAlignment="0" applyProtection="0"/>
    <xf numFmtId="9" fontId="203" fillId="0" borderId="0" applyFont="0" applyFill="0" applyBorder="0" applyAlignment="0" applyProtection="0"/>
    <xf numFmtId="0" fontId="217" fillId="0" borderId="0" applyNumberFormat="0" applyFill="0" applyBorder="0" applyAlignment="0" applyProtection="0"/>
    <xf numFmtId="0" fontId="174" fillId="0" borderId="185" applyNumberFormat="0" applyFill="0" applyAlignment="0" applyProtection="0"/>
    <xf numFmtId="0" fontId="172" fillId="0" borderId="0" applyNumberFormat="0" applyFill="0" applyBorder="0" applyAlignment="0" applyProtection="0"/>
    <xf numFmtId="0" fontId="203" fillId="0" borderId="0"/>
    <xf numFmtId="183" fontId="220" fillId="0" borderId="0">
      <alignment horizontal="center"/>
    </xf>
    <xf numFmtId="184" fontId="221" fillId="0" borderId="0" applyFill="0" applyBorder="0" applyAlignment="0"/>
    <xf numFmtId="185" fontId="221" fillId="0" borderId="0" applyFill="0" applyBorder="0" applyAlignment="0"/>
    <xf numFmtId="186" fontId="221" fillId="0" borderId="0" applyFill="0" applyBorder="0" applyAlignment="0"/>
    <xf numFmtId="187" fontId="221" fillId="0" borderId="0" applyFill="0" applyBorder="0" applyAlignment="0"/>
    <xf numFmtId="188" fontId="221" fillId="0" borderId="0" applyFill="0" applyBorder="0" applyAlignment="0"/>
    <xf numFmtId="184" fontId="221" fillId="0" borderId="0" applyFill="0" applyBorder="0" applyAlignment="0"/>
    <xf numFmtId="189" fontId="221" fillId="0" borderId="0" applyFill="0" applyBorder="0" applyAlignment="0"/>
    <xf numFmtId="185" fontId="221" fillId="0" borderId="0" applyFill="0" applyBorder="0" applyAlignment="0"/>
    <xf numFmtId="0" fontId="11" fillId="0" borderId="0" applyFill="0" applyBorder="0" applyProtection="0">
      <alignment horizontal="center"/>
      <protection locked="0"/>
    </xf>
    <xf numFmtId="0" fontId="11" fillId="0" borderId="0" applyFill="0" applyBorder="0" applyProtection="0">
      <alignment horizontal="center"/>
      <protection locked="0"/>
    </xf>
    <xf numFmtId="0" fontId="18" fillId="0" borderId="0" applyFill="0" applyBorder="0" applyProtection="0">
      <alignment horizontal="center"/>
      <protection locked="0"/>
    </xf>
    <xf numFmtId="0" fontId="152" fillId="0" borderId="0" applyFill="0" applyBorder="0" applyProtection="0">
      <alignment horizontal="center"/>
    </xf>
    <xf numFmtId="0" fontId="152" fillId="0" borderId="0" applyFill="0" applyBorder="0" applyProtection="0">
      <alignment horizontal="center"/>
    </xf>
    <xf numFmtId="0" fontId="10" fillId="0" borderId="154">
      <alignment horizontal="center"/>
    </xf>
    <xf numFmtId="43" fontId="203" fillId="0" borderId="0" applyFont="0" applyFill="0" applyBorder="0" applyAlignment="0" applyProtection="0"/>
    <xf numFmtId="41" fontId="8" fillId="0" borderId="78" applyNumberFormat="0" applyFont="0" applyFill="0" applyAlignment="0" applyProtection="0"/>
    <xf numFmtId="184" fontId="8" fillId="0" borderId="0" applyFont="0" applyFill="0" applyBorder="0" applyAlignment="0" applyProtection="0"/>
    <xf numFmtId="184" fontId="8"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191" fontId="183" fillId="0" borderId="0" applyFont="0" applyFill="0" applyBorder="0" applyAlignment="0" applyProtection="0"/>
    <xf numFmtId="192" fontId="183" fillId="0" borderId="0" applyFont="0" applyFill="0" applyBorder="0" applyAlignment="0" applyProtection="0"/>
    <xf numFmtId="193" fontId="222" fillId="0" borderId="0" applyFont="0" applyFill="0" applyBorder="0" applyAlignment="0" applyProtection="0">
      <protection locked="0"/>
    </xf>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0" fontId="223" fillId="0" borderId="0"/>
    <xf numFmtId="0" fontId="224" fillId="0" borderId="0"/>
    <xf numFmtId="0" fontId="224"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23" fillId="0" borderId="0"/>
    <xf numFmtId="0" fontId="224" fillId="0" borderId="0"/>
    <xf numFmtId="0" fontId="224" fillId="0" borderId="0"/>
    <xf numFmtId="0" fontId="219" fillId="0" borderId="0" applyNumberFormat="0" applyFill="0" applyBorder="0" applyAlignment="0" applyProtection="0"/>
    <xf numFmtId="0" fontId="153" fillId="0" borderId="0" applyFill="0" applyBorder="0" applyAlignment="0" applyProtection="0">
      <protection locked="0"/>
    </xf>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0" fontId="43" fillId="0" borderId="0" applyFill="0" applyBorder="0" applyProtection="0"/>
    <xf numFmtId="44" fontId="203" fillId="0" borderId="0" applyFont="0" applyFill="0" applyBorder="0" applyAlignment="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95" fontId="183" fillId="0" borderId="0" applyFont="0" applyFill="0" applyBorder="0" applyAlignment="0" applyProtection="0"/>
    <xf numFmtId="196" fontId="183" fillId="0" borderId="0" applyFont="0" applyFill="0" applyBorder="0" applyAlignment="0" applyProtection="0"/>
    <xf numFmtId="197" fontId="183" fillId="0" borderId="0" applyFont="0" applyFill="0" applyBorder="0" applyAlignment="0" applyProtection="0"/>
    <xf numFmtId="198" fontId="222" fillId="0" borderId="0" applyFont="0" applyFill="0" applyBorder="0" applyAlignment="0" applyProtection="0">
      <protection locked="0"/>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14" fontId="11" fillId="9" borderId="177" applyFill="0" applyBorder="0">
      <alignment horizontal="center"/>
    </xf>
    <xf numFmtId="181" fontId="236" fillId="0" borderId="0" applyFont="0" applyFill="0" applyBorder="0" applyAlignment="0" applyProtection="0"/>
    <xf numFmtId="14" fontId="221" fillId="0" borderId="0" applyFill="0" applyBorder="0" applyAlignment="0"/>
    <xf numFmtId="0"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184" fontId="228" fillId="0" borderId="0" applyFill="0" applyBorder="0" applyAlignment="0"/>
    <xf numFmtId="185" fontId="228" fillId="0" borderId="0" applyFill="0" applyBorder="0" applyAlignment="0"/>
    <xf numFmtId="184" fontId="228" fillId="0" borderId="0" applyFill="0" applyBorder="0" applyAlignment="0"/>
    <xf numFmtId="189" fontId="228" fillId="0" borderId="0" applyFill="0" applyBorder="0" applyAlignment="0"/>
    <xf numFmtId="185" fontId="228" fillId="0" borderId="0" applyFill="0" applyBorder="0" applyAlignment="0"/>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 fontId="181" fillId="0" borderId="0" applyFont="0" applyFill="0" applyBorder="0" applyAlignment="0" applyProtection="0"/>
    <xf numFmtId="38" fontId="9" fillId="9" borderId="0" applyNumberFormat="0" applyBorder="0" applyAlignment="0" applyProtection="0"/>
    <xf numFmtId="38" fontId="9" fillId="9" borderId="0" applyNumberFormat="0" applyBorder="0" applyAlignment="0" applyProtection="0"/>
    <xf numFmtId="0" fontId="153" fillId="0" borderId="178" applyNumberFormat="0" applyAlignment="0" applyProtection="0">
      <alignment horizontal="left" vertical="center"/>
    </xf>
    <xf numFmtId="0" fontId="153" fillId="0" borderId="76">
      <alignment horizontal="left" vertical="center"/>
    </xf>
    <xf numFmtId="14" fontId="11" fillId="0" borderId="176" applyFill="0">
      <alignment horizontal="center" vertical="center" wrapText="1"/>
    </xf>
    <xf numFmtId="0" fontId="235" fillId="0" borderId="0" applyNumberFormat="0" applyFill="0" applyBorder="0" applyAlignment="0" applyProtection="0"/>
    <xf numFmtId="0" fontId="182" fillId="0" borderId="0" applyNumberFormat="0" applyFill="0" applyBorder="0" applyAlignment="0" applyProtection="0"/>
    <xf numFmtId="14" fontId="11" fillId="0" borderId="176" applyFill="0">
      <alignment horizontal="center" vertical="center" wrapText="1"/>
    </xf>
    <xf numFmtId="14" fontId="11" fillId="82" borderId="176">
      <alignment horizontal="center" vertical="center" wrapText="1"/>
    </xf>
    <xf numFmtId="0" fontId="11" fillId="0" borderId="0" applyFill="0" applyAlignment="0" applyProtection="0">
      <protection locked="0"/>
    </xf>
    <xf numFmtId="0" fontId="11" fillId="0" borderId="0" applyFill="0" applyAlignment="0" applyProtection="0">
      <protection locked="0"/>
    </xf>
    <xf numFmtId="0" fontId="18"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29" fillId="83" borderId="186" applyAlignment="0">
      <alignment horizontal="center"/>
    </xf>
    <xf numFmtId="10" fontId="9" fillId="2" borderId="77" applyNumberFormat="0" applyBorder="0" applyAlignment="0" applyProtection="0"/>
    <xf numFmtId="10" fontId="9" fillId="2" borderId="77" applyNumberFormat="0" applyBorder="0" applyAlignment="0" applyProtection="0"/>
    <xf numFmtId="202" fontId="230" fillId="84" borderId="97">
      <alignment horizontal="center"/>
    </xf>
    <xf numFmtId="184" fontId="231" fillId="0" borderId="0" applyFill="0" applyBorder="0" applyAlignment="0"/>
    <xf numFmtId="185" fontId="231" fillId="0" borderId="0" applyFill="0" applyBorder="0" applyAlignment="0"/>
    <xf numFmtId="184" fontId="231" fillId="0" borderId="0" applyFill="0" applyBorder="0" applyAlignment="0"/>
    <xf numFmtId="189" fontId="231" fillId="0" borderId="0" applyFill="0" applyBorder="0" applyAlignment="0"/>
    <xf numFmtId="185" fontId="231" fillId="0" borderId="0" applyFill="0" applyBorder="0" applyAlignment="0"/>
    <xf numFmtId="0" fontId="175" fillId="0" borderId="0" applyFill="0" applyBorder="0" applyAlignment="0" applyProtection="0"/>
    <xf numFmtId="203" fontId="8" fillId="0" borderId="0" applyFont="0" applyFill="0" applyBorder="0" applyAlignment="0" applyProtection="0"/>
    <xf numFmtId="44" fontId="8" fillId="0" borderId="0" applyFont="0" applyFill="0" applyBorder="0" applyAlignment="0" applyProtection="0"/>
    <xf numFmtId="204" fontId="232"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81" borderId="2" applyNumberFormat="0" applyFont="0" applyAlignment="0" applyProtection="0"/>
    <xf numFmtId="0" fontId="203" fillId="81" borderId="2" applyNumberFormat="0" applyFont="0" applyAlignment="0" applyProtection="0"/>
    <xf numFmtId="0" fontId="224" fillId="0" borderId="0"/>
    <xf numFmtId="175" fontId="225" fillId="0" borderId="0" applyFont="0" applyFill="0" applyBorder="0" applyAlignment="0" applyProtection="0"/>
    <xf numFmtId="232" fontId="183" fillId="0" borderId="0" applyFont="0" applyFill="0" applyBorder="0" applyAlignment="0" applyProtection="0"/>
    <xf numFmtId="205" fontId="43" fillId="0" borderId="0" applyFont="0" applyFill="0" applyBorder="0" applyAlignment="0" applyProtection="0"/>
    <xf numFmtId="205" fontId="43" fillId="0" borderId="0" applyFont="0" applyFill="0" applyBorder="0" applyAlignment="0" applyProtection="0"/>
    <xf numFmtId="226" fontId="21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208" fontId="183" fillId="0" borderId="0" applyFont="0" applyFill="0" applyBorder="0" applyAlignment="0" applyProtection="0"/>
    <xf numFmtId="209" fontId="43" fillId="0" borderId="0" applyFont="0" applyFill="0" applyBorder="0" applyAlignment="0" applyProtection="0"/>
    <xf numFmtId="209" fontId="43" fillId="0" borderId="0" applyFont="0" applyFill="0" applyBorder="0" applyAlignment="0" applyProtection="0"/>
    <xf numFmtId="227" fontId="218" fillId="0" borderId="0" applyFont="0" applyFill="0" applyBorder="0" applyAlignment="0" applyProtection="0"/>
    <xf numFmtId="210" fontId="183" fillId="0" borderId="0" applyFont="0" applyFill="0" applyBorder="0" applyAlignment="0" applyProtection="0"/>
    <xf numFmtId="211" fontId="43" fillId="0" borderId="0" applyFont="0" applyFill="0" applyBorder="0" applyAlignment="0" applyProtection="0"/>
    <xf numFmtId="211" fontId="43" fillId="0" borderId="0" applyFont="0" applyFill="0" applyBorder="0" applyAlignment="0" applyProtection="0"/>
    <xf numFmtId="228" fontId="218" fillId="0" borderId="0" applyFont="0" applyFill="0" applyBorder="0" applyAlignment="0" applyProtection="0"/>
    <xf numFmtId="212" fontId="183" fillId="0" borderId="0" applyFont="0" applyFill="0" applyBorder="0" applyAlignment="0" applyProtection="0"/>
    <xf numFmtId="213" fontId="43" fillId="0" borderId="0" applyFont="0" applyFill="0" applyBorder="0" applyAlignment="0" applyProtection="0"/>
    <xf numFmtId="213" fontId="43" fillId="0" borderId="0" applyFont="0" applyFill="0" applyBorder="0" applyAlignment="0" applyProtection="0"/>
    <xf numFmtId="229" fontId="218" fillId="0" borderId="0" applyFont="0" applyFill="0" applyBorder="0" applyAlignment="0" applyProtection="0"/>
    <xf numFmtId="214" fontId="222" fillId="0" borderId="0" applyFont="0" applyFill="0" applyBorder="0" applyAlignment="0" applyProtection="0">
      <protection locked="0"/>
    </xf>
    <xf numFmtId="215" fontId="43" fillId="0" borderId="0" applyFont="0" applyFill="0" applyBorder="0" applyAlignment="0" applyProtection="0"/>
    <xf numFmtId="215" fontId="4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84" fontId="233" fillId="0" borderId="0" applyFill="0" applyBorder="0" applyAlignment="0"/>
    <xf numFmtId="185" fontId="233" fillId="0" borderId="0" applyFill="0" applyBorder="0" applyAlignment="0"/>
    <xf numFmtId="184" fontId="233" fillId="0" borderId="0" applyFill="0" applyBorder="0" applyAlignment="0"/>
    <xf numFmtId="189" fontId="233" fillId="0" borderId="0" applyFill="0" applyBorder="0" applyAlignment="0"/>
    <xf numFmtId="185" fontId="233" fillId="0" borderId="0" applyFill="0" applyBorder="0" applyAlignment="0"/>
    <xf numFmtId="38" fontId="8" fillId="0" borderId="0"/>
    <xf numFmtId="0" fontId="152" fillId="0" borderId="0" applyFill="0" applyBorder="0" applyAlignment="0" applyProtection="0"/>
    <xf numFmtId="0" fontId="152" fillId="0" borderId="0" applyFill="0" applyBorder="0" applyAlignment="0" applyProtection="0"/>
    <xf numFmtId="49" fontId="221" fillId="0" borderId="0" applyFill="0" applyBorder="0" applyAlignment="0"/>
    <xf numFmtId="216" fontId="221" fillId="0" borderId="0" applyFill="0" applyBorder="0" applyAlignment="0"/>
    <xf numFmtId="217" fontId="221" fillId="0" borderId="0" applyFill="0" applyBorder="0" applyAlignment="0"/>
    <xf numFmtId="0" fontId="234" fillId="0" borderId="0" applyFill="0" applyBorder="0" applyProtection="0">
      <alignment horizontal="left" vertical="top"/>
    </xf>
    <xf numFmtId="218" fontId="43" fillId="0" borderId="0" applyFont="0" applyFill="0" applyBorder="0" applyAlignment="0" applyProtection="0"/>
    <xf numFmtId="219"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21"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30" fontId="155" fillId="0" borderId="0" applyFont="0" applyFill="0" applyBorder="0" applyAlignment="0" applyProtection="0"/>
    <xf numFmtId="222" fontId="43" fillId="0" borderId="0" applyFont="0" applyFill="0" applyBorder="0" applyAlignment="0" applyProtection="0"/>
    <xf numFmtId="223" fontId="43" fillId="0" borderId="0" applyFont="0" applyFill="0" applyBorder="0" applyAlignment="0" applyProtection="0"/>
    <xf numFmtId="223" fontId="43" fillId="0" borderId="0" applyFont="0" applyFill="0" applyBorder="0" applyAlignment="0" applyProtection="0"/>
    <xf numFmtId="224" fontId="43" fillId="0" borderId="0" applyFont="0" applyFill="0" applyBorder="0" applyAlignment="0" applyProtection="0"/>
    <xf numFmtId="224" fontId="43" fillId="0" borderId="0" applyFont="0" applyFill="0" applyBorder="0" applyAlignment="0" applyProtection="0"/>
    <xf numFmtId="225" fontId="43" fillId="0" borderId="0" applyFont="0" applyFill="0" applyBorder="0" applyAlignment="0" applyProtection="0"/>
    <xf numFmtId="225"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31" fontId="155"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0" fontId="8" fillId="0" borderId="0"/>
    <xf numFmtId="43" fontId="8"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203" fillId="0" borderId="0" applyFont="0" applyFill="0" applyBorder="0" applyAlignment="0" applyProtection="0"/>
    <xf numFmtId="0" fontId="155" fillId="0" borderId="0"/>
    <xf numFmtId="9" fontId="8" fillId="0" borderId="0" applyFont="0" applyFill="0" applyBorder="0" applyAlignment="0" applyProtection="0"/>
    <xf numFmtId="9" fontId="155" fillId="0" borderId="0" applyFont="0" applyFill="0" applyBorder="0" applyAlignment="0" applyProtection="0"/>
    <xf numFmtId="9" fontId="15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44" fontId="203" fillId="0" borderId="0" applyFont="0" applyFill="0" applyBorder="0" applyAlignment="0" applyProtection="0"/>
    <xf numFmtId="9"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9" fontId="8" fillId="0" borderId="0" applyFont="0" applyFill="0" applyBorder="0" applyAlignment="0" applyProtection="0"/>
    <xf numFmtId="0" fontId="203" fillId="0" borderId="0"/>
    <xf numFmtId="44"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03" fillId="0" borderId="0"/>
    <xf numFmtId="9" fontId="8" fillId="0" borderId="0" applyFont="0" applyFill="0" applyBorder="0" applyAlignment="0" applyProtection="0"/>
    <xf numFmtId="44" fontId="8" fillId="0" borderId="0" applyFont="0" applyFill="0" applyBorder="0" applyAlignment="0" applyProtection="0"/>
    <xf numFmtId="0" fontId="203" fillId="0" borderId="0"/>
    <xf numFmtId="9" fontId="8"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0" fontId="203" fillId="0" borderId="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203" fillId="0" borderId="0"/>
    <xf numFmtId="44" fontId="203" fillId="0" borderId="0" applyFont="0" applyFill="0" applyBorder="0" applyAlignment="0" applyProtection="0"/>
    <xf numFmtId="0" fontId="237" fillId="0" borderId="0"/>
    <xf numFmtId="43" fontId="203" fillId="0" borderId="0" applyFont="0" applyFill="0" applyBorder="0" applyAlignment="0" applyProtection="0"/>
    <xf numFmtId="43" fontId="176" fillId="0" borderId="0" applyFont="0" applyFill="0" applyBorder="0" applyAlignment="0" applyProtection="0"/>
    <xf numFmtId="0" fontId="2" fillId="0" borderId="0"/>
    <xf numFmtId="0" fontId="237" fillId="0" borderId="0"/>
    <xf numFmtId="0" fontId="237" fillId="0" borderId="0"/>
    <xf numFmtId="0" fontId="237" fillId="0" borderId="0"/>
    <xf numFmtId="0" fontId="237" fillId="0" borderId="0"/>
    <xf numFmtId="37" fontId="179" fillId="0" borderId="0"/>
    <xf numFmtId="0" fontId="213" fillId="65" borderId="1" applyNumberFormat="0" applyAlignment="0" applyProtection="0"/>
    <xf numFmtId="37" fontId="179" fillId="0" borderId="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37" fontId="179" fillId="0" borderId="0"/>
    <xf numFmtId="37" fontId="179" fillId="0" borderId="0"/>
    <xf numFmtId="37" fontId="179" fillId="0" borderId="0"/>
    <xf numFmtId="37" fontId="179" fillId="0" borderId="0"/>
    <xf numFmtId="37" fontId="179" fillId="0" borderId="0"/>
    <xf numFmtId="0" fontId="213" fillId="65" borderId="1" applyNumberFormat="0" applyAlignment="0" applyProtection="0"/>
    <xf numFmtId="0" fontId="213" fillId="65" borderId="1" applyNumberFormat="0" applyAlignment="0" applyProtection="0"/>
    <xf numFmtId="37" fontId="179" fillId="0" borderId="0"/>
    <xf numFmtId="0" fontId="213" fillId="65" borderId="1" applyNumberFormat="0" applyAlignment="0" applyProtection="0"/>
    <xf numFmtId="0" fontId="213" fillId="65" borderId="1" applyNumberForma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8" fillId="0" borderId="0" applyFill="0" applyBorder="0" applyProtection="0">
      <alignment horizontal="center"/>
      <protection locked="0"/>
    </xf>
    <xf numFmtId="43" fontId="203" fillId="0" borderId="0" applyFont="0" applyFill="0" applyBorder="0" applyAlignment="0" applyProtection="0"/>
    <xf numFmtId="190" fontId="43" fillId="0" borderId="0" applyFont="0" applyFill="0" applyBorder="0" applyAlignment="0" applyProtection="0"/>
    <xf numFmtId="0" fontId="153" fillId="0" borderId="0" applyFill="0" applyBorder="0" applyAlignment="0" applyProtection="0">
      <protection locked="0"/>
    </xf>
    <xf numFmtId="44" fontId="203" fillId="0" borderId="0" applyFont="0" applyFill="0" applyBorder="0" applyAlignment="0" applyProtection="0"/>
    <xf numFmtId="181" fontId="236" fillId="0" borderId="0" applyFont="0" applyFill="0" applyBorder="0" applyAlignment="0" applyProtection="0"/>
    <xf numFmtId="14" fontId="11" fillId="82" borderId="176">
      <alignment horizontal="center" vertical="center" wrapText="1"/>
    </xf>
    <xf numFmtId="0" fontId="18" fillId="0" borderId="0" applyFill="0" applyAlignment="0" applyProtection="0">
      <protection locked="0"/>
    </xf>
    <xf numFmtId="0" fontId="18" fillId="0" borderId="78" applyFill="0" applyAlignment="0" applyProtection="0">
      <protection locked="0"/>
    </xf>
    <xf numFmtId="0" fontId="203" fillId="81" borderId="2" applyNumberFormat="0" applyFont="0" applyAlignment="0" applyProtection="0"/>
    <xf numFmtId="9" fontId="203" fillId="0" borderId="0" applyFont="0" applyFill="0" applyBorder="0" applyAlignment="0" applyProtection="0"/>
    <xf numFmtId="232" fontId="183" fillId="0" borderId="0" applyFont="0" applyFill="0" applyBorder="0" applyAlignment="0" applyProtection="0"/>
    <xf numFmtId="205" fontId="43" fillId="0" borderId="0" applyFont="0" applyFill="0" applyBorder="0" applyAlignment="0" applyProtection="0"/>
    <xf numFmtId="209" fontId="43" fillId="0" borderId="0" applyFont="0" applyFill="0" applyBorder="0" applyAlignment="0" applyProtection="0"/>
    <xf numFmtId="211" fontId="43" fillId="0" borderId="0" applyFont="0" applyFill="0" applyBorder="0" applyAlignment="0" applyProtection="0"/>
    <xf numFmtId="213" fontId="43" fillId="0" borderId="0" applyFont="0" applyFill="0" applyBorder="0" applyAlignment="0" applyProtection="0"/>
    <xf numFmtId="215"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23" fontId="43" fillId="0" borderId="0" applyFont="0" applyFill="0" applyBorder="0" applyAlignment="0" applyProtection="0"/>
    <xf numFmtId="224" fontId="43" fillId="0" borderId="0" applyFont="0" applyFill="0" applyBorder="0" applyAlignment="0" applyProtection="0"/>
    <xf numFmtId="225" fontId="43" fillId="0" borderId="0" applyFont="0" applyFill="0" applyBorder="0" applyAlignment="0" applyProtection="0"/>
    <xf numFmtId="0" fontId="11" fillId="0" borderId="0" applyFill="0" applyBorder="0" applyProtection="0">
      <alignment horizontal="center"/>
      <protection locked="0"/>
    </xf>
    <xf numFmtId="43" fontId="203" fillId="0" borderId="0" applyFont="0" applyFill="0" applyBorder="0" applyAlignment="0" applyProtection="0"/>
    <xf numFmtId="41" fontId="8" fillId="0" borderId="78" applyNumberFormat="0" applyFont="0" applyFill="0" applyAlignment="0" applyProtection="0"/>
    <xf numFmtId="18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19" fillId="0" borderId="0" applyNumberForma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39" applyFill="0" applyProtection="0"/>
    <xf numFmtId="182" fontId="225" fillId="0" borderId="175" applyFill="0" applyProtection="0"/>
    <xf numFmtId="185" fontId="8"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200" fontId="225" fillId="0" borderId="0" applyFill="0" applyBorder="0" applyProtection="0"/>
    <xf numFmtId="200" fontId="225" fillId="0" borderId="139" applyFill="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 fontId="181" fillId="0" borderId="0" applyFont="0" applyFill="0" applyBorder="0" applyAlignment="0" applyProtection="0"/>
    <xf numFmtId="38" fontId="9" fillId="9" borderId="0" applyNumberFormat="0" applyBorder="0" applyAlignment="0" applyProtection="0"/>
    <xf numFmtId="0" fontId="153" fillId="0" borderId="178" applyNumberFormat="0" applyAlignment="0" applyProtection="0">
      <alignment horizontal="left" vertical="center"/>
    </xf>
    <xf numFmtId="0" fontId="153" fillId="0" borderId="76">
      <alignment horizontal="left" vertical="center"/>
    </xf>
    <xf numFmtId="14" fontId="11" fillId="0" borderId="176" applyFill="0">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29" fillId="83" borderId="186" applyAlignment="0">
      <alignment horizontal="center"/>
    </xf>
    <xf numFmtId="10" fontId="9" fillId="2" borderId="77" applyNumberFormat="0" applyBorder="0" applyAlignment="0" applyProtection="0"/>
    <xf numFmtId="204" fontId="232" fillId="0" borderId="0"/>
    <xf numFmtId="0" fontId="203" fillId="0" borderId="0"/>
    <xf numFmtId="0" fontId="8" fillId="0" borderId="0"/>
    <xf numFmtId="0" fontId="8" fillId="0" borderId="0"/>
    <xf numFmtId="0" fontId="8" fillId="0" borderId="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175" fontId="225" fillId="0" borderId="0" applyFont="0" applyFill="0" applyBorder="0" applyAlignment="0" applyProtection="0"/>
    <xf numFmtId="232" fontId="183"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38" fontId="8" fillId="0" borderId="0"/>
    <xf numFmtId="43" fontId="203" fillId="0" borderId="0" applyFont="0" applyFill="0" applyBorder="0" applyAlignment="0" applyProtection="0"/>
    <xf numFmtId="9" fontId="203" fillId="0" borderId="0" applyFont="0" applyFill="0" applyBorder="0" applyAlignment="0" applyProtection="0"/>
    <xf numFmtId="0" fontId="8" fillId="0" borderId="0"/>
    <xf numFmtId="43" fontId="8"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3" fontId="181" fillId="0" borderId="0" applyFont="0" applyFill="0" applyBorder="0" applyAlignment="0" applyProtection="0"/>
    <xf numFmtId="44" fontId="203" fillId="0" borderId="0" applyFont="0" applyFill="0" applyBorder="0" applyAlignment="0" applyProtection="0"/>
    <xf numFmtId="0" fontId="153" fillId="0" borderId="76">
      <alignment horizontal="left" vertical="center"/>
    </xf>
    <xf numFmtId="0" fontId="176" fillId="81" borderId="2" applyNumberFormat="0" applyFont="0" applyAlignment="0" applyProtection="0"/>
    <xf numFmtId="9" fontId="203" fillId="0" borderId="0" applyFont="0" applyFill="0" applyBorder="0" applyAlignment="0" applyProtection="0"/>
    <xf numFmtId="232" fontId="18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8" fillId="0" borderId="0"/>
    <xf numFmtId="0" fontId="176" fillId="66" borderId="0" applyNumberFormat="0" applyBorder="0" applyAlignment="0" applyProtection="0"/>
    <xf numFmtId="0" fontId="176" fillId="67" borderId="0" applyNumberFormat="0" applyBorder="0" applyAlignment="0" applyProtection="0"/>
    <xf numFmtId="0" fontId="176" fillId="81" borderId="0" applyNumberFormat="0" applyBorder="0" applyAlignment="0" applyProtection="0"/>
    <xf numFmtId="0" fontId="176" fillId="65" borderId="0" applyNumberFormat="0" applyBorder="0" applyAlignment="0" applyProtection="0"/>
    <xf numFmtId="0" fontId="176" fillId="81" borderId="0" applyNumberFormat="0" applyBorder="0" applyAlignment="0" applyProtection="0"/>
    <xf numFmtId="0" fontId="176" fillId="64" borderId="0" applyNumberFormat="0" applyBorder="0" applyAlignment="0" applyProtection="0"/>
    <xf numFmtId="0" fontId="176" fillId="80" borderId="0" applyNumberFormat="0" applyBorder="0" applyAlignment="0" applyProtection="0"/>
    <xf numFmtId="0" fontId="176" fillId="61"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204" fillId="64"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61" borderId="0" applyNumberFormat="0" applyBorder="0" applyAlignment="0" applyProtection="0"/>
    <xf numFmtId="0" fontId="204" fillId="64" borderId="0" applyNumberFormat="0" applyBorder="0" applyAlignment="0" applyProtection="0"/>
    <xf numFmtId="0" fontId="204" fillId="67" borderId="0" applyNumberFormat="0" applyBorder="0" applyAlignment="0" applyProtection="0"/>
    <xf numFmtId="0" fontId="204" fillId="85"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86" borderId="0" applyNumberFormat="0" applyBorder="0" applyAlignment="0" applyProtection="0"/>
    <xf numFmtId="0" fontId="204" fillId="75" borderId="0" applyNumberFormat="0" applyBorder="0" applyAlignment="0" applyProtection="0"/>
    <xf numFmtId="0" fontId="205" fillId="63" borderId="0" applyNumberFormat="0" applyBorder="0" applyAlignment="0" applyProtection="0"/>
    <xf numFmtId="0" fontId="238" fillId="59" borderId="1" applyNumberFormat="0" applyAlignment="0" applyProtection="0"/>
    <xf numFmtId="0" fontId="209" fillId="64" borderId="0" applyNumberFormat="0" applyBorder="0" applyAlignment="0" applyProtection="0"/>
    <xf numFmtId="0" fontId="239" fillId="0" borderId="187" applyNumberFormat="0" applyFill="0" applyAlignment="0" applyProtection="0"/>
    <xf numFmtId="0" fontId="210" fillId="0" borderId="180" applyNumberFormat="0" applyFill="0" applyAlignment="0" applyProtection="0"/>
    <xf numFmtId="0" fontId="240" fillId="0" borderId="188" applyNumberFormat="0" applyFill="0" applyAlignment="0" applyProtection="0"/>
    <xf numFmtId="0" fontId="211" fillId="0" borderId="181" applyNumberFormat="0" applyFill="0" applyAlignment="0" applyProtection="0"/>
    <xf numFmtId="0" fontId="241" fillId="0" borderId="189" applyNumberFormat="0" applyFill="0" applyAlignment="0" applyProtection="0"/>
    <xf numFmtId="0" fontId="241" fillId="0" borderId="0" applyNumberFormat="0" applyFill="0" applyBorder="0" applyAlignment="0" applyProtection="0"/>
    <xf numFmtId="0" fontId="213" fillId="80" borderId="1" applyNumberFormat="0" applyAlignment="0" applyProtection="0"/>
    <xf numFmtId="0" fontId="172" fillId="0" borderId="190" applyNumberFormat="0" applyFill="0" applyAlignment="0" applyProtection="0"/>
    <xf numFmtId="0" fontId="242" fillId="80" borderId="0" applyNumberFormat="0" applyBorder="0" applyAlignment="0" applyProtection="0"/>
    <xf numFmtId="0" fontId="8" fillId="81" borderId="2" applyNumberFormat="0" applyFont="0" applyAlignment="0" applyProtection="0"/>
    <xf numFmtId="0" fontId="216" fillId="59" borderId="184" applyNumberFormat="0" applyAlignment="0" applyProtection="0"/>
    <xf numFmtId="0" fontId="243" fillId="0" borderId="0" applyNumberFormat="0" applyFill="0" applyBorder="0" applyAlignment="0" applyProtection="0"/>
    <xf numFmtId="0" fontId="174" fillId="0" borderId="191" applyNumberFormat="0" applyFill="0" applyAlignment="0" applyProtection="0"/>
    <xf numFmtId="0" fontId="213" fillId="80" borderId="1" applyNumberFormat="0" applyAlignment="0" applyProtection="0"/>
    <xf numFmtId="222" fontId="43" fillId="0" borderId="0" applyFont="0" applyFill="0" applyBorder="0" applyAlignment="0" applyProtection="0"/>
    <xf numFmtId="218" fontId="43" fillId="0" borderId="0" applyFont="0" applyFill="0" applyBorder="0" applyAlignment="0" applyProtection="0"/>
    <xf numFmtId="0" fontId="181" fillId="0" borderId="0"/>
    <xf numFmtId="233" fontId="244" fillId="0" borderId="0" applyFont="0" applyFill="0" applyBorder="0" applyAlignment="0" applyProtection="0"/>
    <xf numFmtId="234" fontId="244" fillId="0" borderId="0" applyFont="0" applyFill="0" applyBorder="0" applyAlignment="0" applyProtection="0"/>
    <xf numFmtId="235" fontId="244" fillId="0" borderId="0" applyFont="0" applyFill="0" applyBorder="0" applyAlignment="0" applyProtection="0"/>
    <xf numFmtId="0" fontId="246" fillId="66" borderId="0" applyNumberFormat="0" applyBorder="0" applyAlignment="0" applyProtection="0"/>
    <xf numFmtId="0" fontId="246" fillId="67" borderId="0" applyNumberFormat="0" applyBorder="0" applyAlignment="0" applyProtection="0"/>
    <xf numFmtId="0" fontId="246" fillId="81" borderId="0" applyNumberFormat="0" applyBorder="0" applyAlignment="0" applyProtection="0"/>
    <xf numFmtId="0" fontId="246" fillId="65" borderId="0" applyNumberFormat="0" applyBorder="0" applyAlignment="0" applyProtection="0"/>
    <xf numFmtId="0" fontId="246" fillId="64" borderId="0" applyNumberFormat="0" applyBorder="0" applyAlignment="0" applyProtection="0"/>
    <xf numFmtId="0" fontId="246" fillId="81" borderId="0" applyNumberFormat="0" applyBorder="0" applyAlignment="0" applyProtection="0"/>
    <xf numFmtId="236" fontId="244" fillId="0" borderId="0" applyFont="0" applyFill="0" applyBorder="0" applyAlignment="0" applyProtection="0"/>
    <xf numFmtId="237" fontId="244" fillId="0" borderId="0" applyFont="0" applyFill="0" applyBorder="0" applyAlignment="0" applyProtection="0">
      <alignment horizontal="right"/>
    </xf>
    <xf numFmtId="0" fontId="246" fillId="64" borderId="0" applyNumberFormat="0" applyBorder="0" applyAlignment="0" applyProtection="0"/>
    <xf numFmtId="0" fontId="246" fillId="67" borderId="0" applyNumberFormat="0" applyBorder="0" applyAlignment="0" applyProtection="0"/>
    <xf numFmtId="0" fontId="246" fillId="80" borderId="0" applyNumberFormat="0" applyBorder="0" applyAlignment="0" applyProtection="0"/>
    <xf numFmtId="0" fontId="246" fillId="61" borderId="0" applyNumberFormat="0" applyBorder="0" applyAlignment="0" applyProtection="0"/>
    <xf numFmtId="0" fontId="246" fillId="64" borderId="0" applyNumberFormat="0" applyBorder="0" applyAlignment="0" applyProtection="0"/>
    <xf numFmtId="0" fontId="246" fillId="81" borderId="0" applyNumberFormat="0" applyBorder="0" applyAlignment="0" applyProtection="0"/>
    <xf numFmtId="238" fontId="244" fillId="0" borderId="0" applyFont="0" applyFill="0" applyBorder="0" applyAlignment="0" applyProtection="0"/>
    <xf numFmtId="239" fontId="244" fillId="0" borderId="0" applyFont="0" applyFill="0" applyBorder="0" applyAlignment="0" applyProtection="0">
      <alignment horizontal="right"/>
    </xf>
    <xf numFmtId="0" fontId="247" fillId="64" borderId="0" applyNumberFormat="0" applyBorder="0" applyAlignment="0" applyProtection="0"/>
    <xf numFmtId="0" fontId="247" fillId="77" borderId="0" applyNumberFormat="0" applyBorder="0" applyAlignment="0" applyProtection="0"/>
    <xf numFmtId="0" fontId="247" fillId="69" borderId="0" applyNumberFormat="0" applyBorder="0" applyAlignment="0" applyProtection="0"/>
    <xf numFmtId="0" fontId="247" fillId="61" borderId="0" applyNumberFormat="0" applyBorder="0" applyAlignment="0" applyProtection="0"/>
    <xf numFmtId="0" fontId="247" fillId="64" borderId="0" applyNumberFormat="0" applyBorder="0" applyAlignment="0" applyProtection="0"/>
    <xf numFmtId="0" fontId="247" fillId="67" borderId="0" applyNumberFormat="0" applyBorder="0" applyAlignment="0" applyProtection="0"/>
    <xf numFmtId="240" fontId="244" fillId="0" borderId="0" applyFont="0" applyFill="0" applyBorder="0" applyAlignment="0" applyProtection="0">
      <alignment horizontal="right"/>
    </xf>
    <xf numFmtId="241" fontId="244" fillId="0" borderId="0" applyFont="0" applyFill="0" applyBorder="0" applyAlignment="0" applyProtection="0">
      <alignment horizontal="right"/>
    </xf>
    <xf numFmtId="242" fontId="244" fillId="0" borderId="0" applyFont="0" applyFill="0" applyBorder="0" applyAlignment="0" applyProtection="0"/>
    <xf numFmtId="0" fontId="247" fillId="85" borderId="0" applyNumberFormat="0" applyBorder="0" applyAlignment="0" applyProtection="0"/>
    <xf numFmtId="0" fontId="247" fillId="77" borderId="0" applyNumberFormat="0" applyBorder="0" applyAlignment="0" applyProtection="0"/>
    <xf numFmtId="0" fontId="247" fillId="69" borderId="0" applyNumberFormat="0" applyBorder="0" applyAlignment="0" applyProtection="0"/>
    <xf numFmtId="0" fontId="247" fillId="86" borderId="0" applyNumberFormat="0" applyBorder="0" applyAlignment="0" applyProtection="0"/>
    <xf numFmtId="0" fontId="247" fillId="72" borderId="0" applyNumberFormat="0" applyBorder="0" applyAlignment="0" applyProtection="0"/>
    <xf numFmtId="0" fontId="247" fillId="75" borderId="0" applyNumberFormat="0" applyBorder="0" applyAlignment="0" applyProtection="0"/>
    <xf numFmtId="0" fontId="248" fillId="63" borderId="0" applyNumberFormat="0" applyBorder="0" applyAlignment="0" applyProtection="0"/>
    <xf numFmtId="0" fontId="244" fillId="0" borderId="176" applyNumberFormat="0" applyFill="0" applyAlignment="0" applyProtection="0"/>
    <xf numFmtId="243" fontId="155" fillId="0" borderId="176" applyNumberFormat="0" applyFill="0" applyAlignment="0" applyProtection="0">
      <alignment horizontal="center"/>
    </xf>
    <xf numFmtId="243" fontId="155" fillId="0" borderId="78" applyFill="0" applyAlignment="0" applyProtection="0">
      <alignment horizontal="center"/>
    </xf>
    <xf numFmtId="0" fontId="249" fillId="59" borderId="1" applyNumberFormat="0" applyAlignment="0" applyProtection="0"/>
    <xf numFmtId="0" fontId="250" fillId="79" borderId="179" applyNumberFormat="0" applyAlignment="0" applyProtection="0"/>
    <xf numFmtId="0" fontId="173" fillId="0" borderId="0" applyProtection="0"/>
    <xf numFmtId="243" fontId="155" fillId="0" borderId="0" applyFill="0" applyBorder="0" applyProtection="0">
      <alignment horizontal="center"/>
    </xf>
    <xf numFmtId="43" fontId="181" fillId="0" borderId="0" applyFont="0" applyFill="0" applyBorder="0" applyAlignment="0" applyProtection="0"/>
    <xf numFmtId="3" fontId="8" fillId="0" borderId="0" applyFont="0" applyFill="0" applyBorder="0" applyAlignment="0" applyProtection="0"/>
    <xf numFmtId="44" fontId="181" fillId="0" borderId="0" applyFont="0" applyFill="0" applyBorder="0" applyAlignment="0" applyProtection="0"/>
    <xf numFmtId="5" fontId="8" fillId="0" borderId="0" applyFont="0" applyFill="0" applyBorder="0" applyAlignment="0" applyProtection="0"/>
    <xf numFmtId="0" fontId="178" fillId="0" borderId="0" applyProtection="0"/>
    <xf numFmtId="244" fontId="244" fillId="0" borderId="0" applyFont="0" applyFill="0" applyBorder="0" applyAlignment="0" applyProtection="0"/>
    <xf numFmtId="243" fontId="155" fillId="0" borderId="174" applyNumberFormat="0" applyFill="0" applyAlignment="0" applyProtection="0"/>
    <xf numFmtId="0" fontId="244" fillId="0" borderId="174" applyNumberFormat="0" applyFill="0" applyAlignment="0" applyProtection="0"/>
    <xf numFmtId="0" fontId="251" fillId="0" borderId="0" applyNumberFormat="0" applyFill="0" applyBorder="0" applyAlignment="0" applyProtection="0"/>
    <xf numFmtId="2" fontId="178" fillId="0" borderId="0" applyProtection="0"/>
    <xf numFmtId="0" fontId="252" fillId="64" borderId="0" applyNumberFormat="0" applyBorder="0" applyAlignment="0" applyProtection="0"/>
    <xf numFmtId="0" fontId="245" fillId="0" borderId="0" applyNumberFormat="0" applyFill="0" applyBorder="0" applyAlignment="0" applyProtection="0"/>
    <xf numFmtId="0" fontId="153" fillId="0" borderId="0" applyNumberFormat="0" applyFill="0" applyBorder="0" applyAlignment="0" applyProtection="0"/>
    <xf numFmtId="0" fontId="253" fillId="0" borderId="189" applyNumberFormat="0" applyFill="0" applyAlignment="0" applyProtection="0"/>
    <xf numFmtId="0" fontId="253" fillId="0" borderId="0" applyNumberFormat="0" applyFill="0" applyBorder="0" applyAlignment="0" applyProtection="0"/>
    <xf numFmtId="0" fontId="245" fillId="0" borderId="0" applyProtection="0"/>
    <xf numFmtId="0" fontId="153" fillId="0" borderId="0" applyProtection="0"/>
    <xf numFmtId="245" fontId="244" fillId="0" borderId="0" applyFont="0" applyFill="0" applyBorder="0" applyAlignment="0" applyProtection="0"/>
    <xf numFmtId="0" fontId="254" fillId="80" borderId="1" applyNumberFormat="0" applyAlignment="0" applyProtection="0"/>
    <xf numFmtId="0" fontId="255" fillId="0" borderId="190" applyNumberFormat="0" applyFill="0" applyAlignment="0" applyProtection="0"/>
    <xf numFmtId="0" fontId="256" fillId="80" borderId="0" applyNumberFormat="0" applyBorder="0" applyAlignment="0" applyProtection="0"/>
    <xf numFmtId="0" fontId="155" fillId="0" borderId="0" applyNumberFormat="0" applyFill="0" applyAlignment="0" applyProtection="0"/>
    <xf numFmtId="4" fontId="178" fillId="0" borderId="0"/>
    <xf numFmtId="246" fontId="155" fillId="0" borderId="0" applyFill="0" applyBorder="0" applyProtection="0">
      <alignment horizontal="right"/>
    </xf>
    <xf numFmtId="0" fontId="257" fillId="59" borderId="184" applyNumberFormat="0" applyAlignment="0" applyProtection="0"/>
    <xf numFmtId="9" fontId="181" fillId="0" borderId="0" applyFont="0" applyFill="0" applyBorder="0" applyAlignment="0" applyProtection="0"/>
    <xf numFmtId="247" fontId="155" fillId="0" borderId="0" applyProtection="0"/>
    <xf numFmtId="0" fontId="155" fillId="0" borderId="78" applyNumberFormat="0" applyFill="0" applyAlignment="0" applyProtection="0"/>
    <xf numFmtId="8" fontId="180" fillId="0" borderId="0" applyNumberFormat="0" applyFill="0" applyBorder="0" applyAlignment="0" applyProtection="0"/>
    <xf numFmtId="0" fontId="243" fillId="0" borderId="0" applyNumberFormat="0" applyFill="0" applyBorder="0" applyAlignment="0" applyProtection="0"/>
    <xf numFmtId="0" fontId="244" fillId="0" borderId="173" applyNumberFormat="0" applyFont="0" applyFill="0" applyAlignment="0" applyProtection="0"/>
    <xf numFmtId="0" fontId="244" fillId="0" borderId="192" applyNumberFormat="0" applyFont="0" applyFill="0" applyAlignment="0" applyProtection="0"/>
    <xf numFmtId="0" fontId="244" fillId="0" borderId="139" applyNumberFormat="0" applyFont="0" applyFill="0" applyAlignment="0" applyProtection="0"/>
    <xf numFmtId="0" fontId="178" fillId="0" borderId="193" applyProtection="0"/>
    <xf numFmtId="0" fontId="255" fillId="0" borderId="0" applyNumberFormat="0" applyFill="0" applyBorder="0" applyAlignment="0" applyProtection="0"/>
    <xf numFmtId="0" fontId="8" fillId="0" borderId="0"/>
    <xf numFmtId="44" fontId="2" fillId="0" borderId="0" applyFont="0" applyFill="0" applyBorder="0" applyAlignment="0" applyProtection="0"/>
    <xf numFmtId="181" fontId="236" fillId="0" borderId="0" applyFont="0" applyFill="0" applyBorder="0" applyAlignment="0" applyProtection="0"/>
    <xf numFmtId="0" fontId="8" fillId="0" borderId="0"/>
    <xf numFmtId="0" fontId="203"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1" fontId="8" fillId="0" borderId="78" applyNumberFormat="0" applyFont="0" applyFill="0" applyAlignment="0" applyProtection="0"/>
    <xf numFmtId="3" fontId="181" fillId="0" borderId="0" applyFont="0" applyFill="0" applyBorder="0" applyAlignment="0" applyProtection="0"/>
    <xf numFmtId="218" fontId="43" fillId="0" borderId="0" applyFont="0" applyFill="0" applyBorder="0" applyAlignment="0" applyProtection="0"/>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0" fontId="11" fillId="0" borderId="78" applyFill="0" applyAlignment="0" applyProtection="0">
      <protection locked="0"/>
    </xf>
    <xf numFmtId="0" fontId="18" fillId="0" borderId="78" applyFill="0" applyAlignment="0" applyProtection="0">
      <protection locked="0"/>
    </xf>
    <xf numFmtId="218" fontId="43" fillId="0" borderId="0" applyFont="0" applyFill="0" applyBorder="0" applyAlignment="0" applyProtection="0"/>
    <xf numFmtId="222" fontId="43" fillId="0" borderId="0" applyFont="0" applyFill="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22" fontId="43" fillId="0" borderId="0" applyFont="0" applyFill="0" applyBorder="0" applyAlignment="0" applyProtection="0"/>
    <xf numFmtId="0" fontId="155" fillId="0" borderId="78" applyNumberFormat="0" applyFill="0" applyAlignment="0" applyProtection="0"/>
    <xf numFmtId="0" fontId="8" fillId="0" borderId="0"/>
    <xf numFmtId="3" fontId="181"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43" fontId="203" fillId="0" borderId="0" applyFont="0" applyFill="0" applyBorder="0" applyAlignment="0" applyProtection="0"/>
    <xf numFmtId="3" fontId="181" fillId="0" borderId="0" applyFont="0" applyFill="0" applyBorder="0" applyAlignment="0" applyProtection="0"/>
    <xf numFmtId="10" fontId="9" fillId="2" borderId="77" applyNumberFormat="0" applyBorder="0" applyAlignment="0" applyProtection="0"/>
    <xf numFmtId="10" fontId="9" fillId="2" borderId="77" applyNumberFormat="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41" fontId="8" fillId="0" borderId="78" applyNumberFormat="0" applyFont="0" applyFill="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4" fontId="8" fillId="0" borderId="0" applyFont="0" applyFill="0" applyBorder="0" applyAlignment="0" applyProtection="0"/>
    <xf numFmtId="42" fontId="8" fillId="0" borderId="0" applyFont="0" applyFill="0" applyBorder="0" applyAlignment="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204" fontId="232" fillId="0" borderId="0"/>
    <xf numFmtId="9" fontId="8"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2" fillId="0" borderId="0"/>
    <xf numFmtId="41" fontId="8" fillId="0" borderId="78" applyNumberFormat="0" applyFont="0" applyFill="0" applyAlignment="0" applyProtection="0"/>
    <xf numFmtId="43" fontId="203"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2"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153" fillId="0" borderId="76">
      <alignment horizontal="left" vertical="center"/>
    </xf>
    <xf numFmtId="0" fontId="235" fillId="0" borderId="0" applyNumberFormat="0" applyFill="0" applyBorder="0" applyAlignment="0" applyProtection="0"/>
    <xf numFmtId="0" fontId="182" fillId="0" borderId="0" applyNumberFormat="0" applyFill="0" applyBorder="0" applyAlignment="0" applyProtection="0"/>
    <xf numFmtId="14" fontId="11" fillId="82" borderId="194">
      <alignment horizontal="center" vertical="center" wrapText="1"/>
    </xf>
    <xf numFmtId="10" fontId="9" fillId="2" borderId="77" applyNumberFormat="0" applyBorder="0" applyAlignment="0" applyProtection="0"/>
    <xf numFmtId="204" fontId="232" fillId="0" borderId="0"/>
    <xf numFmtId="0" fontId="8" fillId="0" borderId="0"/>
    <xf numFmtId="0" fontId="203" fillId="0" borderId="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155" fillId="0" borderId="0"/>
    <xf numFmtId="43" fontId="155" fillId="0" borderId="0" applyFont="0" applyFill="0" applyBorder="0" applyAlignment="0" applyProtection="0"/>
    <xf numFmtId="9" fontId="155" fillId="0" borderId="0" applyFont="0" applyFill="0" applyBorder="0" applyAlignment="0" applyProtection="0"/>
    <xf numFmtId="0" fontId="8" fillId="0" borderId="0"/>
    <xf numFmtId="3" fontId="181" fillId="0" borderId="0" applyFont="0" applyFill="0" applyBorder="0" applyAlignment="0" applyProtection="0"/>
    <xf numFmtId="43" fontId="8" fillId="0" borderId="0" applyFont="0" applyFill="0" applyBorder="0" applyAlignment="0" applyProtection="0"/>
    <xf numFmtId="41" fontId="8" fillId="0" borderId="78" applyNumberFormat="0" applyFont="0" applyFill="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4" fontId="8" fillId="0" borderId="0" applyFont="0" applyFill="0" applyBorder="0" applyAlignment="0" applyProtection="0"/>
    <xf numFmtId="42" fontId="8"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18" fontId="43"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3" fontId="181" fillId="0" borderId="0" applyFont="0" applyFill="0" applyBorder="0" applyAlignment="0" applyProtection="0"/>
    <xf numFmtId="0" fontId="8" fillId="0" borderId="0"/>
    <xf numFmtId="204" fontId="232" fillId="0" borderId="0"/>
    <xf numFmtId="9" fontId="8"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218" fontId="43"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0" fontId="8" fillId="0" borderId="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8" fillId="0" borderId="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0" fontId="8" fillId="0" borderId="0"/>
    <xf numFmtId="3" fontId="181"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3" fontId="181"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 fillId="0" borderId="0"/>
    <xf numFmtId="44" fontId="8" fillId="0" borderId="0" applyFont="0" applyFill="0" applyBorder="0" applyAlignment="0" applyProtection="0"/>
    <xf numFmtId="0" fontId="8" fillId="0" borderId="0"/>
    <xf numFmtId="44"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41" fontId="8" fillId="0" borderId="78" applyNumberFormat="0" applyFont="0" applyFill="0" applyAlignment="0" applyProtection="0"/>
    <xf numFmtId="0" fontId="8" fillId="0" borderId="0"/>
    <xf numFmtId="3" fontId="181" fillId="0" borderId="0" applyFont="0" applyFill="0" applyBorder="0" applyAlignment="0" applyProtection="0"/>
    <xf numFmtId="41" fontId="8" fillId="0" borderId="78" applyNumberFormat="0" applyFont="0" applyFill="0" applyAlignment="0" applyProtection="0"/>
    <xf numFmtId="43" fontId="8"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0" fontId="235" fillId="0" borderId="0" applyNumberFormat="0" applyFill="0" applyBorder="0" applyAlignment="0" applyProtection="0"/>
    <xf numFmtId="0" fontId="182" fillId="0" borderId="0" applyNumberFormat="0" applyFill="0" applyBorder="0" applyAlignment="0" applyProtection="0"/>
    <xf numFmtId="0" fontId="11" fillId="0" borderId="78" applyFill="0" applyAlignment="0" applyProtection="0">
      <protection locked="0"/>
    </xf>
    <xf numFmtId="0" fontId="18" fillId="0" borderId="78" applyFill="0" applyAlignment="0" applyProtection="0">
      <protection locked="0"/>
    </xf>
    <xf numFmtId="0" fontId="203" fillId="0" borderId="0"/>
    <xf numFmtId="0" fontId="176" fillId="81" borderId="2" applyNumberFormat="0" applyFont="0" applyAlignment="0" applyProtection="0"/>
    <xf numFmtId="218" fontId="43" fillId="0" borderId="0" applyFont="0" applyFill="0" applyBorder="0" applyAlignment="0" applyProtection="0"/>
    <xf numFmtId="0" fontId="237" fillId="0" borderId="0"/>
    <xf numFmtId="222" fontId="43" fillId="0" borderId="0" applyFont="0" applyFill="0" applyBorder="0" applyAlignment="0" applyProtection="0"/>
    <xf numFmtId="0" fontId="237" fillId="0" borderId="0"/>
    <xf numFmtId="37" fontId="179" fillId="0" borderId="0"/>
    <xf numFmtId="0" fontId="181" fillId="0" borderId="0"/>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237" fillId="0" borderId="0"/>
    <xf numFmtId="243" fontId="155" fillId="0" borderId="78" applyFill="0" applyAlignment="0" applyProtection="0">
      <alignment horizontal="center"/>
    </xf>
    <xf numFmtId="0" fontId="155" fillId="0" borderId="78" applyNumberFormat="0" applyFill="0" applyAlignment="0" applyProtection="0"/>
    <xf numFmtId="0" fontId="237" fillId="0" borderId="0"/>
    <xf numFmtId="0" fontId="203"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99" fontId="181" fillId="0" borderId="0" applyFont="0" applyFill="0" applyBorder="0" applyAlignment="0" applyProtection="0"/>
    <xf numFmtId="14" fontId="11" fillId="9" borderId="177" applyFill="0" applyBorder="0">
      <alignment horizontal="center"/>
    </xf>
    <xf numFmtId="2" fontId="181" fillId="0" borderId="0" applyFont="0" applyFill="0" applyBorder="0" applyAlignment="0" applyProtection="0"/>
    <xf numFmtId="0" fontId="203" fillId="0" borderId="0"/>
    <xf numFmtId="0" fontId="203" fillId="0" borderId="0"/>
    <xf numFmtId="0" fontId="203" fillId="0" borderId="0"/>
    <xf numFmtId="0" fontId="8" fillId="0" borderId="0"/>
    <xf numFmtId="0" fontId="203" fillId="0" borderId="0"/>
    <xf numFmtId="0" fontId="8" fillId="0" borderId="0"/>
    <xf numFmtId="0" fontId="203" fillId="0" borderId="0"/>
    <xf numFmtId="0" fontId="203" fillId="0" borderId="0"/>
    <xf numFmtId="0" fontId="203" fillId="0" borderId="0"/>
    <xf numFmtId="0" fontId="203" fillId="0" borderId="0"/>
    <xf numFmtId="0" fontId="203" fillId="81" borderId="2" applyNumberFormat="0" applyFont="0" applyAlignment="0" applyProtection="0"/>
    <xf numFmtId="0" fontId="203" fillId="81" borderId="2" applyNumberFormat="0" applyFont="0" applyAlignment="0" applyProtection="0"/>
    <xf numFmtId="0" fontId="203" fillId="81" borderId="2" applyNumberFormat="0" applyFont="0" applyAlignment="0" applyProtection="0"/>
    <xf numFmtId="175" fontId="225"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0" fontId="203" fillId="0" borderId="0"/>
    <xf numFmtId="0" fontId="237" fillId="0" borderId="0"/>
    <xf numFmtId="0" fontId="203" fillId="0" borderId="0"/>
    <xf numFmtId="0" fontId="203" fillId="81" borderId="2" applyNumberFormat="0" applyFon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181" fillId="0" borderId="0" applyFont="0" applyFill="0" applyBorder="0" applyAlignment="0" applyProtection="0"/>
    <xf numFmtId="0" fontId="203" fillId="0" borderId="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0" fontId="8" fillId="0" borderId="0"/>
    <xf numFmtId="0" fontId="8" fillId="0" borderId="0"/>
    <xf numFmtId="43"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0" fontId="213" fillId="65" borderId="1" applyNumberFormat="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3" fillId="65" borderId="1" applyNumberForma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181" fillId="0" borderId="0" applyFont="0" applyFill="0" applyBorder="0" applyAlignment="0" applyProtection="0"/>
    <xf numFmtId="0" fontId="213" fillId="65" borderId="1" applyNumberFormat="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8" fillId="0" borderId="0"/>
    <xf numFmtId="0" fontId="2" fillId="0" borderId="0"/>
    <xf numFmtId="43" fontId="8" fillId="0" borderId="0" applyFont="0" applyFill="0" applyBorder="0" applyAlignment="0" applyProtection="0"/>
    <xf numFmtId="184" fontId="8"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4" fontId="8" fillId="0" borderId="0">
      <alignment horizontal="center"/>
    </xf>
    <xf numFmtId="42"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201"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43" fontId="8" fillId="0" borderId="0" applyFont="0" applyFill="0" applyBorder="0" applyAlignment="0" applyProtection="0"/>
    <xf numFmtId="0" fontId="213" fillId="65" borderId="1" applyNumberFormat="0" applyAlignment="0" applyProtection="0"/>
    <xf numFmtId="9" fontId="8" fillId="0" borderId="0" applyFont="0" applyFill="0" applyBorder="0" applyAlignment="0" applyProtection="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 fillId="0" borderId="0"/>
    <xf numFmtId="0" fontId="203" fillId="0" borderId="0"/>
    <xf numFmtId="0" fontId="203" fillId="0" borderId="0"/>
    <xf numFmtId="41" fontId="8" fillId="0" borderId="78" applyNumberFormat="0" applyFon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0" fontId="8" fillId="0" borderId="0"/>
    <xf numFmtId="0" fontId="8" fillId="0" borderId="0"/>
    <xf numFmtId="0" fontId="237" fillId="0" borderId="0"/>
    <xf numFmtId="0" fontId="237" fillId="0" borderId="0"/>
    <xf numFmtId="0" fontId="237" fillId="0" borderId="0"/>
    <xf numFmtId="0" fontId="237" fillId="0" borderId="0"/>
    <xf numFmtId="0" fontId="237" fillId="0" borderId="0"/>
    <xf numFmtId="0" fontId="8" fillId="0" borderId="0"/>
    <xf numFmtId="0" fontId="237" fillId="0" borderId="0"/>
    <xf numFmtId="0" fontId="237" fillId="0" borderId="0"/>
    <xf numFmtId="0" fontId="237" fillId="0" borderId="0"/>
    <xf numFmtId="0" fontId="237" fillId="0" borderId="0"/>
    <xf numFmtId="0" fontId="2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81" borderId="297" applyNumberFormat="0" applyFont="0" applyAlignment="0" applyProtection="0"/>
    <xf numFmtId="0" fontId="229" fillId="83" borderId="390" applyAlignment="0">
      <alignment horizontal="center"/>
    </xf>
    <xf numFmtId="0" fontId="213" fillId="65" borderId="503" applyNumberFormat="0" applyAlignment="0" applyProtection="0"/>
    <xf numFmtId="0" fontId="174" fillId="0" borderId="589" applyNumberFormat="0" applyFill="0" applyAlignment="0" applyProtection="0"/>
    <xf numFmtId="0" fontId="203" fillId="81" borderId="324" applyNumberFormat="0" applyFont="0" applyAlignment="0" applyProtection="0"/>
    <xf numFmtId="0" fontId="213" fillId="80" borderId="503" applyNumberFormat="0" applyAlignment="0" applyProtection="0"/>
    <xf numFmtId="0" fontId="213" fillId="65" borderId="467" applyNumberFormat="0" applyAlignment="0" applyProtection="0"/>
    <xf numFmtId="0" fontId="213" fillId="80" borderId="566" applyNumberFormat="0" applyAlignment="0" applyProtection="0"/>
    <xf numFmtId="43" fontId="203" fillId="0" borderId="0" applyFont="0" applyFill="0" applyBorder="0" applyAlignment="0" applyProtection="0"/>
    <xf numFmtId="0" fontId="229" fillId="83" borderId="615" applyAlignment="0">
      <alignment horizontal="center"/>
    </xf>
    <xf numFmtId="0" fontId="153" fillId="0" borderId="591">
      <alignment horizontal="left" vertical="center"/>
    </xf>
    <xf numFmtId="0" fontId="203" fillId="81" borderId="342" applyNumberFormat="0" applyFont="0" applyAlignment="0" applyProtection="0"/>
    <xf numFmtId="0" fontId="203" fillId="81" borderId="324" applyNumberFormat="0" applyFont="0" applyAlignment="0" applyProtection="0"/>
    <xf numFmtId="182" fontId="225" fillId="0" borderId="610" applyFill="0" applyProtection="0"/>
    <xf numFmtId="0" fontId="213" fillId="65" borderId="368" applyNumberFormat="0" applyAlignment="0" applyProtection="0"/>
    <xf numFmtId="0" fontId="213" fillId="65" borderId="341" applyNumberFormat="0" applyAlignment="0" applyProtection="0"/>
    <xf numFmtId="182" fontId="225" fillId="0" borderId="556" applyFill="0" applyProtection="0"/>
    <xf numFmtId="44" fontId="203" fillId="0" borderId="0" applyFont="0" applyFill="0" applyBorder="0" applyAlignment="0" applyProtection="0"/>
    <xf numFmtId="0" fontId="203" fillId="81" borderId="522" applyNumberFormat="0" applyFont="0" applyAlignment="0" applyProtection="0"/>
    <xf numFmtId="0" fontId="257" fillId="59" borderId="343" applyNumberFormat="0" applyAlignment="0" applyProtection="0"/>
    <xf numFmtId="0" fontId="203" fillId="81" borderId="378" applyNumberFormat="0" applyFont="0" applyAlignment="0" applyProtection="0"/>
    <xf numFmtId="0" fontId="213" fillId="65" borderId="512" applyNumberFormat="0" applyAlignment="0" applyProtection="0"/>
    <xf numFmtId="0" fontId="203" fillId="81" borderId="369" applyNumberFormat="0" applyFont="0" applyAlignment="0" applyProtection="0"/>
    <xf numFmtId="0" fontId="203" fillId="81" borderId="297" applyNumberFormat="0" applyFont="0" applyAlignment="0" applyProtection="0"/>
    <xf numFmtId="0" fontId="213" fillId="65" borderId="602" applyNumberFormat="0" applyAlignment="0" applyProtection="0"/>
    <xf numFmtId="0" fontId="213" fillId="65" borderId="1" applyNumberFormat="0" applyAlignment="0" applyProtection="0"/>
    <xf numFmtId="0" fontId="229" fillId="83" borderId="553" applyAlignment="0">
      <alignment horizontal="center"/>
    </xf>
    <xf numFmtId="0" fontId="213" fillId="65" borderId="566" applyNumberFormat="0" applyAlignment="0" applyProtection="0"/>
    <xf numFmtId="0" fontId="213" fillId="65" borderId="593" applyNumberFormat="0" applyAlignment="0" applyProtection="0"/>
    <xf numFmtId="0" fontId="203" fillId="81" borderId="324" applyNumberFormat="0" applyFont="0" applyAlignment="0" applyProtection="0"/>
    <xf numFmtId="0" fontId="213" fillId="65" borderId="242" applyNumberFormat="0" applyAlignment="0" applyProtection="0"/>
    <xf numFmtId="0" fontId="213" fillId="80" borderId="242" applyNumberFormat="0" applyAlignment="0" applyProtection="0"/>
    <xf numFmtId="0" fontId="153" fillId="0" borderId="366">
      <alignment horizontal="left" vertical="center"/>
    </xf>
    <xf numFmtId="0" fontId="176" fillId="81" borderId="612" applyNumberFormat="0" applyFont="0" applyAlignment="0" applyProtection="0"/>
    <xf numFmtId="0" fontId="213" fillId="65" borderId="278" applyNumberFormat="0" applyAlignment="0" applyProtection="0"/>
    <xf numFmtId="0" fontId="213" fillId="65" borderId="296" applyNumberFormat="0" applyAlignment="0" applyProtection="0"/>
    <xf numFmtId="0" fontId="203" fillId="81" borderId="297" applyNumberFormat="0" applyFont="0" applyAlignment="0" applyProtection="0"/>
    <xf numFmtId="0" fontId="213" fillId="65" borderId="593" applyNumberFormat="0" applyAlignment="0" applyProtection="0"/>
    <xf numFmtId="0" fontId="203" fillId="81" borderId="342" applyNumberFormat="0" applyFont="0" applyAlignment="0" applyProtection="0"/>
    <xf numFmtId="200" fontId="225" fillId="0" borderId="340" applyFill="0" applyProtection="0"/>
    <xf numFmtId="0" fontId="213" fillId="65" borderId="341" applyNumberFormat="0" applyAlignment="0" applyProtection="0"/>
    <xf numFmtId="200" fontId="225" fillId="0" borderId="457" applyFill="0" applyProtection="0"/>
    <xf numFmtId="0" fontId="203" fillId="81" borderId="459" applyNumberFormat="0" applyFont="0" applyAlignment="0" applyProtection="0"/>
    <xf numFmtId="0" fontId="213" fillId="80" borderId="431" applyNumberFormat="0" applyAlignment="0" applyProtection="0"/>
    <xf numFmtId="0" fontId="203" fillId="81" borderId="603" applyNumberFormat="0" applyFont="0" applyAlignment="0" applyProtection="0"/>
    <xf numFmtId="0" fontId="213" fillId="80" borderId="413" applyNumberFormat="0" applyAlignment="0" applyProtection="0"/>
    <xf numFmtId="0" fontId="203" fillId="81" borderId="459" applyNumberFormat="0" applyFont="0" applyAlignment="0" applyProtection="0"/>
    <xf numFmtId="0" fontId="203" fillId="81" borderId="513" applyNumberFormat="0" applyFont="0" applyAlignment="0" applyProtection="0"/>
    <xf numFmtId="0" fontId="174" fillId="0" borderId="507" applyNumberFormat="0" applyFill="0" applyAlignment="0" applyProtection="0"/>
    <xf numFmtId="0" fontId="203" fillId="81" borderId="297" applyNumberFormat="0" applyFont="0" applyAlignment="0" applyProtection="0"/>
    <xf numFmtId="0" fontId="203" fillId="0" borderId="0"/>
    <xf numFmtId="0" fontId="257" fillId="59" borderId="298" applyNumberFormat="0" applyAlignment="0" applyProtection="0"/>
    <xf numFmtId="0" fontId="213" fillId="65" borderId="368" applyNumberFormat="0" applyAlignment="0" applyProtection="0"/>
    <xf numFmtId="0" fontId="206" fillId="78" borderId="557" applyNumberFormat="0" applyAlignment="0" applyProtection="0"/>
    <xf numFmtId="0" fontId="213" fillId="65" borderId="602" applyNumberFormat="0" applyAlignment="0" applyProtection="0"/>
    <xf numFmtId="0" fontId="213" fillId="65" borderId="593" applyNumberFormat="0" applyAlignment="0" applyProtection="0"/>
    <xf numFmtId="0" fontId="176" fillId="81" borderId="297" applyNumberFormat="0" applyFont="0" applyAlignment="0" applyProtection="0"/>
    <xf numFmtId="0" fontId="213" fillId="65" borderId="323" applyNumberFormat="0" applyAlignment="0" applyProtection="0"/>
    <xf numFmtId="0" fontId="244" fillId="0" borderId="295" applyNumberFormat="0" applyFont="0" applyFill="0" applyAlignment="0" applyProtection="0"/>
    <xf numFmtId="0" fontId="178" fillId="0" borderId="302" applyProtection="0"/>
    <xf numFmtId="200" fontId="225" fillId="0" borderId="295" applyFill="0" applyProtection="0"/>
    <xf numFmtId="0" fontId="213" fillId="65" borderId="593" applyNumberFormat="0" applyAlignment="0" applyProtection="0"/>
    <xf numFmtId="0" fontId="229" fillId="83" borderId="435" applyAlignment="0">
      <alignment horizontal="center"/>
    </xf>
    <xf numFmtId="0" fontId="206" fillId="78" borderId="458" applyNumberFormat="0" applyAlignment="0" applyProtection="0"/>
    <xf numFmtId="182" fontId="225" fillId="0" borderId="295" applyFill="0" applyProtection="0"/>
    <xf numFmtId="0" fontId="153" fillId="0" borderId="519">
      <alignment horizontal="left" vertical="center"/>
    </xf>
    <xf numFmtId="44" fontId="203" fillId="0" borderId="0" applyFont="0" applyFill="0" applyBorder="0" applyAlignment="0" applyProtection="0"/>
    <xf numFmtId="0" fontId="8" fillId="81" borderId="378" applyNumberFormat="0" applyFont="0" applyAlignment="0" applyProtection="0"/>
    <xf numFmtId="0" fontId="8" fillId="81" borderId="522" applyNumberFormat="0" applyFont="0" applyAlignment="0" applyProtection="0"/>
    <xf numFmtId="0" fontId="213" fillId="65" borderId="386" applyNumberFormat="0" applyAlignment="0" applyProtection="0"/>
    <xf numFmtId="0" fontId="216" fillId="59" borderId="370" applyNumberFormat="0" applyAlignment="0" applyProtection="0"/>
    <xf numFmtId="0" fontId="203" fillId="81" borderId="504" applyNumberFormat="0" applyFont="0" applyAlignment="0" applyProtection="0"/>
    <xf numFmtId="0" fontId="213" fillId="65" borderId="458" applyNumberFormat="0" applyAlignment="0" applyProtection="0"/>
    <xf numFmtId="0" fontId="153" fillId="0" borderId="294">
      <alignment horizontal="left" vertical="center"/>
    </xf>
    <xf numFmtId="0" fontId="203" fillId="81" borderId="468" applyNumberFormat="0" applyFont="0" applyAlignment="0" applyProtection="0"/>
    <xf numFmtId="182" fontId="225" fillId="0" borderId="457" applyFill="0" applyProtection="0"/>
    <xf numFmtId="0" fontId="216" fillId="78" borderId="532" applyNumberFormat="0" applyAlignment="0" applyProtection="0"/>
    <xf numFmtId="0" fontId="213" fillId="65" borderId="503" applyNumberFormat="0" applyAlignment="0" applyProtection="0"/>
    <xf numFmtId="182" fontId="225" fillId="0" borderId="385" applyFill="0" applyProtection="0"/>
    <xf numFmtId="0" fontId="203" fillId="81" borderId="414" applyNumberFormat="0" applyFont="0" applyAlignment="0" applyProtection="0"/>
    <xf numFmtId="0" fontId="8" fillId="81" borderId="459" applyNumberFormat="0" applyFont="0" applyAlignment="0" applyProtection="0"/>
    <xf numFmtId="0" fontId="213" fillId="65" borderId="548" applyNumberFormat="0" applyAlignment="0" applyProtection="0"/>
    <xf numFmtId="0" fontId="213" fillId="65" borderId="458" applyNumberFormat="0" applyAlignment="0" applyProtection="0"/>
    <xf numFmtId="0" fontId="213" fillId="80" borderId="548" applyNumberFormat="0" applyAlignment="0" applyProtection="0"/>
    <xf numFmtId="0" fontId="203" fillId="81" borderId="369" applyNumberFormat="0" applyFont="0" applyAlignment="0" applyProtection="0"/>
    <xf numFmtId="0" fontId="213" fillId="65" borderId="458" applyNumberFormat="0" applyAlignment="0" applyProtection="0"/>
    <xf numFmtId="0" fontId="213" fillId="65" borderId="548" applyNumberFormat="0" applyAlignment="0" applyProtection="0"/>
    <xf numFmtId="44" fontId="2" fillId="0" borderId="0" applyFont="0" applyFill="0" applyBorder="0" applyAlignment="0" applyProtection="0"/>
    <xf numFmtId="0" fontId="213" fillId="65" borderId="296" applyNumberFormat="0" applyAlignment="0" applyProtection="0"/>
    <xf numFmtId="0" fontId="213" fillId="65" borderId="386" applyNumberFormat="0" applyAlignment="0" applyProtection="0"/>
    <xf numFmtId="0" fontId="213" fillId="65" borderId="548" applyNumberFormat="0" applyAlignment="0" applyProtection="0"/>
    <xf numFmtId="0" fontId="249" fillId="59" borderId="242" applyNumberFormat="0" applyAlignment="0" applyProtection="0"/>
    <xf numFmtId="0" fontId="203" fillId="0" borderId="0"/>
    <xf numFmtId="0" fontId="203" fillId="81" borderId="522" applyNumberFormat="0" applyFont="0" applyAlignment="0" applyProtection="0"/>
    <xf numFmtId="0" fontId="203" fillId="81" borderId="603" applyNumberFormat="0" applyFont="0" applyAlignment="0" applyProtection="0"/>
    <xf numFmtId="0" fontId="213" fillId="65" borderId="512" applyNumberFormat="0" applyAlignment="0" applyProtection="0"/>
    <xf numFmtId="0" fontId="213" fillId="65" borderId="323" applyNumberFormat="0" applyAlignment="0" applyProtection="0"/>
    <xf numFmtId="0" fontId="176" fillId="81" borderId="612" applyNumberFormat="0" applyFont="0" applyAlignment="0" applyProtection="0"/>
    <xf numFmtId="0" fontId="203" fillId="81" borderId="513" applyNumberFormat="0" applyFont="0" applyAlignment="0" applyProtection="0"/>
    <xf numFmtId="182" fontId="225" fillId="0" borderId="295" applyFill="0" applyProtection="0"/>
    <xf numFmtId="43" fontId="203" fillId="0" borderId="0" applyFont="0" applyFill="0" applyBorder="0" applyAlignment="0" applyProtection="0"/>
    <xf numFmtId="0" fontId="203" fillId="81" borderId="378" applyNumberFormat="0" applyFont="0" applyAlignment="0" applyProtection="0"/>
    <xf numFmtId="200" fontId="225" fillId="0" borderId="295" applyFill="0" applyProtection="0"/>
    <xf numFmtId="0" fontId="203" fillId="81" borderId="459" applyNumberFormat="0" applyFont="0" applyAlignment="0" applyProtection="0"/>
    <xf numFmtId="0" fontId="213" fillId="65" borderId="602" applyNumberFormat="0" applyAlignment="0" applyProtection="0"/>
    <xf numFmtId="0" fontId="203" fillId="81" borderId="522" applyNumberFormat="0" applyFont="0" applyAlignment="0" applyProtection="0"/>
    <xf numFmtId="0" fontId="229" fillId="83" borderId="328" applyAlignment="0">
      <alignment horizontal="center"/>
    </xf>
    <xf numFmtId="0" fontId="213" fillId="80" borderId="323" applyNumberFormat="0" applyAlignment="0" applyProtection="0"/>
    <xf numFmtId="0" fontId="213" fillId="80" borderId="503" applyNumberFormat="0" applyAlignment="0" applyProtection="0"/>
    <xf numFmtId="0" fontId="213" fillId="80" borderId="467" applyNumberFormat="0" applyAlignment="0" applyProtection="0"/>
    <xf numFmtId="0" fontId="213" fillId="65" borderId="422" applyNumberFormat="0" applyAlignment="0" applyProtection="0"/>
    <xf numFmtId="0" fontId="213" fillId="65" borderId="341" applyNumberFormat="0" applyAlignment="0" applyProtection="0"/>
    <xf numFmtId="200" fontId="225" fillId="0" borderId="547" applyFill="0" applyProtection="0"/>
    <xf numFmtId="0" fontId="213" fillId="65" borderId="323" applyNumberFormat="0" applyAlignment="0" applyProtection="0"/>
    <xf numFmtId="0" fontId="213" fillId="65" borderId="386" applyNumberFormat="0" applyAlignment="0" applyProtection="0"/>
    <xf numFmtId="0" fontId="203" fillId="81" borderId="414" applyNumberFormat="0" applyFont="0" applyAlignment="0" applyProtection="0"/>
    <xf numFmtId="0" fontId="213" fillId="65" borderId="341" applyNumberFormat="0" applyAlignment="0" applyProtection="0"/>
    <xf numFmtId="0" fontId="203" fillId="81" borderId="459" applyNumberFormat="0" applyFont="0" applyAlignment="0" applyProtection="0"/>
    <xf numFmtId="0" fontId="203" fillId="81" borderId="468" applyNumberFormat="0" applyFont="0" applyAlignment="0" applyProtection="0"/>
    <xf numFmtId="0" fontId="216" fillId="78" borderId="415" applyNumberFormat="0" applyAlignment="0" applyProtection="0"/>
    <xf numFmtId="0" fontId="213" fillId="65" borderId="611" applyNumberFormat="0" applyAlignment="0" applyProtection="0"/>
    <xf numFmtId="0" fontId="203" fillId="81" borderId="549" applyNumberFormat="0" applyFont="0" applyAlignment="0" applyProtection="0"/>
    <xf numFmtId="0" fontId="153" fillId="0" borderId="420">
      <alignment horizontal="left" vertical="center"/>
    </xf>
    <xf numFmtId="0" fontId="238" fillId="59" borderId="548" applyNumberFormat="0" applyAlignment="0" applyProtection="0"/>
    <xf numFmtId="0" fontId="8" fillId="81" borderId="297" applyNumberFormat="0" applyFont="0" applyAlignment="0" applyProtection="0"/>
    <xf numFmtId="0" fontId="203" fillId="81" borderId="297" applyNumberFormat="0" applyFont="0" applyAlignment="0" applyProtection="0"/>
    <xf numFmtId="0" fontId="203" fillId="81" borderId="558" applyNumberFormat="0" applyFont="0" applyAlignment="0" applyProtection="0"/>
    <xf numFmtId="0" fontId="153" fillId="0" borderId="609">
      <alignment horizontal="left" vertical="center"/>
    </xf>
    <xf numFmtId="0" fontId="213" fillId="65" borderId="458" applyNumberFormat="0" applyAlignment="0" applyProtection="0"/>
    <xf numFmtId="0" fontId="176" fillId="81" borderId="432" applyNumberFormat="0" applyFont="0" applyAlignment="0" applyProtection="0"/>
    <xf numFmtId="0" fontId="213" fillId="65" borderId="368" applyNumberFormat="0" applyAlignment="0" applyProtection="0"/>
    <xf numFmtId="0" fontId="229" fillId="83" borderId="561" applyAlignment="0">
      <alignment horizontal="center"/>
    </xf>
    <xf numFmtId="182" fontId="225" fillId="0" borderId="610" applyFill="0" applyProtection="0"/>
    <xf numFmtId="0" fontId="203" fillId="81" borderId="504" applyNumberFormat="0" applyFont="0" applyAlignment="0" applyProtection="0"/>
    <xf numFmtId="0" fontId="213" fillId="65" borderId="377" applyNumberFormat="0" applyAlignment="0" applyProtection="0"/>
    <xf numFmtId="0" fontId="254" fillId="80" borderId="296" applyNumberFormat="0" applyAlignment="0" applyProtection="0"/>
    <xf numFmtId="0" fontId="206" fillId="78" borderId="503" applyNumberFormat="0" applyAlignment="0" applyProtection="0"/>
    <xf numFmtId="182" fontId="225" fillId="0" borderId="511" applyFill="0" applyProtection="0"/>
    <xf numFmtId="0" fontId="229" fillId="83" borderId="418" applyAlignment="0">
      <alignment horizontal="center"/>
    </xf>
    <xf numFmtId="0" fontId="213" fillId="65" borderId="368" applyNumberFormat="0" applyAlignment="0" applyProtection="0"/>
    <xf numFmtId="0" fontId="176" fillId="81" borderId="414" applyNumberFormat="0" applyFont="0" applyAlignment="0" applyProtection="0"/>
    <xf numFmtId="0" fontId="203" fillId="81" borderId="567" applyNumberFormat="0" applyFont="0" applyAlignment="0" applyProtection="0"/>
    <xf numFmtId="0" fontId="213" fillId="65" borderId="341" applyNumberFormat="0" applyAlignment="0" applyProtection="0"/>
    <xf numFmtId="0" fontId="213" fillId="65" borderId="341" applyNumberFormat="0" applyAlignment="0" applyProtection="0"/>
    <xf numFmtId="0" fontId="213" fillId="65" borderId="323" applyNumberFormat="0" applyAlignment="0" applyProtection="0"/>
    <xf numFmtId="0" fontId="203" fillId="81" borderId="342" applyNumberFormat="0" applyFont="0" applyAlignment="0" applyProtection="0"/>
    <xf numFmtId="0" fontId="176" fillId="81" borderId="459" applyNumberFormat="0" applyFont="0" applyAlignment="0" applyProtection="0"/>
    <xf numFmtId="0" fontId="213" fillId="65" borderId="611" applyNumberFormat="0" applyAlignment="0" applyProtection="0"/>
    <xf numFmtId="0" fontId="229" fillId="83" borderId="498" applyAlignment="0">
      <alignment horizontal="center"/>
    </xf>
    <xf numFmtId="0" fontId="213" fillId="65" borderId="413" applyNumberFormat="0" applyAlignment="0" applyProtection="0"/>
    <xf numFmtId="0" fontId="229" fillId="83" borderId="471" applyAlignment="0">
      <alignment horizontal="center"/>
    </xf>
    <xf numFmtId="0" fontId="216" fillId="59" borderId="613" applyNumberFormat="0" applyAlignment="0" applyProtection="0"/>
    <xf numFmtId="182" fontId="225" fillId="0" borderId="385" applyFill="0" applyProtection="0"/>
    <xf numFmtId="0" fontId="213" fillId="65" borderId="413" applyNumberFormat="0" applyAlignment="0" applyProtection="0"/>
    <xf numFmtId="0" fontId="244" fillId="0" borderId="241" applyNumberFormat="0" applyFont="0" applyFill="0" applyAlignment="0" applyProtection="0"/>
    <xf numFmtId="0" fontId="213" fillId="65" borderId="368" applyNumberFormat="0" applyAlignment="0" applyProtection="0"/>
    <xf numFmtId="0" fontId="213" fillId="65" borderId="467" applyNumberFormat="0" applyAlignment="0" applyProtection="0"/>
    <xf numFmtId="0" fontId="203" fillId="81" borderId="549" applyNumberFormat="0" applyFont="0" applyAlignment="0" applyProtection="0"/>
    <xf numFmtId="0" fontId="213" fillId="65" borderId="368" applyNumberFormat="0" applyAlignment="0" applyProtection="0"/>
    <xf numFmtId="0" fontId="2" fillId="0" borderId="0"/>
    <xf numFmtId="43" fontId="176" fillId="0" borderId="0" applyFont="0" applyFill="0" applyBorder="0" applyAlignment="0" applyProtection="0"/>
    <xf numFmtId="0" fontId="2" fillId="0" borderId="0"/>
    <xf numFmtId="43" fontId="176" fillId="0" borderId="0" applyFont="0" applyFill="0" applyBorder="0" applyAlignment="0" applyProtection="0"/>
    <xf numFmtId="44" fontId="176" fillId="0" borderId="0" applyFont="0" applyFill="0" applyBorder="0" applyAlignment="0" applyProtection="0"/>
    <xf numFmtId="9"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182" fontId="225" fillId="0" borderId="520" applyFill="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0" fontId="203" fillId="0" borderId="0"/>
    <xf numFmtId="0" fontId="203" fillId="0" borderId="0"/>
    <xf numFmtId="218"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203" fillId="0" borderId="0"/>
    <xf numFmtId="0" fontId="176" fillId="81" borderId="2" applyNumberFormat="0" applyFont="0" applyAlignment="0" applyProtection="0"/>
    <xf numFmtId="0" fontId="203" fillId="0" borderId="0"/>
    <xf numFmtId="175" fontId="225"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13" fillId="65" borderId="458" applyNumberFormat="0" applyAlignment="0" applyProtection="0"/>
    <xf numFmtId="218"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0" fontId="174" fillId="0" borderId="454" applyNumberFormat="0" applyFill="0" applyAlignment="0" applyProtection="0"/>
    <xf numFmtId="190"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 fontId="181" fillId="0" borderId="0" applyFont="0" applyFill="0" applyBorder="0" applyAlignment="0" applyProtection="0"/>
    <xf numFmtId="222" fontId="43" fillId="0" borderId="0" applyFont="0" applyFill="0" applyBorder="0" applyAlignment="0" applyProtection="0"/>
    <xf numFmtId="0" fontId="238" fillId="59" borderId="377" applyNumberFormat="0" applyAlignment="0" applyProtection="0"/>
    <xf numFmtId="205" fontId="43" fillId="0" borderId="0" applyFont="0" applyFill="0" applyBorder="0" applyAlignment="0" applyProtection="0"/>
    <xf numFmtId="0" fontId="213" fillId="65" borderId="593" applyNumberFormat="0" applyAlignment="0" applyProtection="0"/>
    <xf numFmtId="209" fontId="43" fillId="0" borderId="0" applyFont="0" applyFill="0" applyBorder="0" applyAlignment="0" applyProtection="0"/>
    <xf numFmtId="211" fontId="43" fillId="0" borderId="0" applyFont="0" applyFill="0" applyBorder="0" applyAlignment="0" applyProtection="0"/>
    <xf numFmtId="213" fontId="43" fillId="0" borderId="0" applyFont="0" applyFill="0" applyBorder="0" applyAlignment="0" applyProtection="0"/>
    <xf numFmtId="215" fontId="43" fillId="0" borderId="0" applyFont="0" applyFill="0" applyBorder="0" applyAlignment="0" applyProtection="0"/>
    <xf numFmtId="218" fontId="43" fillId="0" borderId="0" applyFont="0" applyFill="0" applyBorder="0" applyAlignment="0" applyProtection="0"/>
    <xf numFmtId="219" fontId="43" fillId="0" borderId="0" applyFont="0" applyFill="0" applyBorder="0" applyAlignment="0" applyProtection="0"/>
    <xf numFmtId="220" fontId="43" fillId="0" borderId="0" applyFont="0" applyFill="0" applyBorder="0" applyAlignment="0" applyProtection="0"/>
    <xf numFmtId="221"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3" fontId="43" fillId="0" borderId="0" applyFont="0" applyFill="0" applyBorder="0" applyAlignment="0" applyProtection="0"/>
    <xf numFmtId="182" fontId="225" fillId="0" borderId="322" applyFill="0" applyProtection="0"/>
    <xf numFmtId="224" fontId="43" fillId="0" borderId="0" applyFont="0" applyFill="0" applyBorder="0" applyAlignment="0" applyProtection="0"/>
    <xf numFmtId="225"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0" fontId="8" fillId="81" borderId="2" applyNumberFormat="0" applyFont="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181" fillId="0" borderId="0"/>
    <xf numFmtId="222" fontId="43" fillId="0" borderId="0" applyFont="0" applyFill="0" applyBorder="0" applyAlignment="0" applyProtection="0"/>
    <xf numFmtId="218" fontId="43" fillId="0" borderId="0" applyFont="0" applyFill="0" applyBorder="0" applyAlignment="0" applyProtection="0"/>
    <xf numFmtId="0" fontId="213" fillId="65" borderId="278" applyNumberFormat="0" applyAlignment="0" applyProtection="0"/>
    <xf numFmtId="3" fontId="8" fillId="0" borderId="0" applyFont="0" applyFill="0" applyBorder="0" applyAlignment="0" applyProtection="0"/>
    <xf numFmtId="44" fontId="181" fillId="0" borderId="0" applyFont="0" applyFill="0" applyBorder="0" applyAlignment="0" applyProtection="0"/>
    <xf numFmtId="5" fontId="8" fillId="0" borderId="0" applyFont="0" applyFill="0" applyBorder="0" applyAlignment="0" applyProtection="0"/>
    <xf numFmtId="2" fontId="178" fillId="0" borderId="0" applyProtection="0"/>
    <xf numFmtId="222" fontId="43" fillId="0" borderId="0" applyFont="0" applyFill="0" applyBorder="0" applyAlignment="0" applyProtection="0"/>
    <xf numFmtId="9" fontId="181" fillId="0" borderId="0" applyFont="0" applyFill="0" applyBorder="0" applyAlignment="0" applyProtection="0"/>
    <xf numFmtId="44" fontId="2" fillId="0" borderId="0" applyFont="0" applyFill="0" applyBorder="0" applyAlignment="0" applyProtection="0"/>
    <xf numFmtId="0" fontId="213" fillId="65" borderId="323" applyNumberFormat="0" applyAlignment="0" applyProtection="0"/>
    <xf numFmtId="222" fontId="43" fillId="0" borderId="0" applyFont="0" applyFill="0" applyBorder="0" applyAlignment="0" applyProtection="0"/>
    <xf numFmtId="44" fontId="2"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44" fontId="2"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199" fontId="181"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 fontId="181" fillId="0" borderId="0" applyFont="0" applyFill="0" applyBorder="0" applyAlignment="0" applyProtection="0"/>
    <xf numFmtId="204" fontId="232" fillId="0" borderId="0"/>
    <xf numFmtId="0" fontId="176" fillId="81" borderId="549" applyNumberFormat="0" applyFont="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0" fontId="8" fillId="0" borderId="0"/>
    <xf numFmtId="4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39" applyFill="0" applyProtection="0"/>
    <xf numFmtId="182" fontId="225" fillId="0" borderId="175" applyFill="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00" fontId="225" fillId="0" borderId="0" applyFill="0" applyBorder="0" applyProtection="0"/>
    <xf numFmtId="200" fontId="225" fillId="0" borderId="139" applyFill="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04" fontId="232" fillId="0" borderId="0"/>
    <xf numFmtId="0" fontId="8" fillId="0" borderId="0"/>
    <xf numFmtId="0" fontId="8" fillId="0" borderId="0"/>
    <xf numFmtId="0" fontId="8" fillId="0" borderId="0"/>
    <xf numFmtId="9"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9" fontId="43" fillId="0" borderId="0" applyFont="0" applyFill="0" applyBorder="0" applyAlignment="0" applyProtection="0"/>
    <xf numFmtId="0" fontId="8" fillId="0" borderId="0"/>
    <xf numFmtId="0" fontId="176" fillId="64" borderId="0" applyNumberFormat="0" applyBorder="0" applyAlignment="0" applyProtection="0"/>
    <xf numFmtId="0" fontId="176" fillId="67" borderId="0" applyNumberFormat="0" applyBorder="0" applyAlignment="0" applyProtection="0"/>
    <xf numFmtId="0" fontId="204" fillId="72" borderId="0" applyNumberFormat="0" applyBorder="0" applyAlignment="0" applyProtection="0"/>
    <xf numFmtId="0" fontId="2" fillId="0" borderId="0"/>
    <xf numFmtId="0" fontId="207" fillId="79" borderId="179" applyNumberFormat="0" applyAlignment="0" applyProtection="0"/>
    <xf numFmtId="0" fontId="2" fillId="0" borderId="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0" fontId="208" fillId="0" borderId="0" applyNumberFormat="0" applyFill="0" applyBorder="0" applyAlignment="0" applyProtection="0"/>
    <xf numFmtId="0" fontId="210" fillId="0" borderId="180" applyNumberFormat="0" applyFill="0" applyAlignment="0" applyProtection="0"/>
    <xf numFmtId="0" fontId="211" fillId="0" borderId="181" applyNumberFormat="0" applyFill="0" applyAlignment="0" applyProtection="0"/>
    <xf numFmtId="200" fontId="225" fillId="0" borderId="322" applyFill="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43" fillId="0" borderId="0"/>
    <xf numFmtId="0" fontId="203" fillId="81" borderId="297" applyNumberFormat="0" applyFont="0" applyAlignment="0" applyProtection="0"/>
    <xf numFmtId="0" fontId="2" fillId="0" borderId="0"/>
    <xf numFmtId="43" fontId="2" fillId="0" borderId="0" applyFont="0" applyFill="0" applyBorder="0" applyAlignment="0" applyProtection="0"/>
    <xf numFmtId="0" fontId="8"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6" fillId="78" borderId="413"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81" borderId="2" applyNumberFormat="0" applyFont="0" applyAlignment="0" applyProtection="0"/>
    <xf numFmtId="232" fontId="18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0" fontId="203" fillId="81" borderId="495" applyNumberFormat="0" applyFont="0" applyAlignment="0" applyProtection="0"/>
    <xf numFmtId="43" fontId="203" fillId="0" borderId="0" applyFont="0" applyFill="0" applyBorder="0" applyAlignment="0" applyProtection="0"/>
    <xf numFmtId="0" fontId="203" fillId="81" borderId="369" applyNumberFormat="0" applyFont="0" applyAlignment="0" applyProtection="0"/>
    <xf numFmtId="0" fontId="216" fillId="59" borderId="595" applyNumberFormat="0" applyAlignment="0" applyProtection="0"/>
    <xf numFmtId="0" fontId="213" fillId="65" borderId="593" applyNumberFormat="0" applyAlignment="0" applyProtection="0"/>
    <xf numFmtId="0" fontId="203" fillId="81" borderId="594" applyNumberFormat="0" applyFont="0" applyAlignment="0" applyProtection="0"/>
    <xf numFmtId="0" fontId="213" fillId="65" borderId="548" applyNumberFormat="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206" fillId="78" borderId="242" applyNumberFormat="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0" fontId="203" fillId="0" borderId="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222" fontId="4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218" fontId="4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0" fontId="8" fillId="0" borderId="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81" borderId="333" applyNumberFormat="0" applyFont="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81" borderId="2" applyNumberFormat="0" applyFont="0" applyAlignment="0" applyProtection="0"/>
    <xf numFmtId="0" fontId="203" fillId="81" borderId="2" applyNumberFormat="0" applyFont="0" applyAlignment="0" applyProtection="0"/>
    <xf numFmtId="9" fontId="203" fillId="0" borderId="0" applyFont="0" applyFill="0" applyBorder="0" applyAlignment="0" applyProtection="0"/>
    <xf numFmtId="175" fontId="225" fillId="0" borderId="0" applyFont="0" applyFill="0" applyBorder="0" applyAlignment="0" applyProtection="0"/>
    <xf numFmtId="206" fontId="8"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0" fontId="213" fillId="65" borderId="593" applyNumberFormat="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0" fontId="213" fillId="65" borderId="602" applyNumberFormat="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81" borderId="567" applyNumberFormat="0" applyFont="0" applyAlignment="0" applyProtection="0"/>
    <xf numFmtId="218" fontId="4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0" fontId="229" fillId="83" borderId="418" applyAlignment="0">
      <alignment horizontal="center"/>
    </xf>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200" fontId="225" fillId="0" borderId="565" applyFill="0" applyProtection="0"/>
    <xf numFmtId="3" fontId="181"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13" fillId="80" borderId="413" applyNumberFormat="0" applyAlignment="0" applyProtection="0"/>
    <xf numFmtId="0" fontId="203" fillId="81" borderId="2" applyNumberFormat="0" applyFont="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182" fontId="225" fillId="0" borderId="466" applyFill="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0" fontId="213" fillId="65" borderId="521" applyNumberFormat="0" applyAlignment="0" applyProtection="0"/>
    <xf numFmtId="0" fontId="213" fillId="65" borderId="548"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13" fillId="65" borderId="431" applyNumberFormat="0" applyAlignment="0" applyProtection="0"/>
    <xf numFmtId="0" fontId="203" fillId="0" borderId="0"/>
    <xf numFmtId="218" fontId="43" fillId="0" borderId="0" applyFont="0" applyFill="0" applyBorder="0" applyAlignment="0" applyProtection="0"/>
    <xf numFmtId="0" fontId="203" fillId="0" borderId="0"/>
    <xf numFmtId="0" fontId="203" fillId="0" borderId="0"/>
    <xf numFmtId="0" fontId="229" fillId="83" borderId="418" applyAlignment="0">
      <alignment horizontal="center"/>
    </xf>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0" fontId="213" fillId="65" borderId="557" applyNumberFormat="0" applyAlignment="0" applyProtection="0"/>
    <xf numFmtId="0" fontId="213" fillId="65" borderId="413" applyNumberFormat="0" applyAlignment="0" applyProtection="0"/>
    <xf numFmtId="0" fontId="8"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218" fontId="43" fillId="0" borderId="0" applyFont="0" applyFill="0" applyBorder="0" applyAlignment="0" applyProtection="0"/>
    <xf numFmtId="0" fontId="213" fillId="65" borderId="242" applyNumberFormat="0" applyAlignment="0" applyProtection="0"/>
    <xf numFmtId="218" fontId="43" fillId="0" borderId="0" applyFont="0" applyFill="0" applyBorder="0" applyAlignment="0" applyProtection="0"/>
    <xf numFmtId="0" fontId="203" fillId="0" borderId="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0" fontId="203" fillId="0" borderId="0"/>
    <xf numFmtId="222" fontId="43" fillId="0" borderId="0" applyFont="0" applyFill="0" applyBorder="0" applyAlignment="0" applyProtection="0"/>
    <xf numFmtId="0" fontId="8" fillId="0" borderId="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8" fillId="0" borderId="0"/>
    <xf numFmtId="0" fontId="8" fillId="0" borderId="0"/>
    <xf numFmtId="0" fontId="8"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13" fillId="80" borderId="242" applyNumberFormat="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54" fillId="80" borderId="278" applyNumberFormat="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0" fontId="203" fillId="0" borderId="0"/>
    <xf numFmtId="0" fontId="203" fillId="0" borderId="0"/>
    <xf numFmtId="0" fontId="203" fillId="0" borderId="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218" fontId="43" fillId="0" borderId="0" applyFont="0" applyFill="0" applyBorder="0" applyAlignment="0" applyProtection="0"/>
    <xf numFmtId="0" fontId="203" fillId="0" borderId="0"/>
    <xf numFmtId="3" fontId="181"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222" fontId="43" fillId="0" borderId="0" applyFont="0" applyFill="0" applyBorder="0" applyAlignment="0" applyProtection="0"/>
    <xf numFmtId="0" fontId="203" fillId="0" borderId="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0" fontId="203" fillId="0" borderId="0"/>
    <xf numFmtId="0" fontId="203" fillId="0" borderId="0"/>
    <xf numFmtId="3" fontId="181" fillId="0" borderId="0" applyFont="0" applyFill="0" applyBorder="0" applyAlignment="0" applyProtection="0"/>
    <xf numFmtId="0" fontId="203" fillId="0" borderId="0"/>
    <xf numFmtId="0" fontId="203"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03" fillId="0" borderId="0"/>
    <xf numFmtId="3" fontId="181" fillId="0" borderId="0" applyFont="0" applyFill="0" applyBorder="0" applyAlignment="0" applyProtection="0"/>
    <xf numFmtId="0" fontId="203" fillId="0" borderId="0"/>
    <xf numFmtId="44" fontId="98" fillId="0" borderId="0" applyFont="0" applyFill="0" applyBorder="0" applyAlignment="0" applyProtection="0"/>
    <xf numFmtId="43" fontId="98" fillId="0" borderId="0" applyFont="0" applyFill="0" applyBorder="0" applyAlignment="0" applyProtection="0"/>
    <xf numFmtId="0" fontId="98" fillId="0" borderId="0"/>
    <xf numFmtId="0" fontId="203" fillId="0" borderId="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0" fontId="203" fillId="0" borderId="0"/>
    <xf numFmtId="3" fontId="181"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41" fontId="8" fillId="0" borderId="78" applyNumberFormat="0" applyFont="0" applyFill="0" applyAlignment="0" applyProtection="0"/>
    <xf numFmtId="0" fontId="203" fillId="81" borderId="603" applyNumberFormat="0" applyFont="0" applyAlignment="0" applyProtection="0"/>
    <xf numFmtId="0" fontId="213" fillId="65" borderId="467"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03" fillId="0" borderId="0"/>
    <xf numFmtId="0" fontId="213" fillId="65" borderId="602" applyNumberFormat="0" applyAlignment="0" applyProtection="0"/>
    <xf numFmtId="0" fontId="213" fillId="65" borderId="368" applyNumberFormat="0" applyAlignment="0" applyProtection="0"/>
    <xf numFmtId="232" fontId="183"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4" fontId="2"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44" fontId="203" fillId="0" borderId="0" applyFont="0" applyFill="0" applyBorder="0" applyAlignment="0" applyProtection="0"/>
    <xf numFmtId="0" fontId="203" fillId="0" borderId="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13" fillId="65" borderId="341" applyNumberFormat="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199" fontId="181" fillId="0" borderId="0" applyFont="0" applyFill="0" applyBorder="0" applyAlignment="0" applyProtection="0"/>
    <xf numFmtId="2" fontId="181" fillId="0" borderId="0" applyFont="0" applyFill="0" applyBorder="0" applyAlignment="0" applyProtection="0"/>
    <xf numFmtId="0" fontId="8" fillId="0" borderId="0"/>
    <xf numFmtId="0" fontId="8" fillId="0" borderId="0"/>
    <xf numFmtId="0" fontId="203" fillId="81" borderId="2" applyNumberFormat="0" applyFont="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20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8" fillId="0" borderId="78" applyFill="0" applyAlignment="0" applyProtection="0">
      <protection locked="0"/>
    </xf>
    <xf numFmtId="9" fontId="8" fillId="0" borderId="0" applyFont="0" applyFill="0" applyBorder="0" applyAlignment="0" applyProtection="0"/>
    <xf numFmtId="0" fontId="203" fillId="0" borderId="0"/>
    <xf numFmtId="43" fontId="203" fillId="0" borderId="0" applyFont="0" applyFill="0" applyBorder="0" applyAlignment="0" applyProtection="0"/>
    <xf numFmtId="0" fontId="203" fillId="81" borderId="2" applyNumberFormat="0" applyFont="0" applyAlignment="0" applyProtection="0"/>
    <xf numFmtId="9" fontId="203"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182" fontId="225" fillId="0" borderId="139" applyFill="0" applyProtection="0"/>
    <xf numFmtId="199" fontId="181" fillId="0" borderId="0" applyFont="0" applyFill="0" applyBorder="0" applyAlignment="0" applyProtection="0"/>
    <xf numFmtId="200" fontId="225" fillId="0" borderId="139" applyFill="0" applyProtection="0"/>
    <xf numFmtId="2" fontId="181" fillId="0" borderId="0" applyFont="0" applyFill="0" applyBorder="0" applyAlignment="0" applyProtection="0"/>
    <xf numFmtId="0" fontId="229" fillId="83" borderId="186" applyAlignment="0">
      <alignment horizontal="center"/>
    </xf>
    <xf numFmtId="0" fontId="203" fillId="81" borderId="2" applyNumberFormat="0" applyFont="0" applyAlignment="0" applyProtection="0"/>
    <xf numFmtId="9" fontId="203" fillId="0" borderId="0" applyFont="0" applyFill="0" applyBorder="0" applyAlignment="0" applyProtection="0"/>
    <xf numFmtId="9" fontId="8" fillId="0" borderId="0" applyFont="0" applyFill="0" applyBorder="0" applyAlignment="0" applyProtection="0"/>
    <xf numFmtId="0" fontId="203" fillId="81" borderId="369" applyNumberFormat="0" applyFont="0" applyAlignment="0" applyProtection="0"/>
    <xf numFmtId="0" fontId="11" fillId="0" borderId="78" applyFill="0" applyAlignment="0" applyProtection="0">
      <protection locked="0"/>
    </xf>
    <xf numFmtId="0" fontId="8" fillId="0" borderId="0"/>
    <xf numFmtId="0" fontId="213" fillId="65" borderId="377" applyNumberFormat="0" applyAlignment="0" applyProtection="0"/>
    <xf numFmtId="43" fontId="203" fillId="0" borderId="0" applyFont="0" applyFill="0" applyBorder="0" applyAlignment="0" applyProtection="0"/>
    <xf numFmtId="3" fontId="181" fillId="0" borderId="0" applyFont="0" applyFill="0" applyBorder="0" applyAlignment="0" applyProtection="0"/>
    <xf numFmtId="0" fontId="176" fillId="81" borderId="2" applyNumberFormat="0" applyFont="0" applyAlignment="0" applyProtection="0"/>
    <xf numFmtId="232" fontId="183" fillId="0" borderId="0" applyFont="0" applyFill="0" applyBorder="0" applyAlignment="0" applyProtection="0"/>
    <xf numFmtId="0" fontId="8" fillId="0" borderId="0"/>
    <xf numFmtId="0" fontId="239" fillId="0" borderId="187" applyNumberFormat="0" applyFill="0" applyAlignment="0" applyProtection="0"/>
    <xf numFmtId="0" fontId="240" fillId="0" borderId="188" applyNumberFormat="0" applyFill="0" applyAlignment="0" applyProtection="0"/>
    <xf numFmtId="0" fontId="213" fillId="65" borderId="278" applyNumberFormat="0" applyAlignment="0" applyProtection="0"/>
    <xf numFmtId="0" fontId="8" fillId="81" borderId="2" applyNumberFormat="0" applyFont="0" applyAlignment="0" applyProtection="0"/>
    <xf numFmtId="0" fontId="246" fillId="64" borderId="0" applyNumberFormat="0" applyBorder="0" applyAlignment="0" applyProtection="0"/>
    <xf numFmtId="0" fontId="246" fillId="67" borderId="0" applyNumberFormat="0" applyBorder="0" applyAlignment="0" applyProtection="0"/>
    <xf numFmtId="0" fontId="247" fillId="72" borderId="0" applyNumberFormat="0" applyBorder="0" applyAlignment="0" applyProtection="0"/>
    <xf numFmtId="0" fontId="250" fillId="79" borderId="179" applyNumberFormat="0" applyAlignment="0" applyProtection="0"/>
    <xf numFmtId="44" fontId="181" fillId="0" borderId="0" applyFont="0" applyFill="0" applyBorder="0" applyAlignment="0" applyProtection="0"/>
    <xf numFmtId="0" fontId="178" fillId="0" borderId="0" applyProtection="0"/>
    <xf numFmtId="0" fontId="251" fillId="0" borderId="0" applyNumberFormat="0" applyFill="0" applyBorder="0" applyAlignment="0" applyProtection="0"/>
    <xf numFmtId="0" fontId="213" fillId="65" borderId="422" applyNumberFormat="0" applyAlignment="0" applyProtection="0"/>
    <xf numFmtId="4" fontId="178" fillId="0" borderId="0"/>
    <xf numFmtId="9" fontId="181" fillId="0" borderId="0" applyFont="0" applyFill="0" applyBorder="0" applyAlignment="0" applyProtection="0"/>
    <xf numFmtId="0" fontId="255" fillId="0" borderId="0" applyNumberForma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13" fillId="80" borderId="413" applyNumberFormat="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203" fillId="0" borderId="0"/>
    <xf numFmtId="3" fontId="181"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194" fontId="8" fillId="0" borderId="0">
      <alignment horizontal="center"/>
    </xf>
    <xf numFmtId="182" fontId="225" fillId="0" borderId="0" applyFill="0" applyBorder="0" applyProtection="0"/>
    <xf numFmtId="182" fontId="225" fillId="0" borderId="175" applyFill="0" applyProtection="0"/>
    <xf numFmtId="44" fontId="8" fillId="0" borderId="0" applyFont="0" applyFill="0" applyBorder="0" applyAlignment="0" applyProtection="0"/>
    <xf numFmtId="0" fontId="213" fillId="65" borderId="323" applyNumberFormat="0" applyAlignment="0" applyProtection="0"/>
    <xf numFmtId="200" fontId="225" fillId="0" borderId="0" applyFill="0" applyBorder="0" applyProtection="0"/>
    <xf numFmtId="200" fontId="225" fillId="0" borderId="175" applyFill="0" applyProtection="0"/>
    <xf numFmtId="0" fontId="226" fillId="0" borderId="0">
      <protection locked="0"/>
    </xf>
    <xf numFmtId="0" fontId="227" fillId="0" borderId="0">
      <protection locked="0"/>
    </xf>
    <xf numFmtId="0" fontId="227" fillId="0" borderId="0">
      <protection locked="0"/>
    </xf>
    <xf numFmtId="201" fontId="8" fillId="0" borderId="0" applyFont="0" applyFill="0" applyBorder="0" applyAlignment="0" applyProtection="0"/>
    <xf numFmtId="0" fontId="178" fillId="0" borderId="0" applyProtection="0"/>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13" fillId="65" borderId="548" applyNumberFormat="0" applyAlignment="0" applyProtection="0"/>
    <xf numFmtId="204" fontId="232" fillId="0" borderId="0"/>
    <xf numFmtId="9" fontId="8" fillId="0" borderId="0" applyFont="0" applyFill="0" applyBorder="0" applyAlignment="0" applyProtection="0"/>
    <xf numFmtId="206" fontId="8" fillId="0" borderId="0" applyFont="0" applyFill="0" applyBorder="0" applyAlignment="0" applyProtection="0"/>
    <xf numFmtId="10" fontId="8" fillId="0" borderId="0" applyFont="0" applyFill="0" applyBorder="0" applyAlignment="0" applyProtection="0"/>
    <xf numFmtId="38" fontId="8" fillId="0" borderId="0"/>
    <xf numFmtId="0" fontId="213" fillId="65" borderId="512" applyNumberFormat="0" applyAlignment="0" applyProtection="0"/>
    <xf numFmtId="43" fontId="8" fillId="0" borderId="0" applyFont="0" applyFill="0" applyBorder="0" applyAlignment="0" applyProtection="0"/>
    <xf numFmtId="3" fontId="181" fillId="0" borderId="0" applyFont="0" applyFill="0" applyBorder="0" applyAlignment="0" applyProtection="0"/>
    <xf numFmtId="0" fontId="213" fillId="80" borderId="503" applyNumberFormat="0" applyAlignment="0" applyProtection="0"/>
    <xf numFmtId="44" fontId="2" fillId="0" borderId="0" applyFont="0" applyFill="0" applyBorder="0" applyAlignment="0" applyProtection="0"/>
    <xf numFmtId="44" fontId="8" fillId="0" borderId="0" applyFont="0" applyFill="0" applyBorder="0" applyAlignment="0" applyProtection="0"/>
    <xf numFmtId="0" fontId="203" fillId="81" borderId="414" applyNumberFormat="0" applyFont="0" applyAlignment="0" applyProtection="0"/>
    <xf numFmtId="0" fontId="254" fillId="80" borderId="458" applyNumberFormat="0" applyAlignment="0" applyProtection="0"/>
    <xf numFmtId="0" fontId="203" fillId="81" borderId="522" applyNumberFormat="0" applyFont="0" applyAlignment="0" applyProtection="0"/>
    <xf numFmtId="0" fontId="213" fillId="65" borderId="296" applyNumberFormat="0" applyAlignment="0" applyProtection="0"/>
    <xf numFmtId="0" fontId="216" fillId="59" borderId="325" applyNumberFormat="0" applyAlignment="0" applyProtection="0"/>
    <xf numFmtId="0" fontId="254" fillId="80" borderId="242" applyNumberFormat="0" applyAlignment="0" applyProtection="0"/>
    <xf numFmtId="9" fontId="8" fillId="0" borderId="0" applyFont="0" applyFill="0" applyBorder="0" applyAlignment="0" applyProtection="0"/>
    <xf numFmtId="0" fontId="155" fillId="0" borderId="0"/>
    <xf numFmtId="43" fontId="155" fillId="0" borderId="0" applyFont="0" applyFill="0" applyBorder="0" applyAlignment="0" applyProtection="0"/>
    <xf numFmtId="9" fontId="155" fillId="0" borderId="0" applyFont="0" applyFill="0" applyBorder="0" applyAlignment="0" applyProtection="0"/>
    <xf numFmtId="3" fontId="181" fillId="0" borderId="0" applyFont="0" applyFill="0" applyBorder="0" applyAlignment="0" applyProtection="0"/>
    <xf numFmtId="43" fontId="8" fillId="0" borderId="0" applyFont="0" applyFill="0" applyBorder="0" applyAlignment="0" applyProtection="0"/>
    <xf numFmtId="0" fontId="174" fillId="0" borderId="526" applyNumberFormat="0" applyFill="0" applyAlignment="0" applyProtection="0"/>
    <xf numFmtId="3" fontId="181" fillId="0" borderId="0" applyFont="0" applyFill="0" applyBorder="0" applyAlignment="0" applyProtection="0"/>
    <xf numFmtId="0" fontId="176" fillId="81" borderId="549" applyNumberFormat="0" applyFont="0" applyAlignment="0" applyProtection="0"/>
    <xf numFmtId="44" fontId="8" fillId="0" borderId="0" applyFont="0" applyFill="0" applyBorder="0" applyAlignment="0" applyProtection="0"/>
    <xf numFmtId="3" fontId="181" fillId="0" borderId="0" applyFont="0" applyFill="0" applyBorder="0" applyAlignment="0" applyProtection="0"/>
    <xf numFmtId="0" fontId="203" fillId="81" borderId="504" applyNumberFormat="0" applyFont="0" applyAlignment="0" applyProtection="0"/>
    <xf numFmtId="0" fontId="203" fillId="81" borderId="504" applyNumberFormat="0" applyFont="0" applyAlignment="0" applyProtection="0"/>
    <xf numFmtId="0" fontId="213" fillId="65" borderId="278" applyNumberFormat="0" applyAlignment="0" applyProtection="0"/>
    <xf numFmtId="0" fontId="203" fillId="81" borderId="297" applyNumberFormat="0" applyFont="0" applyAlignment="0" applyProtection="0"/>
    <xf numFmtId="0" fontId="213" fillId="65" borderId="323" applyNumberFormat="0" applyAlignment="0" applyProtection="0"/>
    <xf numFmtId="3" fontId="181" fillId="0" borderId="0" applyFont="0" applyFill="0" applyBorder="0" applyAlignment="0" applyProtection="0"/>
    <xf numFmtId="0" fontId="8" fillId="0" borderId="0"/>
    <xf numFmtId="9" fontId="8" fillId="0" borderId="0" applyFont="0" applyFill="0" applyBorder="0" applyAlignment="0" applyProtection="0"/>
    <xf numFmtId="0" fontId="213" fillId="65" borderId="458" applyNumberFormat="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0" fontId="8" fillId="0" borderId="0"/>
    <xf numFmtId="43" fontId="2" fillId="0" borderId="0" applyFont="0" applyFill="0" applyBorder="0" applyAlignment="0" applyProtection="0"/>
    <xf numFmtId="9"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44"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0" fontId="238" fillId="59" borderId="458" applyNumberFormat="0" applyAlignment="0" applyProtection="0"/>
    <xf numFmtId="0" fontId="238" fillId="59" borderId="242" applyNumberFormat="0" applyAlignment="0" applyProtection="0"/>
    <xf numFmtId="0" fontId="258" fillId="0" borderId="0"/>
    <xf numFmtId="0" fontId="258" fillId="0" borderId="0"/>
    <xf numFmtId="37" fontId="179" fillId="0" borderId="0"/>
    <xf numFmtId="43" fontId="203" fillId="0" borderId="0" applyFont="0" applyFill="0" applyBorder="0" applyAlignment="0" applyProtection="0"/>
    <xf numFmtId="0" fontId="213" fillId="65" borderId="476" applyNumberFormat="0" applyAlignment="0" applyProtection="0"/>
    <xf numFmtId="0" fontId="258" fillId="0" borderId="0"/>
    <xf numFmtId="0" fontId="258" fillId="0" borderId="0"/>
    <xf numFmtId="0" fontId="213" fillId="65" borderId="566" applyNumberFormat="0" applyAlignment="0" applyProtection="0"/>
    <xf numFmtId="0" fontId="203" fillId="0" borderId="0"/>
    <xf numFmtId="0" fontId="258" fillId="0" borderId="0"/>
    <xf numFmtId="0" fontId="203" fillId="0" borderId="0"/>
    <xf numFmtId="44" fontId="203" fillId="0" borderId="0" applyFont="0" applyFill="0" applyBorder="0" applyAlignment="0" applyProtection="0"/>
    <xf numFmtId="44"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9"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200" fontId="225" fillId="0" borderId="430" applyFill="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3" fillId="65" borderId="4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43" fillId="0" borderId="0"/>
    <xf numFmtId="9" fontId="43" fillId="0" borderId="0" applyFont="0" applyFill="0" applyBorder="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8" fillId="0" borderId="0" applyFont="0" applyFill="0" applyBorder="0" applyAlignment="0" applyProtection="0"/>
    <xf numFmtId="0" fontId="2" fillId="0" borderId="0"/>
    <xf numFmtId="43" fontId="2" fillId="0" borderId="0" applyFont="0" applyFill="0" applyBorder="0" applyAlignment="0" applyProtection="0"/>
    <xf numFmtId="44"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0" fontId="11" fillId="0" borderId="78" applyFill="0" applyAlignment="0" applyProtection="0">
      <protection locked="0"/>
    </xf>
    <xf numFmtId="0" fontId="18" fillId="0" borderId="78" applyFill="0" applyAlignment="0" applyProtection="0">
      <protection locked="0"/>
    </xf>
    <xf numFmtId="243" fontId="155" fillId="0" borderId="78" applyFill="0" applyAlignment="0" applyProtection="0">
      <alignment horizontal="center"/>
    </xf>
    <xf numFmtId="0" fontId="155" fillId="0" borderId="78" applyNumberForma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0" fontId="98"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1"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43" fontId="8" fillId="0" borderId="0" applyFont="0" applyFill="0" applyBorder="0" applyAlignment="0" applyProtection="0"/>
    <xf numFmtId="0" fontId="1"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8" fillId="0" borderId="0" applyFont="0" applyFill="0" applyBorder="0" applyAlignment="0" applyProtection="0"/>
    <xf numFmtId="0" fontId="20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4" fontId="98" fillId="0" borderId="0" applyFont="0" applyFill="0" applyBorder="0" applyAlignment="0" applyProtection="0"/>
    <xf numFmtId="43" fontId="98" fillId="0" borderId="0" applyFont="0" applyFill="0" applyBorder="0" applyAlignment="0" applyProtection="0"/>
    <xf numFmtId="0" fontId="203" fillId="0" borderId="0"/>
    <xf numFmtId="222" fontId="43" fillId="0" borderId="0" applyFont="0" applyFill="0" applyBorder="0" applyAlignment="0" applyProtection="0"/>
    <xf numFmtId="222" fontId="43" fillId="0" borderId="0" applyFont="0" applyFill="0" applyBorder="0" applyAlignment="0" applyProtection="0"/>
    <xf numFmtId="43" fontId="98"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8" fillId="0" borderId="0" applyFont="0" applyFill="0" applyBorder="0" applyAlignment="0" applyProtection="0"/>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0" borderId="176" applyFill="0">
      <alignment horizontal="center" vertical="center" wrapText="1"/>
    </xf>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3" fontId="181" fillId="0" borderId="0" applyFont="0" applyFill="0" applyBorder="0" applyAlignment="0" applyProtection="0"/>
    <xf numFmtId="3" fontId="18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43" fontId="155" fillId="0" borderId="176" applyNumberFormat="0" applyFill="0" applyAlignment="0" applyProtection="0">
      <alignment horizontal="center"/>
    </xf>
    <xf numFmtId="0" fontId="244" fillId="0" borderId="176" applyNumberFormat="0" applyFill="0" applyAlignment="0" applyProtection="0"/>
    <xf numFmtId="0" fontId="203" fillId="0" borderId="0"/>
    <xf numFmtId="0" fontId="203" fillId="0" borderId="0"/>
    <xf numFmtId="218" fontId="43" fillId="0" borderId="0" applyFont="0" applyFill="0" applyBorder="0" applyAlignment="0" applyProtection="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76" fillId="66" borderId="0" applyNumberFormat="0" applyBorder="0" applyAlignment="0" applyProtection="0"/>
    <xf numFmtId="0" fontId="176" fillId="67" borderId="0" applyNumberFormat="0" applyBorder="0" applyAlignment="0" applyProtection="0"/>
    <xf numFmtId="0" fontId="176" fillId="81" borderId="0" applyNumberFormat="0" applyBorder="0" applyAlignment="0" applyProtection="0"/>
    <xf numFmtId="0" fontId="176" fillId="65" borderId="0" applyNumberFormat="0" applyBorder="0" applyAlignment="0" applyProtection="0"/>
    <xf numFmtId="0" fontId="246" fillId="64"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176" fillId="64" borderId="0" applyNumberFormat="0" applyBorder="0" applyAlignment="0" applyProtection="0"/>
    <xf numFmtId="0" fontId="246" fillId="67" borderId="0" applyNumberFormat="0" applyBorder="0" applyAlignment="0" applyProtection="0"/>
    <xf numFmtId="0" fontId="176" fillId="67" borderId="0" applyNumberFormat="0" applyBorder="0" applyAlignment="0" applyProtection="0"/>
    <xf numFmtId="0" fontId="176" fillId="80" borderId="0" applyNumberFormat="0" applyBorder="0" applyAlignment="0" applyProtection="0"/>
    <xf numFmtId="0" fontId="176" fillId="61" borderId="0" applyNumberFormat="0" applyBorder="0" applyAlignment="0" applyProtection="0"/>
    <xf numFmtId="0" fontId="176" fillId="64" borderId="0" applyNumberFormat="0" applyBorder="0" applyAlignment="0" applyProtection="0"/>
    <xf numFmtId="0" fontId="176" fillId="81" borderId="0" applyNumberFormat="0" applyBorder="0" applyAlignment="0" applyProtection="0"/>
    <xf numFmtId="0" fontId="204" fillId="64"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61" borderId="0" applyNumberFormat="0" applyBorder="0" applyAlignment="0" applyProtection="0"/>
    <xf numFmtId="0" fontId="204" fillId="64" borderId="0" applyNumberFormat="0" applyBorder="0" applyAlignment="0" applyProtection="0"/>
    <xf numFmtId="0" fontId="204" fillId="67" borderId="0" applyNumberFormat="0" applyBorder="0" applyAlignment="0" applyProtection="0"/>
    <xf numFmtId="0" fontId="204" fillId="85" borderId="0" applyNumberFormat="0" applyBorder="0" applyAlignment="0" applyProtection="0"/>
    <xf numFmtId="0" fontId="204" fillId="77" borderId="0" applyNumberFormat="0" applyBorder="0" applyAlignment="0" applyProtection="0"/>
    <xf numFmtId="0" fontId="204" fillId="69" borderId="0" applyNumberFormat="0" applyBorder="0" applyAlignment="0" applyProtection="0"/>
    <xf numFmtId="0" fontId="204" fillId="86" borderId="0" applyNumberFormat="0" applyBorder="0" applyAlignment="0" applyProtection="0"/>
    <xf numFmtId="0" fontId="247" fillId="72" borderId="0" applyNumberFormat="0" applyBorder="0" applyAlignment="0" applyProtection="0"/>
    <xf numFmtId="0" fontId="204" fillId="72" borderId="0" applyNumberFormat="0" applyBorder="0" applyAlignment="0" applyProtection="0"/>
    <xf numFmtId="0" fontId="204" fillId="75" borderId="0" applyNumberFormat="0" applyBorder="0" applyAlignment="0" applyProtection="0"/>
    <xf numFmtId="0" fontId="205" fillId="63" borderId="0" applyNumberFormat="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0" fontId="238" fillId="59" borderId="197" applyNumberFormat="0" applyAlignment="0" applyProtection="0"/>
    <xf numFmtId="0" fontId="11" fillId="0" borderId="0" applyFill="0" applyBorder="0" applyProtection="0">
      <alignment horizontal="center"/>
      <protection locked="0"/>
    </xf>
    <xf numFmtId="0" fontId="250" fillId="79" borderId="179" applyNumberFormat="0" applyAlignment="0" applyProtection="0"/>
    <xf numFmtId="0" fontId="207" fillId="79" borderId="179" applyNumberFormat="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155"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181"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0" fontId="219"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6"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11" fillId="9" borderId="177" applyFill="0" applyBorder="0">
      <alignment horizontal="center"/>
    </xf>
    <xf numFmtId="0" fontId="178" fillId="0" borderId="0" applyProtection="0"/>
    <xf numFmtId="0" fontId="251" fillId="0" borderId="0" applyNumberFormat="0" applyFill="0" applyBorder="0" applyAlignment="0" applyProtection="0"/>
    <xf numFmtId="0" fontId="208" fillId="0" borderId="0" applyNumberFormat="0" applyFill="0" applyBorder="0" applyAlignment="0" applyProtection="0"/>
    <xf numFmtId="2" fontId="178" fillId="0" borderId="0" applyProtection="0"/>
    <xf numFmtId="0" fontId="209" fillId="64" borderId="0" applyNumberFormat="0" applyBorder="0" applyAlignment="0" applyProtection="0"/>
    <xf numFmtId="38" fontId="9" fillId="9" borderId="0" applyNumberFormat="0" applyBorder="0" applyAlignment="0" applyProtection="0"/>
    <xf numFmtId="0" fontId="239" fillId="0" borderId="187" applyNumberFormat="0" applyFill="0" applyAlignment="0" applyProtection="0"/>
    <xf numFmtId="0" fontId="235" fillId="0" borderId="0" applyNumberFormat="0" applyFill="0" applyBorder="0" applyAlignment="0" applyProtection="0"/>
    <xf numFmtId="0" fontId="240" fillId="0" borderId="188" applyNumberFormat="0" applyFill="0" applyAlignment="0" applyProtection="0"/>
    <xf numFmtId="0" fontId="182" fillId="0" borderId="0" applyNumberFormat="0" applyFill="0" applyBorder="0" applyAlignment="0" applyProtection="0"/>
    <xf numFmtId="0" fontId="241" fillId="0" borderId="189" applyNumberFormat="0" applyFill="0" applyAlignment="0" applyProtection="0"/>
    <xf numFmtId="0" fontId="241" fillId="0" borderId="0" applyNumberFormat="0" applyFill="0" applyBorder="0" applyAlignment="0" applyProtection="0"/>
    <xf numFmtId="14" fontId="11" fillId="0" borderId="194" applyFill="0">
      <alignment horizontal="center" vertical="center" wrapText="1"/>
    </xf>
    <xf numFmtId="14" fontId="11" fillId="82" borderId="194">
      <alignment horizontal="center" vertical="center" wrapText="1"/>
    </xf>
    <xf numFmtId="14" fontId="11" fillId="82" borderId="194">
      <alignment horizontal="center" vertical="center" wrapText="1"/>
    </xf>
    <xf numFmtId="14" fontId="11" fillId="0" borderId="194" applyFill="0">
      <alignment horizontal="center" vertical="center" wrapText="1"/>
    </xf>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80" borderId="197" applyNumberFormat="0" applyAlignment="0" applyProtection="0"/>
    <xf numFmtId="0" fontId="213" fillId="65" borderId="197" applyNumberFormat="0" applyAlignment="0" applyProtection="0"/>
    <xf numFmtId="0" fontId="213" fillId="80" borderId="197" applyNumberFormat="0" applyAlignment="0" applyProtection="0"/>
    <xf numFmtId="0" fontId="172" fillId="0" borderId="190" applyNumberFormat="0" applyFill="0" applyAlignment="0" applyProtection="0"/>
    <xf numFmtId="0" fontId="242" fillId="8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8" fillId="0" borderId="0"/>
    <xf numFmtId="0" fontId="8" fillId="0" borderId="0"/>
    <xf numFmtId="0" fontId="8" fillId="0" borderId="0"/>
    <xf numFmtId="0" fontId="203" fillId="0" borderId="0"/>
    <xf numFmtId="0" fontId="8"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9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43"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43"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43"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37" fontId="17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81" borderId="198" applyNumberFormat="0" applyFont="0" applyAlignment="0" applyProtection="0"/>
    <xf numFmtId="0" fontId="176"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176" fillId="81" borderId="198" applyNumberFormat="0" applyFont="0" applyAlignment="0" applyProtection="0"/>
    <xf numFmtId="0" fontId="216" fillId="59" borderId="199" applyNumberFormat="0" applyAlignment="0" applyProtection="0"/>
    <xf numFmtId="232" fontId="183" fillId="0" borderId="0" applyFont="0" applyFill="0" applyBorder="0" applyAlignment="0" applyProtection="0"/>
    <xf numFmtId="232" fontId="183" fillId="0" borderId="0" applyFont="0" applyFill="0" applyBorder="0" applyAlignment="0" applyProtection="0"/>
    <xf numFmtId="175" fontId="225"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181"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243" fillId="0" borderId="0" applyNumberFormat="0" applyFill="0" applyBorder="0" applyAlignment="0" applyProtection="0"/>
    <xf numFmtId="0" fontId="174" fillId="0" borderId="200" applyNumberFormat="0" applyFill="0" applyAlignment="0" applyProtection="0"/>
    <xf numFmtId="0" fontId="255" fillId="0" borderId="0" applyNumberFormat="0" applyFill="0" applyBorder="0" applyAlignment="0" applyProtection="0"/>
    <xf numFmtId="0" fontId="172" fillId="0" borderId="0" applyNumberForma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97" applyNumberFormat="0" applyAlignment="0" applyProtection="0"/>
    <xf numFmtId="0" fontId="206" fillId="78" borderId="197" applyNumberFormat="0" applyAlignment="0" applyProtection="0"/>
    <xf numFmtId="43" fontId="2"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182" fontId="225" fillId="0" borderId="196" applyFill="0" applyProtection="0"/>
    <xf numFmtId="182" fontId="225" fillId="0" borderId="196" applyFill="0" applyProtection="0"/>
    <xf numFmtId="182" fontId="225" fillId="0" borderId="196" applyFill="0" applyProtection="0"/>
    <xf numFmtId="200" fontId="225" fillId="0" borderId="196" applyFill="0" applyProtection="0"/>
    <xf numFmtId="200" fontId="225" fillId="0" borderId="196" applyFill="0" applyProtection="0"/>
    <xf numFmtId="200" fontId="225" fillId="0" borderId="196" applyFill="0" applyProtection="0"/>
    <xf numFmtId="0" fontId="203"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09" fillId="62" borderId="0" applyNumberFormat="0" applyBorder="0" applyAlignment="0" applyProtection="0"/>
    <xf numFmtId="0" fontId="153" fillId="0" borderId="195">
      <alignment horizontal="left" vertical="center"/>
    </xf>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29" fillId="83" borderId="201" applyAlignment="0">
      <alignment horizontal="center"/>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4" fillId="0" borderId="183" applyNumberFormat="0" applyFill="0" applyAlignment="0" applyProtection="0"/>
    <xf numFmtId="0" fontId="215" fillId="80" borderId="0" applyNumberFormat="0" applyBorder="0" applyAlignment="0" applyProtection="0"/>
    <xf numFmtId="0" fontId="203" fillId="0" borderId="0"/>
    <xf numFmtId="0" fontId="229" fillId="83" borderId="201" applyAlignment="0">
      <alignment horizontal="center"/>
    </xf>
    <xf numFmtId="0" fontId="2" fillId="0" borderId="0"/>
    <xf numFmtId="0" fontId="203" fillId="0" borderId="0"/>
    <xf numFmtId="0" fontId="203" fillId="0" borderId="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16" fillId="78" borderId="184" applyNumberFormat="0" applyAlignment="0" applyProtection="0"/>
    <xf numFmtId="3" fontId="18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3" fillId="0" borderId="0" applyFont="0" applyFill="0" applyBorder="0" applyAlignment="0" applyProtection="0"/>
    <xf numFmtId="0" fontId="217" fillId="0" borderId="0" applyNumberFormat="0" applyFill="0" applyBorder="0" applyAlignment="0" applyProtection="0"/>
    <xf numFmtId="0" fontId="174" fillId="0" borderId="185" applyNumberFormat="0" applyFill="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0" borderId="0"/>
    <xf numFmtId="218"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14" fontId="11" fillId="82" borderId="176">
      <alignment horizontal="center" vertical="center" wrapText="1"/>
    </xf>
    <xf numFmtId="9" fontId="203" fillId="0" borderId="0" applyFont="0" applyFill="0" applyBorder="0" applyAlignment="0" applyProtection="0"/>
    <xf numFmtId="0" fontId="229" fillId="83" borderId="201" applyAlignment="0">
      <alignment horizontal="center"/>
    </xf>
    <xf numFmtId="0" fontId="203" fillId="0" borderId="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8" fillId="0" borderId="0"/>
    <xf numFmtId="43" fontId="8" fillId="0" borderId="0" applyFont="0" applyFill="0" applyBorder="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0" fontId="213" fillId="65" borderId="1" applyNumberFormat="0" applyAlignment="0" applyProtection="0"/>
    <xf numFmtId="9" fontId="8"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43" fontId="203" fillId="0" borderId="0" applyFont="0" applyFill="0" applyBorder="0" applyAlignment="0" applyProtection="0"/>
    <xf numFmtId="44" fontId="203" fillId="0" borderId="0" applyFont="0" applyFill="0" applyBorder="0" applyAlignment="0" applyProtection="0"/>
    <xf numFmtId="14" fontId="11" fillId="0" borderId="176" applyFill="0">
      <alignment horizontal="center" vertical="center" wrapText="1"/>
    </xf>
    <xf numFmtId="0" fontId="11" fillId="0" borderId="78" applyFill="0" applyAlignment="0" applyProtection="0">
      <protection locked="0"/>
    </xf>
    <xf numFmtId="175" fontId="225"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9" fontId="181"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8" fillId="0" borderId="0"/>
    <xf numFmtId="0" fontId="8" fillId="0" borderId="0"/>
    <xf numFmtId="0" fontId="8" fillId="0" borderId="0"/>
    <xf numFmtId="0" fontId="8" fillId="0" borderId="0"/>
    <xf numFmtId="0" fontId="203" fillId="0" borderId="0"/>
    <xf numFmtId="0" fontId="203" fillId="0" borderId="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81" borderId="2" applyNumberFormat="0" applyFont="0" applyAlignment="0" applyProtection="0"/>
    <xf numFmtId="0" fontId="203" fillId="0" borderId="0"/>
    <xf numFmtId="0" fontId="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81" borderId="2" applyNumberFormat="0" applyFont="0" applyAlignment="0" applyProtection="0"/>
    <xf numFmtId="0" fontId="8" fillId="0" borderId="0"/>
    <xf numFmtId="0" fontId="8" fillId="0" borderId="0"/>
    <xf numFmtId="43" fontId="2" fillId="0" borderId="0" applyFont="0" applyFill="0" applyBorder="0" applyAlignment="0" applyProtection="0"/>
    <xf numFmtId="0" fontId="203" fillId="81" borderId="2" applyNumberFormat="0" applyFont="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81" borderId="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3" fillId="0" borderId="0"/>
    <xf numFmtId="0" fontId="203"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81" borderId="2" applyNumberFormat="0" applyFont="0" applyAlignment="0" applyProtection="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0" borderId="0"/>
    <xf numFmtId="0" fontId="203" fillId="0" borderId="0"/>
    <xf numFmtId="0" fontId="203" fillId="0" borderId="0"/>
    <xf numFmtId="0" fontId="20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218" fontId="43" fillId="0" borderId="0" applyFont="0" applyFill="0" applyBorder="0" applyAlignment="0" applyProtection="0"/>
    <xf numFmtId="0" fontId="8" fillId="0" borderId="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218" fontId="4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222"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222" fontId="43" fillId="0" borderId="0" applyFont="0" applyFill="0" applyBorder="0" applyAlignment="0" applyProtection="0"/>
    <xf numFmtId="43" fontId="8" fillId="0" borderId="0" applyFont="0" applyFill="0" applyBorder="0" applyAlignment="0" applyProtection="0"/>
    <xf numFmtId="0" fontId="8" fillId="0" borderId="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218" fontId="43" fillId="0" borderId="0" applyFont="0" applyFill="0" applyBorder="0" applyAlignment="0" applyProtection="0"/>
    <xf numFmtId="0" fontId="8" fillId="0" borderId="0"/>
    <xf numFmtId="43" fontId="8"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2" fontId="43"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222"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06" fillId="78" borderId="1" applyNumberFormat="0" applyAlignment="0" applyProtection="0"/>
    <xf numFmtId="43"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218" fontId="43" fillId="0" borderId="0" applyFont="0" applyFill="0" applyBorder="0" applyAlignment="0" applyProtection="0"/>
    <xf numFmtId="0" fontId="203" fillId="0" borderId="0"/>
    <xf numFmtId="0" fontId="176"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9" fontId="1" fillId="0" borderId="0" applyFont="0" applyFill="0" applyBorder="0" applyAlignment="0" applyProtection="0"/>
    <xf numFmtId="0" fontId="238" fillId="59" borderId="1" applyNumberFormat="0" applyAlignment="0" applyProtection="0"/>
    <xf numFmtId="0" fontId="213" fillId="80" borderId="1" applyNumberFormat="0" applyAlignment="0" applyProtection="0"/>
    <xf numFmtId="0" fontId="8" fillId="81" borderId="2" applyNumberFormat="0" applyFont="0" applyAlignment="0" applyProtection="0"/>
    <xf numFmtId="0" fontId="216" fillId="59" borderId="184" applyNumberFormat="0" applyAlignment="0" applyProtection="0"/>
    <xf numFmtId="0" fontId="174" fillId="0" borderId="191" applyNumberFormat="0" applyFill="0" applyAlignment="0" applyProtection="0"/>
    <xf numFmtId="0" fontId="213" fillId="80" borderId="1"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3" fontId="1" fillId="0" borderId="0" applyFont="0" applyFill="0" applyBorder="0" applyAlignment="0" applyProtection="0"/>
    <xf numFmtId="0" fontId="203" fillId="0" borderId="0"/>
    <xf numFmtId="43" fontId="1" fillId="0" borderId="0" applyFont="0" applyFill="0" applyBorder="0" applyAlignment="0" applyProtection="0"/>
    <xf numFmtId="0" fontId="203"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0" fontId="229" fillId="83" borderId="201" applyAlignment="0">
      <alignment horizontal="center"/>
    </xf>
    <xf numFmtId="43" fontId="203" fillId="0" borderId="0" applyFont="0" applyFill="0" applyBorder="0" applyAlignment="0" applyProtection="0"/>
    <xf numFmtId="0" fontId="176" fillId="81" borderId="2"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2" fillId="0" borderId="0" applyFont="0" applyFill="0" applyBorder="0" applyAlignment="0" applyProtection="0"/>
    <xf numFmtId="44" fontId="98" fillId="0" borderId="0" applyFont="0" applyFill="0" applyBorder="0" applyAlignment="0" applyProtection="0"/>
    <xf numFmtId="43" fontId="9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0" fontId="213" fillId="65" borderId="197" applyNumberFormat="0" applyAlignment="0" applyProtection="0"/>
    <xf numFmtId="0" fontId="216" fillId="78" borderId="199" applyNumberFormat="0" applyAlignment="0" applyProtection="0"/>
    <xf numFmtId="9" fontId="203" fillId="0" borderId="0" applyFont="0" applyFill="0" applyBorder="0" applyAlignment="0" applyProtection="0"/>
    <xf numFmtId="0" fontId="174" fillId="0" borderId="202" applyNumberFormat="0" applyFill="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16" fillId="78" borderId="199" applyNumberFormat="0" applyAlignment="0" applyProtection="0"/>
    <xf numFmtId="0" fontId="174" fillId="0" borderId="20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0" borderId="0"/>
    <xf numFmtId="182" fontId="225" fillId="0" borderId="196" applyFill="0" applyProtection="0"/>
    <xf numFmtId="200" fontId="225" fillId="0" borderId="196" applyFill="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218" fontId="43"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222" fontId="43" fillId="0" borderId="0" applyFont="0" applyFill="0" applyBorder="0" applyAlignment="0" applyProtection="0"/>
    <xf numFmtId="3" fontId="181" fillId="0" borderId="0" applyFont="0" applyFill="0" applyBorder="0" applyAlignment="0" applyProtection="0"/>
    <xf numFmtId="0" fontId="203" fillId="81" borderId="198" applyNumberFormat="0" applyFont="0" applyAlignment="0" applyProtection="0"/>
    <xf numFmtId="218" fontId="4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222" fontId="43" fillId="0" borderId="0" applyFont="0" applyFill="0" applyBorder="0" applyAlignment="0" applyProtection="0"/>
    <xf numFmtId="0" fontId="213" fillId="65" borderId="19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8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43"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6" fillId="78" borderId="199" applyNumberFormat="0" applyAlignment="0" applyProtection="0"/>
    <xf numFmtId="0" fontId="2" fillId="0" borderId="0"/>
    <xf numFmtId="0" fontId="2" fillId="0" borderId="0"/>
    <xf numFmtId="0" fontId="174" fillId="0" borderId="20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2" fontId="43" fillId="0" borderId="0" applyFont="0" applyFill="0" applyBorder="0" applyAlignment="0" applyProtection="0"/>
    <xf numFmtId="0" fontId="249" fillId="59" borderId="197" applyNumberFormat="0" applyAlignment="0" applyProtection="0"/>
    <xf numFmtId="0" fontId="254" fillId="80" borderId="197" applyNumberFormat="0" applyAlignment="0" applyProtection="0"/>
    <xf numFmtId="0" fontId="257" fillId="59" borderId="199" applyNumberFormat="0" applyAlignment="0" applyProtection="0"/>
    <xf numFmtId="0" fontId="244" fillId="0" borderId="196" applyNumberFormat="0" applyFont="0" applyFill="0" applyAlignment="0" applyProtection="0"/>
    <xf numFmtId="0" fontId="178" fillId="0" borderId="203"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176" fillId="81" borderId="198" applyNumberFormat="0" applyFont="0" applyAlignment="0" applyProtection="0"/>
    <xf numFmtId="0" fontId="8" fillId="81" borderId="198" applyNumberFormat="0" applyFont="0" applyAlignment="0" applyProtection="0"/>
    <xf numFmtId="222" fontId="4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25" fillId="0" borderId="196" applyFill="0" applyProtection="0"/>
    <xf numFmtId="200" fontId="225" fillId="0" borderId="196" applyFill="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13" fillId="65" borderId="197" applyNumberForma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182" fontId="225" fillId="0" borderId="196" applyFill="0" applyProtection="0"/>
    <xf numFmtId="200" fontId="225" fillId="0" borderId="196" applyFill="0" applyProtection="0"/>
    <xf numFmtId="0" fontId="153" fillId="0" borderId="195">
      <alignment horizontal="left" vertical="center"/>
    </xf>
    <xf numFmtId="0" fontId="203" fillId="81" borderId="198" applyNumberFormat="0" applyFont="0" applyAlignment="0" applyProtection="0"/>
    <xf numFmtId="0" fontId="153" fillId="0" borderId="195">
      <alignment horizontal="left" vertical="center"/>
    </xf>
    <xf numFmtId="0" fontId="213" fillId="80" borderId="197" applyNumberFormat="0" applyAlignment="0" applyProtection="0"/>
    <xf numFmtId="0" fontId="8" fillId="81" borderId="198" applyNumberFormat="0" applyFont="0" applyAlignment="0" applyProtection="0"/>
    <xf numFmtId="9" fontId="203" fillId="0" borderId="0" applyFont="0" applyFill="0" applyBorder="0" applyAlignment="0" applyProtection="0"/>
    <xf numFmtId="44" fontId="2" fillId="0" borderId="0" applyFont="0" applyFill="0" applyBorder="0" applyAlignment="0" applyProtection="0"/>
    <xf numFmtId="182" fontId="225" fillId="0" borderId="196" applyFill="0" applyProtection="0"/>
    <xf numFmtId="200" fontId="225" fillId="0" borderId="196" applyFill="0" applyProtection="0"/>
    <xf numFmtId="182" fontId="225" fillId="0" borderId="196" applyFill="0" applyProtection="0"/>
    <xf numFmtId="44" fontId="2" fillId="0" borderId="0" applyFont="0" applyFill="0" applyBorder="0" applyAlignment="0" applyProtection="0"/>
    <xf numFmtId="200" fontId="225" fillId="0" borderId="196" applyFill="0" applyProtection="0"/>
    <xf numFmtId="0" fontId="153" fillId="0" borderId="195">
      <alignment horizontal="left" vertical="center"/>
    </xf>
    <xf numFmtId="0" fontId="203" fillId="81" borderId="2" applyNumberFormat="0" applyFont="0" applyAlignment="0" applyProtection="0"/>
    <xf numFmtId="182" fontId="225" fillId="0" borderId="196" applyFill="0" applyProtection="0"/>
    <xf numFmtId="200" fontId="225" fillId="0" borderId="196" applyFill="0" applyProtection="0"/>
    <xf numFmtId="43" fontId="2" fillId="0" borderId="0" applyFont="0" applyFill="0" applyBorder="0" applyAlignment="0" applyProtection="0"/>
    <xf numFmtId="0" fontId="2" fillId="0" borderId="0"/>
    <xf numFmtId="0" fontId="2" fillId="0" borderId="0"/>
    <xf numFmtId="9" fontId="20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76" fillId="81" borderId="198" applyNumberFormat="0" applyFont="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3" fillId="81" borderId="2" applyNumberFormat="0" applyFont="0" applyAlignment="0" applyProtection="0"/>
    <xf numFmtId="222" fontId="43" fillId="0" borderId="0" applyFont="0" applyFill="0" applyBorder="0" applyAlignment="0" applyProtection="0"/>
    <xf numFmtId="0" fontId="203" fillId="0" borderId="0"/>
    <xf numFmtId="14" fontId="11" fillId="0" borderId="194" applyFill="0">
      <alignment horizontal="center" vertical="center" wrapText="1"/>
    </xf>
    <xf numFmtId="218"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0" fontId="203" fillId="81" borderId="2" applyNumberFormat="0" applyFont="0" applyAlignment="0" applyProtection="0"/>
    <xf numFmtId="3" fontId="181"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0" fontId="203" fillId="81" borderId="2" applyNumberFormat="0" applyFont="0" applyAlignment="0" applyProtection="0"/>
    <xf numFmtId="218" fontId="43" fillId="0" borderId="0" applyFont="0" applyFill="0" applyBorder="0" applyAlignment="0" applyProtection="0"/>
    <xf numFmtId="222" fontId="43" fillId="0" borderId="0" applyFont="0" applyFill="0" applyBorder="0" applyAlignment="0" applyProtection="0"/>
    <xf numFmtId="3" fontId="18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98" fillId="0" borderId="0"/>
    <xf numFmtId="43" fontId="98" fillId="0" borderId="0" applyFont="0" applyFill="0" applyBorder="0" applyAlignment="0" applyProtection="0"/>
    <xf numFmtId="0" fontId="203"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06" fillId="78" borderId="1" applyNumberFormat="0" applyAlignment="0" applyProtection="0"/>
    <xf numFmtId="43" fontId="203"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0" fontId="209" fillId="62" borderId="0" applyNumberFormat="0" applyBorder="0" applyAlignment="0" applyProtection="0"/>
    <xf numFmtId="0" fontId="210" fillId="0" borderId="180" applyNumberFormat="0" applyFill="0" applyAlignment="0" applyProtection="0"/>
    <xf numFmtId="0" fontId="211" fillId="0" borderId="181"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0" fontId="214" fillId="0" borderId="183" applyNumberFormat="0" applyFill="0" applyAlignment="0" applyProtection="0"/>
    <xf numFmtId="0" fontId="215" fillId="80" borderId="0" applyNumberFormat="0" applyBorder="0" applyAlignment="0" applyProtection="0"/>
    <xf numFmtId="0" fontId="8" fillId="0" borderId="0"/>
    <xf numFmtId="0" fontId="216" fillId="78" borderId="184" applyNumberFormat="0" applyAlignment="0" applyProtection="0"/>
    <xf numFmtId="9" fontId="203" fillId="0" borderId="0" applyFont="0" applyFill="0" applyBorder="0" applyAlignment="0" applyProtection="0"/>
    <xf numFmtId="0" fontId="2" fillId="0" borderId="0"/>
    <xf numFmtId="0" fontId="217" fillId="0" borderId="0" applyNumberFormat="0" applyFill="0" applyBorder="0" applyAlignment="0" applyProtection="0"/>
    <xf numFmtId="0" fontId="174" fillId="0" borderId="185" applyNumberFormat="0" applyFill="0" applyAlignment="0" applyProtection="0"/>
    <xf numFmtId="218" fontId="43" fillId="0" borderId="0" applyFont="0" applyFill="0" applyBorder="0" applyAlignment="0" applyProtection="0"/>
    <xf numFmtId="222" fontId="4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0" borderId="0"/>
    <xf numFmtId="218" fontId="43"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218" fontId="43" fillId="0" borderId="0" applyFont="0" applyFill="0" applyBorder="0" applyAlignment="0" applyProtection="0"/>
    <xf numFmtId="3" fontId="181" fillId="0" borderId="0" applyFont="0" applyFill="0" applyBorder="0" applyAlignment="0" applyProtection="0"/>
    <xf numFmtId="218" fontId="4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3" fontId="181" fillId="0" borderId="0" applyFont="0" applyFill="0" applyBorder="0" applyAlignment="0" applyProtection="0"/>
    <xf numFmtId="0" fontId="2" fillId="0" borderId="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29" fillId="83" borderId="201" applyAlignment="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0" fontId="229" fillId="83" borderId="201" applyAlignment="0">
      <alignment horizontal="center"/>
    </xf>
    <xf numFmtId="0" fontId="2" fillId="0" borderId="0"/>
    <xf numFmtId="222" fontId="43" fillId="0" borderId="0" applyFont="0" applyFill="0" applyBorder="0" applyAlignment="0" applyProtection="0"/>
    <xf numFmtId="0" fontId="229" fillId="83" borderId="201" applyAlignment="0">
      <alignment horizontal="center"/>
    </xf>
    <xf numFmtId="44" fontId="2" fillId="0" borderId="0" applyFont="0" applyFill="0" applyBorder="0" applyAlignment="0" applyProtection="0"/>
    <xf numFmtId="44" fontId="2" fillId="0" borderId="0" applyFont="0" applyFill="0" applyBorder="0" applyAlignment="0" applyProtection="0"/>
    <xf numFmtId="0" fontId="229" fillId="83" borderId="201" applyAlignment="0">
      <alignment horizontal="center"/>
    </xf>
    <xf numFmtId="222" fontId="43" fillId="0" borderId="0" applyFont="0" applyFill="0" applyBorder="0" applyAlignment="0" applyProtection="0"/>
    <xf numFmtId="3" fontId="181" fillId="0" borderId="0" applyFont="0" applyFill="0" applyBorder="0" applyAlignment="0" applyProtection="0"/>
    <xf numFmtId="222"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29" fillId="83" borderId="201" applyAlignment="0">
      <alignment horizontal="center"/>
    </xf>
    <xf numFmtId="222" fontId="43" fillId="0" borderId="0" applyFont="0" applyFill="0" applyBorder="0" applyAlignment="0" applyProtection="0"/>
    <xf numFmtId="218" fontId="4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3" fontId="2" fillId="0" borderId="0" applyFont="0" applyFill="0" applyBorder="0" applyAlignment="0" applyProtection="0"/>
    <xf numFmtId="218" fontId="4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8" fillId="0" borderId="0"/>
    <xf numFmtId="0" fontId="98" fillId="0" borderId="0"/>
    <xf numFmtId="0" fontId="2" fillId="0" borderId="0"/>
    <xf numFmtId="222" fontId="43" fillId="0" borderId="0" applyFont="0" applyFill="0" applyBorder="0" applyAlignment="0" applyProtection="0"/>
    <xf numFmtId="43" fontId="2" fillId="0" borderId="0" applyFont="0" applyFill="0" applyBorder="0" applyAlignment="0" applyProtection="0"/>
    <xf numFmtId="0" fontId="203" fillId="0" borderId="0"/>
    <xf numFmtId="3" fontId="181" fillId="0" borderId="0" applyFont="0" applyFill="0" applyBorder="0" applyAlignment="0" applyProtection="0"/>
    <xf numFmtId="0" fontId="213" fillId="65" borderId="197" applyNumberFormat="0" applyAlignment="0" applyProtection="0"/>
    <xf numFmtId="218" fontId="43" fillId="0" borderId="0" applyFont="0" applyFill="0" applyBorder="0" applyAlignment="0" applyProtection="0"/>
    <xf numFmtId="222" fontId="43" fillId="0" borderId="0" applyFont="0" applyFill="0" applyBorder="0" applyAlignment="0" applyProtection="0"/>
    <xf numFmtId="44" fontId="2" fillId="0" borderId="0" applyFont="0" applyFill="0" applyBorder="0" applyAlignment="0" applyProtection="0"/>
    <xf numFmtId="218" fontId="4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3"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22" fontId="4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9" fillId="83" borderId="201" applyAlignment="0">
      <alignment horizontal="center"/>
    </xf>
    <xf numFmtId="0" fontId="2" fillId="0" borderId="0"/>
    <xf numFmtId="43"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3" fontId="43" fillId="0" borderId="0" applyFont="0" applyFill="0" applyBorder="0" applyAlignment="0" applyProtection="0"/>
    <xf numFmtId="44" fontId="43" fillId="0" borderId="0" applyFont="0" applyFill="0" applyBorder="0" applyAlignment="0" applyProtection="0"/>
    <xf numFmtId="9" fontId="203" fillId="0" borderId="0" applyFont="0" applyFill="0" applyBorder="0" applyAlignment="0" applyProtection="0"/>
    <xf numFmtId="0" fontId="229" fillId="83" borderId="186" applyAlignment="0">
      <alignment horizontal="center"/>
    </xf>
    <xf numFmtId="0" fontId="203" fillId="0" borderId="0"/>
    <xf numFmtId="0" fontId="213" fillId="65" borderId="197" applyNumberFormat="0" applyAlignment="0" applyProtection="0"/>
    <xf numFmtId="9" fontId="203" fillId="0" borderId="0" applyFont="0" applyFill="0" applyBorder="0" applyAlignment="0" applyProtection="0"/>
    <xf numFmtId="0" fontId="155" fillId="0" borderId="0"/>
    <xf numFmtId="3" fontId="181"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 fillId="0" borderId="0"/>
    <xf numFmtId="218" fontId="43" fillId="0" borderId="0" applyFont="0" applyFill="0" applyBorder="0" applyAlignment="0" applyProtection="0"/>
    <xf numFmtId="222" fontId="43" fillId="0" borderId="0" applyFont="0" applyFill="0" applyBorder="0" applyAlignment="0" applyProtection="0"/>
    <xf numFmtId="222" fontId="43" fillId="0" borderId="0" applyFont="0" applyFill="0" applyBorder="0" applyAlignment="0" applyProtection="0"/>
    <xf numFmtId="0" fontId="203" fillId="0" borderId="0"/>
    <xf numFmtId="3" fontId="18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3" fillId="0" borderId="0" applyFont="0" applyFill="0" applyBorder="0" applyAlignment="0" applyProtection="0"/>
    <xf numFmtId="218" fontId="43" fillId="0" borderId="0" applyFont="0" applyFill="0" applyBorder="0" applyAlignment="0" applyProtection="0"/>
    <xf numFmtId="9" fontId="203" fillId="0" borderId="0" applyFont="0" applyFill="0" applyBorder="0" applyAlignment="0" applyProtection="0"/>
    <xf numFmtId="0" fontId="213" fillId="65" borderId="215"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0" borderId="0"/>
    <xf numFmtId="222" fontId="4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29" fillId="83" borderId="237" applyAlignment="0">
      <alignment horizontal="center"/>
    </xf>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9" fontId="15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43"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16" fillId="78" borderId="244"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200" fontId="225" fillId="0" borderId="241" applyFill="0" applyProtection="0"/>
    <xf numFmtId="0" fontId="8"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03"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0" fontId="238" fillId="59" borderId="206" applyNumberFormat="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4" fontId="11" fillId="0" borderId="194" applyFill="0">
      <alignment horizontal="center" vertical="center" wrapText="1"/>
    </xf>
    <xf numFmtId="14" fontId="11" fillId="0" borderId="194" applyFill="0">
      <alignment horizontal="center" vertical="center" wrapText="1"/>
    </xf>
    <xf numFmtId="14" fontId="11" fillId="82" borderId="194">
      <alignment horizontal="center" vertical="center" wrapText="1"/>
    </xf>
    <xf numFmtId="14" fontId="11" fillId="0" borderId="194" applyFill="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43" fontId="155" fillId="0" borderId="194" applyNumberFormat="0" applyFill="0" applyAlignment="0" applyProtection="0">
      <alignment horizontal="center"/>
    </xf>
    <xf numFmtId="0" fontId="244" fillId="0" borderId="194" applyNumberFormat="0" applyFill="0" applyAlignment="0" applyProtection="0"/>
    <xf numFmtId="0" fontId="203"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38" fillId="59" borderId="197"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80" borderId="197" applyNumberFormat="0" applyAlignment="0" applyProtection="0"/>
    <xf numFmtId="0" fontId="213" fillId="65" borderId="197" applyNumberFormat="0" applyAlignment="0" applyProtection="0"/>
    <xf numFmtId="0" fontId="213" fillId="80" borderId="19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81" borderId="198" applyNumberFormat="0" applyFont="0" applyAlignment="0" applyProtection="0"/>
    <xf numFmtId="0" fontId="176"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176" fillId="81" borderId="198" applyNumberFormat="0" applyFont="0" applyAlignment="0" applyProtection="0"/>
    <xf numFmtId="0" fontId="216" fillId="59" borderId="199" applyNumberFormat="0" applyAlignment="0" applyProtection="0"/>
    <xf numFmtId="9" fontId="203" fillId="0" borderId="0" applyFont="0" applyFill="0" applyBorder="0" applyAlignment="0" applyProtection="0"/>
    <xf numFmtId="9" fontId="20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0" borderId="200" applyNumberFormat="0" applyFill="0" applyAlignment="0" applyProtection="0"/>
    <xf numFmtId="0" fontId="2" fillId="0" borderId="0"/>
    <xf numFmtId="43" fontId="2" fillId="0" borderId="0" applyFont="0" applyFill="0" applyBorder="0" applyAlignment="0" applyProtection="0"/>
    <xf numFmtId="43" fontId="8" fillId="0" borderId="0" applyFont="0" applyFill="0" applyBorder="0" applyAlignment="0" applyProtection="0"/>
    <xf numFmtId="0" fontId="2" fillId="0" borderId="0"/>
    <xf numFmtId="0" fontId="216" fillId="78" borderId="199" applyNumberFormat="0" applyAlignment="0" applyProtection="0"/>
    <xf numFmtId="0" fontId="174" fillId="0" borderId="202" applyNumberFormat="0" applyFill="0" applyAlignment="0" applyProtection="0"/>
    <xf numFmtId="0" fontId="203" fillId="0" borderId="0"/>
    <xf numFmtId="14" fontId="11" fillId="82" borderId="194">
      <alignment horizontal="center" vertical="center" wrapText="1"/>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14" fontId="11" fillId="0" borderId="194" applyFill="0">
      <alignment horizontal="center" vertical="center" wrapText="1"/>
    </xf>
    <xf numFmtId="0" fontId="203" fillId="81" borderId="198"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3" fillId="81" borderId="198" applyNumberFormat="0" applyFont="0" applyAlignment="0" applyProtection="0"/>
    <xf numFmtId="43" fontId="2"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3" fillId="81" borderId="198"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06" fillId="78" borderId="197"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76" fillId="81" borderId="198" applyNumberFormat="0" applyFont="0" applyAlignment="0" applyProtection="0"/>
    <xf numFmtId="0" fontId="238" fillId="59" borderId="197" applyNumberFormat="0" applyAlignment="0" applyProtection="0"/>
    <xf numFmtId="0" fontId="213" fillId="80" borderId="197" applyNumberFormat="0" applyAlignment="0" applyProtection="0"/>
    <xf numFmtId="0" fontId="8" fillId="81" borderId="198" applyNumberFormat="0" applyFont="0" applyAlignment="0" applyProtection="0"/>
    <xf numFmtId="0" fontId="216" fillId="59" borderId="199" applyNumberFormat="0" applyAlignment="0" applyProtection="0"/>
    <xf numFmtId="0" fontId="213" fillId="80" borderId="197"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76" fillId="81" borderId="19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3" fillId="65" borderId="233"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03" fillId="81" borderId="198" applyNumberFormat="0" applyFon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3" fillId="81" borderId="198" applyNumberFormat="0" applyFont="0" applyAlignment="0" applyProtection="0"/>
    <xf numFmtId="43" fontId="181" fillId="0" borderId="0" applyFont="0" applyFill="0" applyBorder="0" applyAlignment="0" applyProtection="0"/>
    <xf numFmtId="0" fontId="203" fillId="81" borderId="198" applyNumberFormat="0" applyFont="0" applyAlignment="0" applyProtection="0"/>
    <xf numFmtId="0" fontId="203" fillId="81" borderId="198" applyNumberFormat="0" applyFon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80" borderId="206" applyNumberFormat="0" applyAlignment="0" applyProtection="0"/>
    <xf numFmtId="0" fontId="213" fillId="65" borderId="206" applyNumberFormat="0" applyAlignment="0" applyProtection="0"/>
    <xf numFmtId="0" fontId="213" fillId="80" borderId="206" applyNumberFormat="0" applyAlignment="0" applyProtection="0"/>
    <xf numFmtId="0" fontId="8" fillId="81" borderId="207" applyNumberFormat="0" applyFont="0" applyAlignment="0" applyProtection="0"/>
    <xf numFmtId="0" fontId="176"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176" fillId="81" borderId="207" applyNumberFormat="0" applyFont="0" applyAlignment="0" applyProtection="0"/>
    <xf numFmtId="0" fontId="216" fillId="59" borderId="208" applyNumberFormat="0" applyAlignment="0" applyProtection="0"/>
    <xf numFmtId="0" fontId="174" fillId="0" borderId="209" applyNumberFormat="0" applyFill="0" applyAlignment="0" applyProtection="0"/>
    <xf numFmtId="0" fontId="206" fillId="78" borderId="206" applyNumberFormat="0" applyAlignment="0" applyProtection="0"/>
    <xf numFmtId="0" fontId="206" fillId="78" borderId="206" applyNumberFormat="0" applyAlignment="0" applyProtection="0"/>
    <xf numFmtId="182" fontId="225" fillId="0" borderId="205" applyFill="0" applyProtection="0"/>
    <xf numFmtId="182" fontId="225" fillId="0" borderId="205" applyFill="0" applyProtection="0"/>
    <xf numFmtId="182" fontId="225" fillId="0" borderId="205" applyFill="0" applyProtection="0"/>
    <xf numFmtId="200" fontId="225" fillId="0" borderId="205" applyFill="0" applyProtection="0"/>
    <xf numFmtId="200" fontId="225" fillId="0" borderId="205" applyFill="0" applyProtection="0"/>
    <xf numFmtId="200" fontId="225" fillId="0" borderId="205" applyFill="0" applyProtection="0"/>
    <xf numFmtId="0" fontId="153" fillId="0" borderId="204">
      <alignment horizontal="left" vertical="center"/>
    </xf>
    <xf numFmtId="0" fontId="229" fillId="83" borderId="210" applyAlignment="0">
      <alignment horizontal="center"/>
    </xf>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29" fillId="83" borderId="210" applyAlignment="0">
      <alignment horizontal="center"/>
    </xf>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16" fillId="78" borderId="199" applyNumberFormat="0" applyAlignment="0" applyProtection="0"/>
    <xf numFmtId="0" fontId="174" fillId="0" borderId="202" applyNumberFormat="0" applyFill="0" applyAlignment="0" applyProtection="0"/>
    <xf numFmtId="0" fontId="229" fillId="83" borderId="210" applyAlignment="0">
      <alignment horizontal="center"/>
    </xf>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13" fillId="65" borderId="197" applyNumberForma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6" fillId="78" borderId="197" applyNumberFormat="0" applyAlignment="0" applyProtection="0"/>
    <xf numFmtId="0" fontId="176" fillId="81" borderId="198" applyNumberFormat="0" applyFont="0" applyAlignment="0" applyProtection="0"/>
    <xf numFmtId="0" fontId="238" fillId="59" borderId="197" applyNumberFormat="0" applyAlignment="0" applyProtection="0"/>
    <xf numFmtId="0" fontId="213" fillId="80" borderId="197" applyNumberFormat="0" applyAlignment="0" applyProtection="0"/>
    <xf numFmtId="0" fontId="8" fillId="81" borderId="198" applyNumberFormat="0" applyFont="0" applyAlignment="0" applyProtection="0"/>
    <xf numFmtId="0" fontId="216" fillId="59" borderId="199" applyNumberFormat="0" applyAlignment="0" applyProtection="0"/>
    <xf numFmtId="0" fontId="174" fillId="0" borderId="200" applyNumberFormat="0" applyFill="0" applyAlignment="0" applyProtection="0"/>
    <xf numFmtId="0" fontId="213" fillId="80" borderId="197" applyNumberFormat="0" applyAlignment="0" applyProtection="0"/>
    <xf numFmtId="0" fontId="229" fillId="83" borderId="210" applyAlignment="0">
      <alignment horizontal="center"/>
    </xf>
    <xf numFmtId="0" fontId="176" fillId="81" borderId="198" applyNumberFormat="0" applyFont="0" applyAlignment="0" applyProtection="0"/>
    <xf numFmtId="0" fontId="213" fillId="65" borderId="206" applyNumberFormat="0" applyAlignment="0" applyProtection="0"/>
    <xf numFmtId="0" fontId="216" fillId="78" borderId="208" applyNumberFormat="0" applyAlignment="0" applyProtection="0"/>
    <xf numFmtId="0" fontId="174" fillId="0" borderId="211" applyNumberFormat="0" applyFill="0" applyAlignment="0" applyProtection="0"/>
    <xf numFmtId="0" fontId="216" fillId="78" borderId="208" applyNumberFormat="0" applyAlignment="0" applyProtection="0"/>
    <xf numFmtId="0" fontId="174" fillId="0" borderId="211" applyNumberFormat="0" applyFill="0" applyAlignment="0" applyProtection="0"/>
    <xf numFmtId="182" fontId="225" fillId="0" borderId="205" applyFill="0" applyProtection="0"/>
    <xf numFmtId="200" fontId="225" fillId="0" borderId="205" applyFill="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03" fillId="81" borderId="207" applyNumberFormat="0" applyFont="0" applyAlignment="0" applyProtection="0"/>
    <xf numFmtId="0" fontId="213" fillId="65" borderId="206" applyNumberFormat="0" applyAlignment="0" applyProtection="0"/>
    <xf numFmtId="0" fontId="203" fillId="81" borderId="207" applyNumberFormat="0" applyFont="0" applyAlignment="0" applyProtection="0"/>
    <xf numFmtId="0" fontId="216" fillId="78" borderId="208" applyNumberFormat="0" applyAlignment="0" applyProtection="0"/>
    <xf numFmtId="0" fontId="174" fillId="0" borderId="211" applyNumberFormat="0" applyFill="0" applyAlignment="0" applyProtection="0"/>
    <xf numFmtId="0" fontId="249" fillId="59" borderId="206" applyNumberFormat="0" applyAlignment="0" applyProtection="0"/>
    <xf numFmtId="0" fontId="254" fillId="80" borderId="206" applyNumberFormat="0" applyAlignment="0" applyProtection="0"/>
    <xf numFmtId="0" fontId="257" fillId="59" borderId="208" applyNumberFormat="0" applyAlignment="0" applyProtection="0"/>
    <xf numFmtId="0" fontId="244" fillId="0" borderId="205" applyNumberFormat="0" applyFont="0" applyFill="0" applyAlignment="0" applyProtection="0"/>
    <xf numFmtId="0" fontId="178" fillId="0" borderId="212" applyProtection="0"/>
    <xf numFmtId="0" fontId="176" fillId="81" borderId="207" applyNumberFormat="0" applyFont="0" applyAlignment="0" applyProtection="0"/>
    <xf numFmtId="0" fontId="8" fillId="81" borderId="207" applyNumberFormat="0" applyFont="0" applyAlignment="0" applyProtection="0"/>
    <xf numFmtId="182" fontId="225" fillId="0" borderId="205" applyFill="0" applyProtection="0"/>
    <xf numFmtId="200" fontId="225" fillId="0" borderId="205" applyFill="0" applyProtection="0"/>
    <xf numFmtId="0" fontId="213" fillId="65" borderId="206" applyNumberFormat="0" applyAlignment="0" applyProtection="0"/>
    <xf numFmtId="0" fontId="203" fillId="81" borderId="207" applyNumberFormat="0" applyFont="0" applyAlignment="0" applyProtection="0"/>
    <xf numFmtId="0" fontId="203" fillId="81" borderId="207" applyNumberFormat="0" applyFont="0" applyAlignment="0" applyProtection="0"/>
    <xf numFmtId="182" fontId="225" fillId="0" borderId="205" applyFill="0" applyProtection="0"/>
    <xf numFmtId="200" fontId="225" fillId="0" borderId="205" applyFill="0" applyProtection="0"/>
    <xf numFmtId="0" fontId="153" fillId="0" borderId="204">
      <alignment horizontal="left" vertical="center"/>
    </xf>
    <xf numFmtId="0" fontId="203" fillId="81" borderId="207" applyNumberFormat="0" applyFont="0" applyAlignment="0" applyProtection="0"/>
    <xf numFmtId="0" fontId="153" fillId="0" borderId="204">
      <alignment horizontal="left" vertical="center"/>
    </xf>
    <xf numFmtId="0" fontId="213" fillId="80" borderId="206" applyNumberFormat="0" applyAlignment="0" applyProtection="0"/>
    <xf numFmtId="0" fontId="8" fillId="81" borderId="207" applyNumberFormat="0" applyFont="0" applyAlignment="0" applyProtection="0"/>
    <xf numFmtId="182" fontId="225" fillId="0" borderId="205" applyFill="0" applyProtection="0"/>
    <xf numFmtId="200" fontId="225" fillId="0" borderId="205" applyFill="0" applyProtection="0"/>
    <xf numFmtId="182" fontId="225" fillId="0" borderId="205" applyFill="0" applyProtection="0"/>
    <xf numFmtId="200" fontId="225" fillId="0" borderId="205" applyFill="0" applyProtection="0"/>
    <xf numFmtId="0" fontId="153" fillId="0" borderId="204">
      <alignment horizontal="left" vertical="center"/>
    </xf>
    <xf numFmtId="0" fontId="203" fillId="81" borderId="198" applyNumberFormat="0" applyFont="0" applyAlignment="0" applyProtection="0"/>
    <xf numFmtId="182" fontId="225" fillId="0" borderId="205" applyFill="0" applyProtection="0"/>
    <xf numFmtId="200" fontId="225" fillId="0" borderId="205" applyFill="0" applyProtection="0"/>
    <xf numFmtId="0" fontId="176" fillId="81" borderId="207" applyNumberFormat="0" applyFont="0" applyAlignment="0" applyProtection="0"/>
    <xf numFmtId="0" fontId="203" fillId="81" borderId="207"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0" fontId="203" fillId="81" borderId="198" applyNumberFormat="0" applyFont="0" applyAlignment="0" applyProtection="0"/>
    <xf numFmtId="44" fontId="203" fillId="0" borderId="0" applyFont="0" applyFill="0" applyBorder="0" applyAlignment="0" applyProtection="0"/>
    <xf numFmtId="0" fontId="213" fillId="65" borderId="206" applyNumberFormat="0" applyAlignment="0" applyProtection="0"/>
    <xf numFmtId="44" fontId="2" fillId="0" borderId="0" applyFont="0" applyFill="0" applyBorder="0" applyAlignment="0" applyProtection="0"/>
    <xf numFmtId="44" fontId="20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38" fillId="59" borderId="215"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3" fillId="65" borderId="206"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0" fontId="213" fillId="65" borderId="20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06" fillId="78" borderId="206"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38" fillId="59" borderId="206" applyNumberFormat="0" applyAlignment="0" applyProtection="0"/>
    <xf numFmtId="0" fontId="213" fillId="80" borderId="206" applyNumberFormat="0" applyAlignment="0" applyProtection="0"/>
    <xf numFmtId="0" fontId="213" fillId="80" borderId="206" applyNumberFormat="0" applyAlignment="0" applyProtection="0"/>
    <xf numFmtId="43" fontId="2" fillId="0" borderId="0" applyFont="0" applyFill="0" applyBorder="0" applyAlignment="0" applyProtection="0"/>
    <xf numFmtId="0" fontId="2" fillId="0" borderId="0"/>
    <xf numFmtId="0" fontId="2" fillId="34" borderId="171"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80" borderId="215" applyNumberFormat="0" applyAlignment="0" applyProtection="0"/>
    <xf numFmtId="0" fontId="213" fillId="65"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176"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176"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06" fillId="78" borderId="215" applyNumberFormat="0" applyAlignment="0" applyProtection="0"/>
    <xf numFmtId="0" fontId="206" fillId="78" borderId="215" applyNumberFormat="0" applyAlignment="0" applyProtection="0"/>
    <xf numFmtId="182" fontId="225" fillId="0" borderId="214" applyFill="0" applyProtection="0"/>
    <xf numFmtId="182" fontId="225" fillId="0" borderId="214" applyFill="0" applyProtection="0"/>
    <xf numFmtId="182" fontId="225" fillId="0" borderId="214" applyFill="0" applyProtection="0"/>
    <xf numFmtId="200" fontId="225" fillId="0" borderId="214" applyFill="0" applyProtection="0"/>
    <xf numFmtId="200" fontId="225" fillId="0" borderId="214" applyFill="0" applyProtection="0"/>
    <xf numFmtId="200" fontId="225" fillId="0" borderId="214" applyFill="0" applyProtection="0"/>
    <xf numFmtId="0" fontId="153" fillId="0" borderId="213">
      <alignment horizontal="left" vertical="center"/>
    </xf>
    <xf numFmtId="0" fontId="229" fillId="83" borderId="219" applyAlignment="0">
      <alignment horizontal="center"/>
    </xf>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29" fillId="83" borderId="219" applyAlignment="0">
      <alignment horizontal="center"/>
    </xf>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29" fillId="83" borderId="219" applyAlignment="0">
      <alignment horizontal="center"/>
    </xf>
    <xf numFmtId="0" fontId="229" fillId="83" borderId="219" applyAlignment="0">
      <alignment horizontal="center"/>
    </xf>
    <xf numFmtId="0" fontId="213" fillId="65" borderId="215" applyNumberFormat="0" applyAlignment="0" applyProtection="0"/>
    <xf numFmtId="0" fontId="216" fillId="78" borderId="217" applyNumberFormat="0" applyAlignment="0" applyProtection="0"/>
    <xf numFmtId="0" fontId="174" fillId="0" borderId="220" applyNumberFormat="0" applyFill="0" applyAlignment="0" applyProtection="0"/>
    <xf numFmtId="0" fontId="216" fillId="78" borderId="217" applyNumberFormat="0" applyAlignment="0" applyProtection="0"/>
    <xf numFmtId="0" fontId="174" fillId="0" borderId="220" applyNumberFormat="0" applyFill="0" applyAlignment="0" applyProtection="0"/>
    <xf numFmtId="182" fontId="225" fillId="0" borderId="214" applyFill="0" applyProtection="0"/>
    <xf numFmtId="200" fontId="225" fillId="0" borderId="214" applyFill="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15" applyNumberFormat="0" applyAlignment="0" applyProtection="0"/>
    <xf numFmtId="0" fontId="203" fillId="81" borderId="216" applyNumberFormat="0" applyFont="0" applyAlignment="0" applyProtection="0"/>
    <xf numFmtId="0" fontId="216" fillId="78" borderId="217" applyNumberFormat="0" applyAlignment="0" applyProtection="0"/>
    <xf numFmtId="0" fontId="174" fillId="0" borderId="220" applyNumberFormat="0" applyFill="0" applyAlignment="0" applyProtection="0"/>
    <xf numFmtId="0" fontId="249" fillId="59" borderId="215" applyNumberFormat="0" applyAlignment="0" applyProtection="0"/>
    <xf numFmtId="0" fontId="254" fillId="80" borderId="215" applyNumberFormat="0" applyAlignment="0" applyProtection="0"/>
    <xf numFmtId="0" fontId="257" fillId="59" borderId="217" applyNumberFormat="0" applyAlignment="0" applyProtection="0"/>
    <xf numFmtId="0" fontId="244" fillId="0" borderId="214" applyNumberFormat="0" applyFont="0" applyFill="0" applyAlignment="0" applyProtection="0"/>
    <xf numFmtId="0" fontId="178" fillId="0" borderId="221" applyProtection="0"/>
    <xf numFmtId="0" fontId="176" fillId="81" borderId="216" applyNumberFormat="0" applyFont="0" applyAlignment="0" applyProtection="0"/>
    <xf numFmtId="0" fontId="8" fillId="81" borderId="216" applyNumberFormat="0" applyFont="0" applyAlignment="0" applyProtection="0"/>
    <xf numFmtId="182" fontId="225" fillId="0" borderId="214" applyFill="0" applyProtection="0"/>
    <xf numFmtId="200" fontId="225" fillId="0" borderId="214" applyFill="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182" fontId="225" fillId="0" borderId="214" applyFill="0" applyProtection="0"/>
    <xf numFmtId="200" fontId="225" fillId="0" borderId="214" applyFill="0" applyProtection="0"/>
    <xf numFmtId="0" fontId="153" fillId="0" borderId="213">
      <alignment horizontal="left" vertical="center"/>
    </xf>
    <xf numFmtId="0" fontId="203" fillId="81" borderId="216" applyNumberFormat="0" applyFont="0" applyAlignment="0" applyProtection="0"/>
    <xf numFmtId="0" fontId="153" fillId="0" borderId="213">
      <alignment horizontal="left" vertical="center"/>
    </xf>
    <xf numFmtId="0" fontId="213" fillId="80" borderId="215" applyNumberFormat="0" applyAlignment="0" applyProtection="0"/>
    <xf numFmtId="0" fontId="8" fillId="81" borderId="216" applyNumberFormat="0" applyFont="0" applyAlignment="0" applyProtection="0"/>
    <xf numFmtId="182" fontId="225" fillId="0" borderId="214" applyFill="0" applyProtection="0"/>
    <xf numFmtId="200" fontId="225" fillId="0" borderId="214" applyFill="0" applyProtection="0"/>
    <xf numFmtId="182" fontId="225" fillId="0" borderId="214" applyFill="0" applyProtection="0"/>
    <xf numFmtId="200" fontId="225" fillId="0" borderId="214" applyFill="0" applyProtection="0"/>
    <xf numFmtId="0" fontId="153" fillId="0" borderId="213">
      <alignment horizontal="left" vertical="center"/>
    </xf>
    <xf numFmtId="182" fontId="225" fillId="0" borderId="214" applyFill="0" applyProtection="0"/>
    <xf numFmtId="200" fontId="225" fillId="0" borderId="214" applyFill="0" applyProtection="0"/>
    <xf numFmtId="0" fontId="176" fillId="81" borderId="216" applyNumberFormat="0" applyFont="0" applyAlignment="0" applyProtection="0"/>
    <xf numFmtId="0" fontId="203" fillId="81" borderId="216" applyNumberFormat="0" applyFont="0" applyAlignment="0" applyProtection="0"/>
    <xf numFmtId="0" fontId="213" fillId="65" borderId="215" applyNumberFormat="0" applyAlignment="0" applyProtection="0"/>
    <xf numFmtId="44" fontId="2" fillId="0" borderId="0" applyFont="0" applyFill="0" applyBorder="0" applyAlignment="0" applyProtection="0"/>
    <xf numFmtId="0" fontId="229" fillId="83" borderId="186" applyAlignment="0">
      <alignment horizontal="center"/>
    </xf>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2" fillId="0" borderId="0" applyFont="0" applyFill="0" applyBorder="0" applyAlignment="0" applyProtection="0"/>
    <xf numFmtId="0" fontId="8" fillId="0" borderId="0"/>
    <xf numFmtId="0" fontId="203" fillId="0" borderId="0"/>
    <xf numFmtId="43" fontId="8" fillId="0" borderId="0" applyFont="0" applyFill="0" applyBorder="0" applyAlignment="0" applyProtection="0"/>
    <xf numFmtId="0" fontId="8" fillId="0" borderId="0"/>
    <xf numFmtId="0" fontId="2" fillId="0" borderId="0"/>
    <xf numFmtId="0" fontId="176" fillId="64" borderId="0" applyNumberFormat="0" applyBorder="0" applyAlignment="0" applyProtection="0"/>
    <xf numFmtId="0" fontId="176" fillId="67" borderId="0" applyNumberFormat="0" applyBorder="0" applyAlignment="0" applyProtection="0"/>
    <xf numFmtId="0" fontId="204" fillId="72" borderId="0" applyNumberFormat="0" applyBorder="0" applyAlignment="0" applyProtection="0"/>
    <xf numFmtId="0" fontId="2" fillId="0" borderId="0"/>
    <xf numFmtId="0" fontId="207" fillId="79" borderId="179" applyNumberFormat="0" applyAlignment="0" applyProtection="0"/>
    <xf numFmtId="0" fontId="2" fillId="0" borderId="0"/>
    <xf numFmtId="0" fontId="208" fillId="0" borderId="0" applyNumberFormat="0" applyFill="0" applyBorder="0" applyAlignment="0" applyProtection="0"/>
    <xf numFmtId="0" fontId="210" fillId="0" borderId="180" applyNumberFormat="0" applyFill="0" applyAlignment="0" applyProtection="0"/>
    <xf numFmtId="0" fontId="211" fillId="0" borderId="181" applyNumberFormat="0" applyFill="0" applyAlignment="0" applyProtection="0"/>
    <xf numFmtId="0" fontId="172" fillId="0" borderId="0" applyNumberForma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3" fillId="0" borderId="0"/>
    <xf numFmtId="43" fontId="8"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8" fillId="0" borderId="0"/>
    <xf numFmtId="0" fontId="203" fillId="81" borderId="198" applyNumberFormat="0" applyFont="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3"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4" fontId="2" fillId="0" borderId="0" applyFont="0" applyFill="0" applyBorder="0" applyAlignment="0" applyProtection="0"/>
    <xf numFmtId="44" fontId="98" fillId="0" borderId="0" applyFont="0" applyFill="0" applyBorder="0" applyAlignment="0" applyProtection="0"/>
    <xf numFmtId="0" fontId="98"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0" fontId="203" fillId="0" borderId="0"/>
    <xf numFmtId="44" fontId="1"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98" fillId="0" borderId="0"/>
    <xf numFmtId="0" fontId="2" fillId="0" borderId="0"/>
    <xf numFmtId="0" fontId="1" fillId="0" borderId="0"/>
    <xf numFmtId="0" fontId="203" fillId="0" borderId="0"/>
    <xf numFmtId="0" fontId="176" fillId="81" borderId="243" applyNumberFormat="0" applyFont="0" applyAlignment="0" applyProtection="0"/>
    <xf numFmtId="0" fontId="98" fillId="0" borderId="0"/>
    <xf numFmtId="9" fontId="1" fillId="0" borderId="0" applyFont="0" applyFill="0" applyBorder="0" applyAlignment="0" applyProtection="0"/>
    <xf numFmtId="43" fontId="8" fillId="0" borderId="0" applyFont="0" applyFill="0" applyBorder="0" applyAlignment="0" applyProtection="0"/>
    <xf numFmtId="0" fontId="8" fillId="0" borderId="0"/>
    <xf numFmtId="43" fontId="203" fillId="0" borderId="0" applyFont="0" applyFill="0" applyBorder="0" applyAlignment="0" applyProtection="0"/>
    <xf numFmtId="0" fontId="8" fillId="0" borderId="0"/>
    <xf numFmtId="0" fontId="203" fillId="0" borderId="0"/>
    <xf numFmtId="0" fontId="8" fillId="0" borderId="0"/>
    <xf numFmtId="0" fontId="238" fillId="59" borderId="224" applyNumberFormat="0" applyAlignment="0" applyProtection="0"/>
    <xf numFmtId="0" fontId="229" fillId="83" borderId="219" applyAlignment="0">
      <alignment horizontal="center"/>
    </xf>
    <xf numFmtId="0" fontId="213" fillId="65" borderId="215" applyNumberFormat="0" applyAlignment="0" applyProtection="0"/>
    <xf numFmtId="43" fontId="181" fillId="0" borderId="0" applyFont="0" applyFill="0" applyBorder="0" applyAlignment="0" applyProtection="0"/>
    <xf numFmtId="0" fontId="238" fillId="59"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80" borderId="215" applyNumberFormat="0" applyAlignment="0" applyProtection="0"/>
    <xf numFmtId="0" fontId="213" fillId="65" borderId="215" applyNumberFormat="0" applyAlignment="0" applyProtection="0"/>
    <xf numFmtId="0" fontId="213" fillId="80" borderId="215" applyNumberFormat="0" applyAlignment="0" applyProtection="0"/>
    <xf numFmtId="0" fontId="8" fillId="0" borderId="0"/>
    <xf numFmtId="0" fontId="8" fillId="0" borderId="0"/>
    <xf numFmtId="0" fontId="8" fillId="0" borderId="0"/>
    <xf numFmtId="0" fontId="203" fillId="81" borderId="243" applyNumberFormat="0" applyFont="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8" fillId="0" borderId="0"/>
    <xf numFmtId="9" fontId="43" fillId="0" borderId="0" applyFont="0" applyFill="0" applyBorder="0" applyAlignment="0" applyProtection="0"/>
    <xf numFmtId="43" fontId="43" fillId="0" borderId="0" applyFont="0" applyFill="0" applyBorder="0" applyAlignment="0" applyProtection="0"/>
    <xf numFmtId="0" fontId="2" fillId="0" borderId="0"/>
    <xf numFmtId="43" fontId="155" fillId="0" borderId="0" applyFont="0" applyFill="0" applyBorder="0" applyAlignment="0" applyProtection="0"/>
    <xf numFmtId="0" fontId="8" fillId="0" borderId="0"/>
    <xf numFmtId="0" fontId="203" fillId="0" borderId="0"/>
    <xf numFmtId="0" fontId="2" fillId="0" borderId="0"/>
    <xf numFmtId="0" fontId="155" fillId="0" borderId="0"/>
    <xf numFmtId="0" fontId="8" fillId="0" borderId="0"/>
    <xf numFmtId="0" fontId="2" fillId="0" borderId="0"/>
    <xf numFmtId="43" fontId="8" fillId="0" borderId="0" applyFont="0" applyFill="0" applyBorder="0" applyAlignment="0" applyProtection="0"/>
    <xf numFmtId="182" fontId="225" fillId="0" borderId="241" applyFill="0" applyProtection="0"/>
    <xf numFmtId="0" fontId="8" fillId="81" borderId="216" applyNumberFormat="0" applyFont="0" applyAlignment="0" applyProtection="0"/>
    <xf numFmtId="0" fontId="176"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176"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16" fillId="78" borderId="217" applyNumberFormat="0" applyAlignment="0" applyProtection="0"/>
    <xf numFmtId="0" fontId="174" fillId="0" borderId="220" applyNumberFormat="0" applyFill="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43"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0" fontId="203" fillId="0" borderId="0"/>
    <xf numFmtId="0" fontId="153" fillId="0" borderId="240">
      <alignment horizontal="left" vertical="center"/>
    </xf>
    <xf numFmtId="0" fontId="203" fillId="81" borderId="216" applyNumberFormat="0" applyFont="0" applyAlignment="0" applyProtection="0"/>
    <xf numFmtId="0" fontId="206" fillId="78" borderId="215" applyNumberFormat="0" applyAlignment="0" applyProtection="0"/>
    <xf numFmtId="0" fontId="176" fillId="81" borderId="216" applyNumberFormat="0" applyFont="0" applyAlignment="0" applyProtection="0"/>
    <xf numFmtId="0" fontId="238" fillId="59"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216" fillId="59" borderId="217" applyNumberFormat="0" applyAlignment="0" applyProtection="0"/>
    <xf numFmtId="0" fontId="213" fillId="80" borderId="215" applyNumberFormat="0" applyAlignment="0" applyProtection="0"/>
    <xf numFmtId="0" fontId="176" fillId="81" borderId="216" applyNumberFormat="0" applyFont="0" applyAlignment="0" applyProtection="0"/>
    <xf numFmtId="44" fontId="2" fillId="0" borderId="0" applyFont="0" applyFill="0" applyBorder="0" applyAlignment="0" applyProtection="0"/>
    <xf numFmtId="43" fontId="155"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44" fontId="2"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182" fontId="225" fillId="0" borderId="241" applyFill="0" applyProtection="0"/>
    <xf numFmtId="44" fontId="2" fillId="0" borderId="0" applyFont="0" applyFill="0" applyBorder="0" applyAlignment="0" applyProtection="0"/>
    <xf numFmtId="44" fontId="2" fillId="0" borderId="0" applyFont="0" applyFill="0" applyBorder="0" applyAlignment="0" applyProtection="0"/>
    <xf numFmtId="0" fontId="203" fillId="0" borderId="0"/>
    <xf numFmtId="43" fontId="8" fillId="0" borderId="0" applyFont="0" applyFill="0" applyBorder="0" applyAlignment="0" applyProtection="0"/>
    <xf numFmtId="0" fontId="203" fillId="81" borderId="243" applyNumberFormat="0" applyFont="0" applyAlignment="0" applyProtection="0"/>
    <xf numFmtId="43" fontId="1" fillId="0" borderId="0" applyFont="0" applyFill="0" applyBorder="0" applyAlignment="0" applyProtection="0"/>
    <xf numFmtId="200" fontId="225" fillId="0" borderId="241" applyFill="0" applyProtection="0"/>
    <xf numFmtId="9" fontId="43" fillId="0" borderId="0" applyFont="0" applyFill="0" applyBorder="0" applyAlignment="0" applyProtection="0"/>
    <xf numFmtId="0" fontId="8" fillId="0" borderId="0"/>
    <xf numFmtId="0" fontId="8" fillId="0" borderId="0"/>
    <xf numFmtId="0" fontId="2" fillId="0" borderId="0"/>
    <xf numFmtId="43" fontId="155" fillId="0" borderId="0" applyFont="0" applyFill="0" applyBorder="0" applyAlignment="0" applyProtection="0"/>
    <xf numFmtId="9" fontId="1" fillId="0" borderId="0" applyFont="0" applyFill="0" applyBorder="0" applyAlignment="0" applyProtection="0"/>
    <xf numFmtId="182" fontId="225" fillId="0" borderId="241" applyFill="0" applyProtection="0"/>
    <xf numFmtId="0" fontId="203" fillId="0" borderId="0"/>
    <xf numFmtId="0" fontId="213" fillId="65" borderId="242" applyNumberFormat="0" applyAlignment="0" applyProtection="0"/>
    <xf numFmtId="0" fontId="8" fillId="0" borderId="0"/>
    <xf numFmtId="43" fontId="1" fillId="0" borderId="0" applyFont="0" applyFill="0" applyBorder="0" applyAlignment="0" applyProtection="0"/>
    <xf numFmtId="9" fontId="8" fillId="0" borderId="0" applyFont="0" applyFill="0" applyBorder="0" applyAlignment="0" applyProtection="0"/>
    <xf numFmtId="0" fontId="8" fillId="0" borderId="0"/>
    <xf numFmtId="9" fontId="1" fillId="0" borderId="0" applyFont="0" applyFill="0" applyBorder="0" applyAlignment="0" applyProtection="0"/>
    <xf numFmtId="9" fontId="8" fillId="0" borderId="0" applyFont="0" applyFill="0" applyBorder="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65"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176"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176" fillId="81" borderId="225" applyNumberFormat="0" applyFont="0" applyAlignment="0" applyProtection="0"/>
    <xf numFmtId="0" fontId="216" fillId="59" borderId="226" applyNumberFormat="0" applyAlignment="0" applyProtection="0"/>
    <xf numFmtId="0" fontId="174" fillId="0" borderId="227" applyNumberFormat="0" applyFill="0" applyAlignment="0" applyProtection="0"/>
    <xf numFmtId="0" fontId="206" fillId="78" borderId="224" applyNumberFormat="0" applyAlignment="0" applyProtection="0"/>
    <xf numFmtId="0" fontId="206" fillId="78" borderId="224" applyNumberFormat="0" applyAlignment="0" applyProtection="0"/>
    <xf numFmtId="182" fontId="225" fillId="0" borderId="223" applyFill="0" applyProtection="0"/>
    <xf numFmtId="182" fontId="225" fillId="0" borderId="223" applyFill="0" applyProtection="0"/>
    <xf numFmtId="182" fontId="225" fillId="0" borderId="223" applyFill="0" applyProtection="0"/>
    <xf numFmtId="200" fontId="225" fillId="0" borderId="223" applyFill="0" applyProtection="0"/>
    <xf numFmtId="200" fontId="225" fillId="0" borderId="223" applyFill="0" applyProtection="0"/>
    <xf numFmtId="200" fontId="225" fillId="0" borderId="223" applyFill="0" applyProtection="0"/>
    <xf numFmtId="0" fontId="153" fillId="0" borderId="222">
      <alignment horizontal="left" vertical="center"/>
    </xf>
    <xf numFmtId="0" fontId="229" fillId="83" borderId="228" applyAlignment="0">
      <alignment horizontal="center"/>
    </xf>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29" fillId="83" borderId="228" applyAlignment="0">
      <alignment horizontal="center"/>
    </xf>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6" fillId="78" borderId="217" applyNumberFormat="0" applyAlignment="0" applyProtection="0"/>
    <xf numFmtId="0" fontId="174" fillId="0" borderId="220" applyNumberFormat="0" applyFill="0" applyAlignment="0" applyProtection="0"/>
    <xf numFmtId="0" fontId="229" fillId="83" borderId="228" applyAlignment="0">
      <alignment horizontal="center"/>
    </xf>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13" fillId="65" borderId="215" applyNumberForma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6" fillId="78" borderId="215" applyNumberFormat="0" applyAlignment="0" applyProtection="0"/>
    <xf numFmtId="0" fontId="176" fillId="81" borderId="216" applyNumberFormat="0" applyFont="0" applyAlignment="0" applyProtection="0"/>
    <xf numFmtId="0" fontId="238" fillId="59" borderId="215" applyNumberFormat="0" applyAlignment="0" applyProtection="0"/>
    <xf numFmtId="0" fontId="213" fillId="80" borderId="215" applyNumberFormat="0" applyAlignment="0" applyProtection="0"/>
    <xf numFmtId="0" fontId="8" fillId="81" borderId="216" applyNumberFormat="0" applyFont="0" applyAlignment="0" applyProtection="0"/>
    <xf numFmtId="0" fontId="216" fillId="59" borderId="217" applyNumberFormat="0" applyAlignment="0" applyProtection="0"/>
    <xf numFmtId="0" fontId="174" fillId="0" borderId="218" applyNumberFormat="0" applyFill="0" applyAlignment="0" applyProtection="0"/>
    <xf numFmtId="0" fontId="213" fillId="80" borderId="215" applyNumberFormat="0" applyAlignment="0" applyProtection="0"/>
    <xf numFmtId="0" fontId="229" fillId="83" borderId="228" applyAlignment="0">
      <alignment horizontal="center"/>
    </xf>
    <xf numFmtId="0" fontId="176" fillId="81" borderId="216" applyNumberFormat="0" applyFont="0" applyAlignment="0" applyProtection="0"/>
    <xf numFmtId="0" fontId="213" fillId="65" borderId="224" applyNumberFormat="0" applyAlignment="0" applyProtection="0"/>
    <xf numFmtId="0" fontId="216" fillId="78" borderId="226" applyNumberFormat="0" applyAlignment="0" applyProtection="0"/>
    <xf numFmtId="0" fontId="174" fillId="0" borderId="229" applyNumberFormat="0" applyFill="0" applyAlignment="0" applyProtection="0"/>
    <xf numFmtId="0" fontId="216" fillId="78" borderId="226" applyNumberFormat="0" applyAlignment="0" applyProtection="0"/>
    <xf numFmtId="0" fontId="174" fillId="0" borderId="229" applyNumberFormat="0" applyFill="0" applyAlignment="0" applyProtection="0"/>
    <xf numFmtId="182" fontId="225" fillId="0" borderId="223" applyFill="0" applyProtection="0"/>
    <xf numFmtId="200" fontId="225" fillId="0" borderId="223" applyFill="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3" fillId="65" borderId="224" applyNumberFormat="0" applyAlignment="0" applyProtection="0"/>
    <xf numFmtId="0" fontId="203" fillId="81" borderId="225" applyNumberFormat="0" applyFont="0" applyAlignment="0" applyProtection="0"/>
    <xf numFmtId="0" fontId="216" fillId="78" borderId="226" applyNumberFormat="0" applyAlignment="0" applyProtection="0"/>
    <xf numFmtId="0" fontId="174" fillId="0" borderId="229" applyNumberFormat="0" applyFill="0" applyAlignment="0" applyProtection="0"/>
    <xf numFmtId="0" fontId="249" fillId="59" borderId="224" applyNumberFormat="0" applyAlignment="0" applyProtection="0"/>
    <xf numFmtId="0" fontId="254" fillId="80" borderId="224" applyNumberFormat="0" applyAlignment="0" applyProtection="0"/>
    <xf numFmtId="0" fontId="257" fillId="59" borderId="226" applyNumberFormat="0" applyAlignment="0" applyProtection="0"/>
    <xf numFmtId="0" fontId="244" fillId="0" borderId="223" applyNumberFormat="0" applyFont="0" applyFill="0" applyAlignment="0" applyProtection="0"/>
    <xf numFmtId="0" fontId="178" fillId="0" borderId="230" applyProtection="0"/>
    <xf numFmtId="0" fontId="176" fillId="81" borderId="225" applyNumberFormat="0" applyFont="0" applyAlignment="0" applyProtection="0"/>
    <xf numFmtId="0" fontId="8" fillId="81" borderId="225" applyNumberFormat="0" applyFont="0" applyAlignment="0" applyProtection="0"/>
    <xf numFmtId="182" fontId="225" fillId="0" borderId="223" applyFill="0" applyProtection="0"/>
    <xf numFmtId="200" fontId="225" fillId="0" borderId="223" applyFill="0" applyProtection="0"/>
    <xf numFmtId="0" fontId="213" fillId="65" borderId="224" applyNumberFormat="0" applyAlignment="0" applyProtection="0"/>
    <xf numFmtId="0" fontId="203" fillId="81" borderId="225" applyNumberFormat="0" applyFont="0" applyAlignment="0" applyProtection="0"/>
    <xf numFmtId="0" fontId="203" fillId="81" borderId="225" applyNumberFormat="0" applyFont="0" applyAlignment="0" applyProtection="0"/>
    <xf numFmtId="182" fontId="225" fillId="0" borderId="223" applyFill="0" applyProtection="0"/>
    <xf numFmtId="200" fontId="225" fillId="0" borderId="223" applyFill="0" applyProtection="0"/>
    <xf numFmtId="0" fontId="153" fillId="0" borderId="222">
      <alignment horizontal="left" vertical="center"/>
    </xf>
    <xf numFmtId="0" fontId="203" fillId="81" borderId="225" applyNumberFormat="0" applyFont="0" applyAlignment="0" applyProtection="0"/>
    <xf numFmtId="0" fontId="153" fillId="0" borderId="222">
      <alignment horizontal="left" vertical="center"/>
    </xf>
    <xf numFmtId="0" fontId="213" fillId="80" borderId="224" applyNumberFormat="0" applyAlignment="0" applyProtection="0"/>
    <xf numFmtId="0" fontId="8" fillId="81" borderId="225" applyNumberFormat="0" applyFont="0" applyAlignment="0" applyProtection="0"/>
    <xf numFmtId="182" fontId="225" fillId="0" borderId="223" applyFill="0" applyProtection="0"/>
    <xf numFmtId="200" fontId="225" fillId="0" borderId="223" applyFill="0" applyProtection="0"/>
    <xf numFmtId="182" fontId="225" fillId="0" borderId="223" applyFill="0" applyProtection="0"/>
    <xf numFmtId="200" fontId="225" fillId="0" borderId="223" applyFill="0" applyProtection="0"/>
    <xf numFmtId="0" fontId="153" fillId="0" borderId="222">
      <alignment horizontal="left" vertical="center"/>
    </xf>
    <xf numFmtId="0" fontId="203" fillId="81" borderId="216" applyNumberFormat="0" applyFont="0" applyAlignment="0" applyProtection="0"/>
    <xf numFmtId="182" fontId="225" fillId="0" borderId="223" applyFill="0" applyProtection="0"/>
    <xf numFmtId="200" fontId="225" fillId="0" borderId="223" applyFill="0" applyProtection="0"/>
    <xf numFmtId="0" fontId="176" fillId="81" borderId="225" applyNumberFormat="0" applyFont="0" applyAlignment="0" applyProtection="0"/>
    <xf numFmtId="0" fontId="203" fillId="81" borderId="225"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03" fillId="81" borderId="216" applyNumberFormat="0" applyFont="0" applyAlignment="0" applyProtection="0"/>
    <xf numFmtId="0" fontId="213" fillId="65" borderId="224" applyNumberFormat="0" applyAlignment="0" applyProtection="0"/>
    <xf numFmtId="0" fontId="238" fillId="59" borderId="233" applyNumberFormat="0" applyAlignment="0" applyProtection="0"/>
    <xf numFmtId="0" fontId="213" fillId="65" borderId="224" applyNumberFormat="0" applyAlignment="0" applyProtection="0"/>
    <xf numFmtId="0" fontId="181" fillId="0" borderId="0"/>
    <xf numFmtId="0" fontId="8" fillId="0" borderId="0"/>
    <xf numFmtId="0" fontId="8" fillId="0" borderId="0"/>
    <xf numFmtId="9" fontId="8"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4" fontId="203" fillId="0" borderId="0" applyFont="0" applyFill="0" applyBorder="0" applyAlignment="0" applyProtection="0"/>
    <xf numFmtId="43" fontId="43" fillId="0" borderId="0" applyFont="0" applyFill="0" applyBorder="0" applyAlignment="0" applyProtection="0"/>
    <xf numFmtId="9" fontId="155"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8" fillId="0" borderId="0"/>
    <xf numFmtId="0" fontId="155" fillId="0" borderId="0"/>
    <xf numFmtId="43" fontId="8" fillId="0" borderId="0" applyFont="0" applyFill="0" applyBorder="0" applyAlignment="0" applyProtection="0"/>
    <xf numFmtId="43" fontId="8" fillId="0" borderId="0" applyFont="0" applyFill="0" applyBorder="0" applyAlignment="0" applyProtection="0"/>
    <xf numFmtId="0" fontId="203" fillId="0" borderId="0"/>
    <xf numFmtId="43" fontId="8" fillId="0" borderId="0" applyFont="0" applyFill="0" applyBorder="0" applyAlignment="0" applyProtection="0"/>
    <xf numFmtId="182" fontId="225" fillId="0" borderId="241" applyFill="0" applyProtection="0"/>
    <xf numFmtId="200" fontId="225" fillId="0" borderId="241" applyFill="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43" fontId="1" fillId="0" borderId="0" applyFont="0" applyFill="0" applyBorder="0" applyAlignment="0" applyProtection="0"/>
    <xf numFmtId="9" fontId="8" fillId="0" borderId="0" applyFont="0" applyFill="0" applyBorder="0" applyAlignment="0" applyProtection="0"/>
    <xf numFmtId="0" fontId="2" fillId="0" borderId="0"/>
    <xf numFmtId="0" fontId="203" fillId="0" borderId="0"/>
    <xf numFmtId="200" fontId="225" fillId="0" borderId="241" applyFill="0" applyProtection="0"/>
    <xf numFmtId="0" fontId="206" fillId="78" borderId="224" applyNumberFormat="0" applyAlignment="0" applyProtection="0"/>
    <xf numFmtId="0" fontId="238" fillId="59" borderId="224" applyNumberFormat="0" applyAlignment="0" applyProtection="0"/>
    <xf numFmtId="0" fontId="213" fillId="80" borderId="224" applyNumberFormat="0" applyAlignment="0" applyProtection="0"/>
    <xf numFmtId="0" fontId="213" fillId="80" borderId="224" applyNumberFormat="0" applyAlignment="0" applyProtection="0"/>
    <xf numFmtId="0" fontId="174" fillId="0" borderId="245" applyNumberFormat="0" applyFill="0" applyAlignment="0" applyProtection="0"/>
    <xf numFmtId="44" fontId="203" fillId="0" borderId="0" applyFont="0" applyFill="0" applyBorder="0" applyAlignment="0" applyProtection="0"/>
    <xf numFmtId="9" fontId="155" fillId="0" borderId="0" applyFont="0" applyFill="0" applyBorder="0" applyAlignment="0" applyProtection="0"/>
    <xf numFmtId="0" fontId="43"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4" fontId="2" fillId="0" borderId="0" applyFont="0" applyFill="0" applyBorder="0" applyAlignment="0" applyProtection="0"/>
    <xf numFmtId="0" fontId="203" fillId="0" borderId="0"/>
    <xf numFmtId="9" fontId="203" fillId="0" borderId="0" applyFont="0" applyFill="0" applyBorder="0" applyAlignment="0" applyProtection="0"/>
    <xf numFmtId="0" fontId="98" fillId="0" borderId="0"/>
    <xf numFmtId="0" fontId="1" fillId="0" borderId="0"/>
    <xf numFmtId="44" fontId="8" fillId="0" borderId="0" applyFont="0" applyFill="0" applyBorder="0" applyAlignment="0" applyProtection="0"/>
    <xf numFmtId="44" fontId="2" fillId="0" borderId="0" applyFont="0" applyFill="0" applyBorder="0" applyAlignment="0" applyProtection="0"/>
    <xf numFmtId="0" fontId="43" fillId="0" borderId="0"/>
    <xf numFmtId="9" fontId="181" fillId="0" borderId="0" applyFont="0" applyFill="0" applyBorder="0" applyAlignment="0" applyProtection="0"/>
    <xf numFmtId="9" fontId="155" fillId="0" borderId="0" applyFont="0" applyFill="0" applyBorder="0" applyAlignment="0" applyProtection="0"/>
    <xf numFmtId="44" fontId="2" fillId="0" borderId="0" applyFont="0" applyFill="0" applyBorder="0" applyAlignment="0" applyProtection="0"/>
    <xf numFmtId="0" fontId="155" fillId="0" borderId="0"/>
    <xf numFmtId="0" fontId="176" fillId="81" borderId="243" applyNumberFormat="0" applyFont="0" applyAlignment="0" applyProtection="0"/>
    <xf numFmtId="43" fontId="1" fillId="0" borderId="0" applyFont="0" applyFill="0" applyBorder="0" applyAlignment="0" applyProtection="0"/>
    <xf numFmtId="0" fontId="203" fillId="0" borderId="0"/>
    <xf numFmtId="0" fontId="213" fillId="65" borderId="233" applyNumberFormat="0" applyAlignment="0" applyProtection="0"/>
    <xf numFmtId="0" fontId="206" fillId="78" borderId="242" applyNumberFormat="0" applyAlignment="0" applyProtection="0"/>
    <xf numFmtId="0" fontId="8" fillId="0" borderId="0"/>
    <xf numFmtId="0" fontId="1" fillId="0" borderId="0"/>
    <xf numFmtId="0" fontId="8"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 fillId="0" borderId="0" applyFont="0" applyFill="0" applyBorder="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80" borderId="233" applyNumberFormat="0" applyAlignment="0" applyProtection="0"/>
    <xf numFmtId="0" fontId="213" fillId="65" borderId="233" applyNumberFormat="0" applyAlignment="0" applyProtection="0"/>
    <xf numFmtId="0" fontId="213" fillId="80" borderId="233" applyNumberFormat="0" applyAlignment="0" applyProtection="0"/>
    <xf numFmtId="0" fontId="8" fillId="81" borderId="234" applyNumberFormat="0" applyFont="0" applyAlignment="0" applyProtection="0"/>
    <xf numFmtId="0" fontId="176"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176" fillId="81" borderId="234" applyNumberFormat="0" applyFont="0" applyAlignment="0" applyProtection="0"/>
    <xf numFmtId="0" fontId="216" fillId="59" borderId="235" applyNumberFormat="0" applyAlignment="0" applyProtection="0"/>
    <xf numFmtId="0" fontId="174" fillId="0" borderId="236" applyNumberFormat="0" applyFill="0" applyAlignment="0" applyProtection="0"/>
    <xf numFmtId="0" fontId="206" fillId="78" borderId="233" applyNumberFormat="0" applyAlignment="0" applyProtection="0"/>
    <xf numFmtId="0" fontId="206" fillId="78" borderId="233" applyNumberFormat="0" applyAlignment="0" applyProtection="0"/>
    <xf numFmtId="182" fontId="225" fillId="0" borderId="232" applyFill="0" applyProtection="0"/>
    <xf numFmtId="182" fontId="225" fillId="0" borderId="232" applyFill="0" applyProtection="0"/>
    <xf numFmtId="182" fontId="225" fillId="0" borderId="232" applyFill="0" applyProtection="0"/>
    <xf numFmtId="200" fontId="225" fillId="0" borderId="232" applyFill="0" applyProtection="0"/>
    <xf numFmtId="200" fontId="225" fillId="0" borderId="232" applyFill="0" applyProtection="0"/>
    <xf numFmtId="200" fontId="225" fillId="0" borderId="232" applyFill="0" applyProtection="0"/>
    <xf numFmtId="0" fontId="153" fillId="0" borderId="231">
      <alignment horizontal="left" vertical="center"/>
    </xf>
    <xf numFmtId="0" fontId="229" fillId="83" borderId="237" applyAlignment="0">
      <alignment horizontal="center"/>
    </xf>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13" fillId="65" borderId="233" applyNumberFormat="0" applyAlignment="0" applyProtection="0"/>
    <xf numFmtId="0" fontId="229" fillId="83" borderId="237" applyAlignment="0">
      <alignment horizontal="center"/>
    </xf>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29" fillId="83" borderId="237" applyAlignment="0">
      <alignment horizontal="center"/>
    </xf>
    <xf numFmtId="0" fontId="229" fillId="83" borderId="237" applyAlignment="0">
      <alignment horizontal="center"/>
    </xf>
    <xf numFmtId="0" fontId="213" fillId="65" borderId="233" applyNumberFormat="0" applyAlignment="0" applyProtection="0"/>
    <xf numFmtId="0" fontId="216" fillId="78" borderId="235" applyNumberFormat="0" applyAlignment="0" applyProtection="0"/>
    <xf numFmtId="0" fontId="174" fillId="0" borderId="238" applyNumberFormat="0" applyFill="0" applyAlignment="0" applyProtection="0"/>
    <xf numFmtId="0" fontId="216" fillId="78" borderId="235" applyNumberFormat="0" applyAlignment="0" applyProtection="0"/>
    <xf numFmtId="0" fontId="174" fillId="0" borderId="238" applyNumberFormat="0" applyFill="0" applyAlignment="0" applyProtection="0"/>
    <xf numFmtId="182" fontId="225" fillId="0" borderId="232" applyFill="0" applyProtection="0"/>
    <xf numFmtId="200" fontId="225" fillId="0" borderId="232" applyFill="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03" fillId="81" borderId="234" applyNumberFormat="0" applyFont="0" applyAlignment="0" applyProtection="0"/>
    <xf numFmtId="0" fontId="213" fillId="65" borderId="233" applyNumberFormat="0" applyAlignment="0" applyProtection="0"/>
    <xf numFmtId="0" fontId="203" fillId="81" borderId="234" applyNumberFormat="0" applyFont="0" applyAlignment="0" applyProtection="0"/>
    <xf numFmtId="0" fontId="216" fillId="78" borderId="235" applyNumberFormat="0" applyAlignment="0" applyProtection="0"/>
    <xf numFmtId="0" fontId="174" fillId="0" borderId="238" applyNumberFormat="0" applyFill="0" applyAlignment="0" applyProtection="0"/>
    <xf numFmtId="0" fontId="249" fillId="59" borderId="233" applyNumberFormat="0" applyAlignment="0" applyProtection="0"/>
    <xf numFmtId="0" fontId="254" fillId="80" borderId="233" applyNumberFormat="0" applyAlignment="0" applyProtection="0"/>
    <xf numFmtId="0" fontId="257" fillId="59" borderId="235" applyNumberFormat="0" applyAlignment="0" applyProtection="0"/>
    <xf numFmtId="0" fontId="244" fillId="0" borderId="232" applyNumberFormat="0" applyFont="0" applyFill="0" applyAlignment="0" applyProtection="0"/>
    <xf numFmtId="0" fontId="178" fillId="0" borderId="239" applyProtection="0"/>
    <xf numFmtId="0" fontId="176" fillId="81" borderId="234" applyNumberFormat="0" applyFont="0" applyAlignment="0" applyProtection="0"/>
    <xf numFmtId="0" fontId="8" fillId="81" borderId="234" applyNumberFormat="0" applyFont="0" applyAlignment="0" applyProtection="0"/>
    <xf numFmtId="182" fontId="225" fillId="0" borderId="232" applyFill="0" applyProtection="0"/>
    <xf numFmtId="200" fontId="225" fillId="0" borderId="232" applyFill="0" applyProtection="0"/>
    <xf numFmtId="0" fontId="213" fillId="65" borderId="233" applyNumberFormat="0" applyAlignment="0" applyProtection="0"/>
    <xf numFmtId="0" fontId="203" fillId="81" borderId="234" applyNumberFormat="0" applyFont="0" applyAlignment="0" applyProtection="0"/>
    <xf numFmtId="0" fontId="203" fillId="81" borderId="234" applyNumberFormat="0" applyFont="0" applyAlignment="0" applyProtection="0"/>
    <xf numFmtId="182" fontId="225" fillId="0" borderId="232" applyFill="0" applyProtection="0"/>
    <xf numFmtId="200" fontId="225" fillId="0" borderId="232" applyFill="0" applyProtection="0"/>
    <xf numFmtId="0" fontId="153" fillId="0" borderId="231">
      <alignment horizontal="left" vertical="center"/>
    </xf>
    <xf numFmtId="0" fontId="203" fillId="81" borderId="234" applyNumberFormat="0" applyFont="0" applyAlignment="0" applyProtection="0"/>
    <xf numFmtId="0" fontId="153" fillId="0" borderId="231">
      <alignment horizontal="left" vertical="center"/>
    </xf>
    <xf numFmtId="0" fontId="213" fillId="80" borderId="233" applyNumberFormat="0" applyAlignment="0" applyProtection="0"/>
    <xf numFmtId="0" fontId="8" fillId="81" borderId="234" applyNumberFormat="0" applyFont="0" applyAlignment="0" applyProtection="0"/>
    <xf numFmtId="182" fontId="225" fillId="0" borderId="232" applyFill="0" applyProtection="0"/>
    <xf numFmtId="200" fontId="225" fillId="0" borderId="232" applyFill="0" applyProtection="0"/>
    <xf numFmtId="182" fontId="225" fillId="0" borderId="232" applyFill="0" applyProtection="0"/>
    <xf numFmtId="200" fontId="225" fillId="0" borderId="232" applyFill="0" applyProtection="0"/>
    <xf numFmtId="0" fontId="153" fillId="0" borderId="231">
      <alignment horizontal="left" vertical="center"/>
    </xf>
    <xf numFmtId="182" fontId="225" fillId="0" borderId="232" applyFill="0" applyProtection="0"/>
    <xf numFmtId="200" fontId="225" fillId="0" borderId="232" applyFill="0" applyProtection="0"/>
    <xf numFmtId="0" fontId="176" fillId="81" borderId="234" applyNumberFormat="0" applyFont="0" applyAlignment="0" applyProtection="0"/>
    <xf numFmtId="0" fontId="203" fillId="81" borderId="234" applyNumberFormat="0" applyFont="0" applyAlignment="0" applyProtection="0"/>
    <xf numFmtId="0" fontId="213" fillId="65" borderId="233" applyNumberFormat="0" applyAlignment="0" applyProtection="0"/>
    <xf numFmtId="0" fontId="229" fillId="83" borderId="201" applyAlignment="0">
      <alignment horizontal="center"/>
    </xf>
    <xf numFmtId="0" fontId="203" fillId="81" borderId="216" applyNumberFormat="0" applyFont="0" applyAlignment="0" applyProtection="0"/>
    <xf numFmtId="200" fontId="225" fillId="0" borderId="430" applyFill="0" applyProtection="0"/>
    <xf numFmtId="0" fontId="249" fillId="59" borderId="278" applyNumberFormat="0" applyAlignment="0" applyProtection="0"/>
    <xf numFmtId="0" fontId="206" fillId="78" borderId="422" applyNumberFormat="0" applyAlignment="0" applyProtection="0"/>
    <xf numFmtId="0" fontId="8" fillId="81" borderId="306" applyNumberFormat="0" applyFont="0" applyAlignment="0" applyProtection="0"/>
    <xf numFmtId="0" fontId="203" fillId="81" borderId="585" applyNumberFormat="0" applyFont="0" applyAlignment="0" applyProtection="0"/>
    <xf numFmtId="0" fontId="213" fillId="65" borderId="242" applyNumberForma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557" applyNumberFormat="0" applyAlignment="0" applyProtection="0"/>
    <xf numFmtId="0" fontId="213" fillId="65" borderId="296" applyNumberFormat="0" applyAlignment="0" applyProtection="0"/>
    <xf numFmtId="0" fontId="174" fillId="0" borderId="552" applyNumberFormat="0" applyFill="0" applyAlignment="0" applyProtection="0"/>
    <xf numFmtId="200" fontId="225" fillId="0" borderId="547" applyFill="0" applyProtection="0"/>
    <xf numFmtId="0" fontId="203" fillId="81" borderId="324" applyNumberFormat="0" applyFont="0" applyAlignment="0" applyProtection="0"/>
    <xf numFmtId="0" fontId="213" fillId="80" borderId="458" applyNumberFormat="0" applyAlignment="0" applyProtection="0"/>
    <xf numFmtId="182" fontId="225" fillId="0" borderId="241" applyFill="0" applyProtection="0"/>
    <xf numFmtId="200" fontId="225" fillId="0" borderId="241" applyFill="0" applyProtection="0"/>
    <xf numFmtId="0" fontId="213" fillId="80" borderId="377" applyNumberFormat="0" applyAlignment="0" applyProtection="0"/>
    <xf numFmtId="0" fontId="203" fillId="81" borderId="306" applyNumberFormat="0" applyFont="0" applyAlignment="0" applyProtection="0"/>
    <xf numFmtId="200" fontId="225" fillId="0" borderId="502" applyFill="0" applyProtection="0"/>
    <xf numFmtId="0" fontId="213" fillId="65" borderId="296" applyNumberFormat="0" applyAlignment="0" applyProtection="0"/>
    <xf numFmtId="0" fontId="153" fillId="0" borderId="456">
      <alignment horizontal="left" vertical="center"/>
    </xf>
    <xf numFmtId="0" fontId="213" fillId="65" borderId="512" applyNumberFormat="0" applyAlignment="0" applyProtection="0"/>
    <xf numFmtId="0" fontId="176" fillId="81" borderId="477" applyNumberFormat="0" applyFont="0" applyAlignment="0" applyProtection="0"/>
    <xf numFmtId="0" fontId="213" fillId="65" borderId="431" applyNumberFormat="0" applyAlignment="0" applyProtection="0"/>
    <xf numFmtId="0" fontId="203" fillId="81" borderId="387" applyNumberFormat="0" applyFont="0" applyAlignment="0" applyProtection="0"/>
    <xf numFmtId="200" fontId="225" fillId="0" borderId="601" applyFill="0" applyProtection="0"/>
    <xf numFmtId="0" fontId="213" fillId="65" borderId="341" applyNumberFormat="0" applyAlignment="0" applyProtection="0"/>
    <xf numFmtId="0" fontId="213" fillId="65" borderId="566" applyNumberFormat="0" applyAlignment="0" applyProtection="0"/>
    <xf numFmtId="0" fontId="203" fillId="81" borderId="369" applyNumberFormat="0" applyFont="0" applyAlignment="0" applyProtection="0"/>
    <xf numFmtId="0" fontId="213" fillId="65" borderId="386" applyNumberFormat="0" applyAlignment="0" applyProtection="0"/>
    <xf numFmtId="200" fontId="225" fillId="0" borderId="277" applyFill="0" applyProtection="0"/>
    <xf numFmtId="0" fontId="203" fillId="81" borderId="513"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174" fillId="0" borderId="462" applyNumberFormat="0" applyFill="0" applyAlignment="0" applyProtection="0"/>
    <xf numFmtId="0" fontId="174" fillId="0" borderId="472" applyNumberFormat="0" applyFill="0" applyAlignment="0" applyProtection="0"/>
    <xf numFmtId="0" fontId="213" fillId="65" borderId="296" applyNumberFormat="0" applyAlignment="0" applyProtection="0"/>
    <xf numFmtId="200" fontId="225" fillId="0" borderId="295" applyFill="0" applyProtection="0"/>
    <xf numFmtId="0" fontId="213" fillId="65" borderId="413" applyNumberFormat="0" applyAlignment="0" applyProtection="0"/>
    <xf numFmtId="0" fontId="203" fillId="81" borderId="297" applyNumberFormat="0" applyFont="0" applyAlignment="0" applyProtection="0"/>
    <xf numFmtId="0" fontId="174" fillId="0" borderId="517" applyNumberFormat="0" applyFill="0" applyAlignment="0" applyProtection="0"/>
    <xf numFmtId="0" fontId="229" fillId="83" borderId="516" applyAlignment="0">
      <alignment horizontal="center"/>
    </xf>
    <xf numFmtId="0" fontId="213" fillId="65" borderId="296" applyNumberFormat="0" applyAlignment="0" applyProtection="0"/>
    <xf numFmtId="0" fontId="213" fillId="65" borderId="422"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324" applyNumberFormat="0" applyFont="0" applyAlignment="0" applyProtection="0"/>
    <xf numFmtId="0" fontId="213" fillId="65" borderId="296" applyNumberFormat="0" applyAlignment="0" applyProtection="0"/>
    <xf numFmtId="0" fontId="203" fillId="81" borderId="459" applyNumberFormat="0" applyFont="0" applyAlignment="0" applyProtection="0"/>
    <xf numFmtId="182" fontId="225" fillId="0" borderId="466" applyFill="0" applyProtection="0"/>
    <xf numFmtId="0" fontId="216" fillId="78" borderId="298"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296" applyNumberFormat="0" applyAlignment="0" applyProtection="0"/>
    <xf numFmtId="0" fontId="213" fillId="65" borderId="503" applyNumberFormat="0" applyAlignment="0" applyProtection="0"/>
    <xf numFmtId="0" fontId="203" fillId="0" borderId="0"/>
    <xf numFmtId="0" fontId="203" fillId="81" borderId="477" applyNumberFormat="0" applyFont="0" applyAlignment="0" applyProtection="0"/>
    <xf numFmtId="0" fontId="213" fillId="65" borderId="521" applyNumberFormat="0" applyAlignment="0" applyProtection="0"/>
    <xf numFmtId="0" fontId="203" fillId="81" borderId="387" applyNumberFormat="0" applyFont="0" applyAlignment="0" applyProtection="0"/>
    <xf numFmtId="0" fontId="213" fillId="65" borderId="341" applyNumberFormat="0" applyAlignment="0" applyProtection="0"/>
    <xf numFmtId="200" fontId="225" fillId="0" borderId="466" applyFill="0" applyProtection="0"/>
    <xf numFmtId="0" fontId="213" fillId="65" borderId="341" applyNumberFormat="0" applyAlignment="0" applyProtection="0"/>
    <xf numFmtId="0" fontId="153" fillId="0" borderId="384">
      <alignment horizontal="left" vertical="center"/>
    </xf>
    <xf numFmtId="0" fontId="213" fillId="65" borderId="341" applyNumberFormat="0" applyAlignment="0" applyProtection="0"/>
    <xf numFmtId="0" fontId="213" fillId="65" borderId="386" applyNumberFormat="0" applyAlignment="0" applyProtection="0"/>
    <xf numFmtId="0" fontId="213" fillId="65" borderId="512" applyNumberFormat="0" applyAlignment="0" applyProtection="0"/>
    <xf numFmtId="0" fontId="203" fillId="81" borderId="459" applyNumberFormat="0" applyFont="0" applyAlignment="0" applyProtection="0"/>
    <xf numFmtId="200" fontId="225" fillId="0" borderId="385" applyFill="0" applyProtection="0"/>
    <xf numFmtId="0" fontId="213" fillId="65" borderId="548" applyNumberFormat="0" applyAlignment="0" applyProtection="0"/>
    <xf numFmtId="0" fontId="213" fillId="65" borderId="341" applyNumberFormat="0" applyAlignment="0" applyProtection="0"/>
    <xf numFmtId="43" fontId="203" fillId="0" borderId="0" applyFont="0" applyFill="0" applyBorder="0" applyAlignment="0" applyProtection="0"/>
    <xf numFmtId="0" fontId="203" fillId="81" borderId="342" applyNumberFormat="0" applyFont="0" applyAlignment="0" applyProtection="0"/>
    <xf numFmtId="0" fontId="229" fillId="83" borderId="345" applyAlignment="0">
      <alignment horizontal="center"/>
    </xf>
    <xf numFmtId="0" fontId="203" fillId="81" borderId="549"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200" fontId="225" fillId="0" borderId="385" applyFill="0" applyProtection="0"/>
    <xf numFmtId="0" fontId="213" fillId="65" borderId="386" applyNumberFormat="0" applyAlignment="0" applyProtection="0"/>
    <xf numFmtId="0" fontId="213" fillId="65" borderId="386" applyNumberFormat="0" applyAlignment="0" applyProtection="0"/>
    <xf numFmtId="0" fontId="254" fillId="80" borderId="323" applyNumberFormat="0" applyAlignment="0" applyProtection="0"/>
    <xf numFmtId="0" fontId="203" fillId="81" borderId="342" applyNumberFormat="0" applyFont="0" applyAlignment="0" applyProtection="0"/>
    <xf numFmtId="0" fontId="216" fillId="78" borderId="343" applyNumberFormat="0" applyAlignment="0" applyProtection="0"/>
    <xf numFmtId="0" fontId="203" fillId="81" borderId="342" applyNumberFormat="0" applyFont="0" applyAlignment="0" applyProtection="0"/>
    <xf numFmtId="200" fontId="225" fillId="0" borderId="340" applyFill="0" applyProtection="0"/>
    <xf numFmtId="0" fontId="229" fillId="83" borderId="345" applyAlignment="0">
      <alignment horizontal="center"/>
    </xf>
    <xf numFmtId="0" fontId="213" fillId="65" borderId="341" applyNumberFormat="0" applyAlignment="0" applyProtection="0"/>
    <xf numFmtId="0" fontId="229" fillId="83" borderId="345" applyAlignment="0">
      <alignment horizontal="center"/>
    </xf>
    <xf numFmtId="0" fontId="203" fillId="81" borderId="342" applyNumberFormat="0" applyFont="0" applyAlignment="0" applyProtection="0"/>
    <xf numFmtId="0" fontId="213" fillId="65" borderId="593" applyNumberFormat="0" applyAlignment="0" applyProtection="0"/>
    <xf numFmtId="0" fontId="206" fillId="78" borderId="512" applyNumberFormat="0" applyAlignment="0" applyProtection="0"/>
    <xf numFmtId="0" fontId="213" fillId="65" borderId="368" applyNumberFormat="0" applyAlignment="0" applyProtection="0"/>
    <xf numFmtId="0" fontId="213" fillId="80" borderId="377" applyNumberFormat="0" applyAlignment="0" applyProtection="0"/>
    <xf numFmtId="0" fontId="203" fillId="81" borderId="378" applyNumberFormat="0" applyFont="0" applyAlignment="0" applyProtection="0"/>
    <xf numFmtId="0" fontId="254" fillId="80" borderId="431" applyNumberFormat="0" applyAlignment="0" applyProtection="0"/>
    <xf numFmtId="0" fontId="213" fillId="80" borderId="593" applyNumberFormat="0" applyAlignment="0" applyProtection="0"/>
    <xf numFmtId="0" fontId="203" fillId="81" borderId="378" applyNumberFormat="0" applyFont="0" applyAlignment="0" applyProtection="0"/>
    <xf numFmtId="0" fontId="213" fillId="80" borderId="602" applyNumberFormat="0" applyAlignment="0" applyProtection="0"/>
    <xf numFmtId="0" fontId="213" fillId="65" borderId="566" applyNumberFormat="0" applyAlignment="0" applyProtection="0"/>
    <xf numFmtId="182" fontId="225" fillId="0" borderId="412" applyFill="0" applyProtection="0"/>
    <xf numFmtId="0" fontId="174" fillId="0" borderId="327" applyNumberFormat="0" applyFill="0" applyAlignment="0" applyProtection="0"/>
    <xf numFmtId="0" fontId="174" fillId="0" borderId="461" applyNumberFormat="0" applyFill="0" applyAlignment="0" applyProtection="0"/>
    <xf numFmtId="0" fontId="229" fillId="83" borderId="300" applyAlignment="0">
      <alignment horizontal="center"/>
    </xf>
    <xf numFmtId="0" fontId="206" fillId="78" borderId="323" applyNumberFormat="0" applyAlignment="0" applyProtection="0"/>
    <xf numFmtId="0" fontId="213" fillId="65" borderId="323" applyNumberFormat="0" applyAlignment="0" applyProtection="0"/>
    <xf numFmtId="0" fontId="203" fillId="81" borderId="549" applyNumberFormat="0" applyFont="0" applyAlignment="0" applyProtection="0"/>
    <xf numFmtId="0" fontId="213" fillId="65" borderId="323" applyNumberFormat="0" applyAlignment="0" applyProtection="0"/>
    <xf numFmtId="0" fontId="206" fillId="78" borderId="458" applyNumberFormat="0" applyAlignment="0" applyProtection="0"/>
    <xf numFmtId="0" fontId="213" fillId="65" borderId="548" applyNumberFormat="0" applyAlignment="0" applyProtection="0"/>
    <xf numFmtId="0" fontId="176" fillId="81" borderId="261" applyNumberFormat="0" applyFont="0" applyAlignment="0" applyProtection="0"/>
    <xf numFmtId="0" fontId="213" fillId="65" borderId="413" applyNumberFormat="0" applyAlignment="0" applyProtection="0"/>
    <xf numFmtId="0" fontId="213" fillId="65" borderId="368" applyNumberFormat="0" applyAlignment="0" applyProtection="0"/>
    <xf numFmtId="200" fontId="225" fillId="0" borderId="421" applyFill="0" applyProtection="0"/>
    <xf numFmtId="0" fontId="203" fillId="81" borderId="513" applyNumberFormat="0" applyFont="0" applyAlignment="0" applyProtection="0"/>
    <xf numFmtId="182" fontId="225" fillId="0" borderId="502" applyFill="0" applyProtection="0"/>
    <xf numFmtId="0" fontId="203" fillId="81" borderId="324" applyNumberFormat="0" applyFont="0" applyAlignment="0" applyProtection="0"/>
    <xf numFmtId="0" fontId="213" fillId="80" borderId="296" applyNumberFormat="0" applyAlignment="0" applyProtection="0"/>
    <xf numFmtId="200" fontId="225" fillId="0" borderId="295" applyFill="0" applyProtection="0"/>
    <xf numFmtId="0" fontId="213" fillId="65" borderId="593" applyNumberFormat="0" applyAlignment="0" applyProtection="0"/>
    <xf numFmtId="0" fontId="213" fillId="65" borderId="296" applyNumberFormat="0" applyAlignment="0" applyProtection="0"/>
    <xf numFmtId="0" fontId="203" fillId="81" borderId="324" applyNumberFormat="0" applyFont="0" applyAlignment="0" applyProtection="0"/>
    <xf numFmtId="0" fontId="203" fillId="81" borderId="612" applyNumberFormat="0" applyFont="0" applyAlignment="0" applyProtection="0"/>
    <xf numFmtId="0" fontId="174" fillId="0" borderId="299" applyNumberFormat="0" applyFill="0" applyAlignment="0" applyProtection="0"/>
    <xf numFmtId="182" fontId="225" fillId="0" borderId="277" applyFill="0" applyProtection="0"/>
    <xf numFmtId="0" fontId="213" fillId="80" borderId="296" applyNumberFormat="0" applyAlignment="0" applyProtection="0"/>
    <xf numFmtId="0" fontId="213" fillId="65" borderId="548" applyNumberFormat="0" applyAlignment="0" applyProtection="0"/>
    <xf numFmtId="182" fontId="225" fillId="0" borderId="295" applyFill="0" applyProtection="0"/>
    <xf numFmtId="0" fontId="213" fillId="65" borderId="296" applyNumberFormat="0" applyAlignment="0" applyProtection="0"/>
    <xf numFmtId="0" fontId="213" fillId="65" borderId="323" applyNumberFormat="0" applyAlignment="0" applyProtection="0"/>
    <xf numFmtId="0" fontId="213" fillId="65" borderId="296" applyNumberFormat="0" applyAlignment="0" applyProtection="0"/>
    <xf numFmtId="0" fontId="213" fillId="80" borderId="512" applyNumberFormat="0" applyAlignment="0" applyProtection="0"/>
    <xf numFmtId="0" fontId="203" fillId="81" borderId="297" applyNumberFormat="0" applyFont="0" applyAlignment="0" applyProtection="0"/>
    <xf numFmtId="0" fontId="213" fillId="65" borderId="296" applyNumberFormat="0" applyAlignment="0" applyProtection="0"/>
    <xf numFmtId="0" fontId="174" fillId="0" borderId="417" applyNumberFormat="0" applyFill="0" applyAlignment="0" applyProtection="0"/>
    <xf numFmtId="0" fontId="213" fillId="65" borderId="323" applyNumberFormat="0" applyAlignment="0" applyProtection="0"/>
    <xf numFmtId="0" fontId="213" fillId="65" borderId="296" applyNumberFormat="0" applyAlignment="0" applyProtection="0"/>
    <xf numFmtId="0" fontId="8" fillId="81" borderId="540" applyNumberFormat="0" applyFont="0" applyAlignment="0" applyProtection="0"/>
    <xf numFmtId="0" fontId="213" fillId="65" borderId="296" applyNumberFormat="0" applyAlignment="0" applyProtection="0"/>
    <xf numFmtId="0" fontId="206" fillId="78" borderId="512"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153" fillId="0" borderId="501">
      <alignment horizontal="left" vertical="center"/>
    </xf>
    <xf numFmtId="0" fontId="213" fillId="65" borderId="458" applyNumberFormat="0" applyAlignment="0" applyProtection="0"/>
    <xf numFmtId="0" fontId="216" fillId="78" borderId="505" applyNumberFormat="0" applyAlignment="0" applyProtection="0"/>
    <xf numFmtId="0" fontId="213" fillId="65" borderId="296" applyNumberFormat="0" applyAlignment="0" applyProtection="0"/>
    <xf numFmtId="0" fontId="203" fillId="81" borderId="468" applyNumberFormat="0" applyFont="0" applyAlignment="0" applyProtection="0"/>
    <xf numFmtId="0" fontId="213" fillId="65" borderId="296" applyNumberFormat="0" applyAlignment="0" applyProtection="0"/>
    <xf numFmtId="200" fontId="225" fillId="0" borderId="520" applyFill="0" applyProtection="0"/>
    <xf numFmtId="0" fontId="153" fillId="0" borderId="294">
      <alignment horizontal="left" vertical="center"/>
    </xf>
    <xf numFmtId="0" fontId="206" fillId="78" borderId="296" applyNumberFormat="0" applyAlignment="0" applyProtection="0"/>
    <xf numFmtId="0" fontId="216" fillId="59" borderId="298" applyNumberFormat="0" applyAlignment="0" applyProtection="0"/>
    <xf numFmtId="0" fontId="176" fillId="81" borderId="297" applyNumberFormat="0" applyFont="0" applyAlignment="0" applyProtection="0"/>
    <xf numFmtId="0" fontId="213" fillId="80" borderId="368" applyNumberFormat="0" applyAlignment="0" applyProtection="0"/>
    <xf numFmtId="0" fontId="176" fillId="81" borderId="594" applyNumberFormat="0" applyFont="0" applyAlignment="0" applyProtection="0"/>
    <xf numFmtId="0" fontId="213" fillId="65" borderId="458" applyNumberFormat="0" applyAlignment="0" applyProtection="0"/>
    <xf numFmtId="0" fontId="249" fillId="59" borderId="512" applyNumberFormat="0" applyAlignment="0" applyProtection="0"/>
    <xf numFmtId="182" fontId="225" fillId="0" borderId="241" applyFill="0" applyProtection="0"/>
    <xf numFmtId="182" fontId="225" fillId="0" borderId="610" applyFill="0" applyProtection="0"/>
    <xf numFmtId="200" fontId="225" fillId="0" borderId="241" applyFill="0" applyProtection="0"/>
    <xf numFmtId="200" fontId="225" fillId="0" borderId="412" applyFill="0" applyProtection="0"/>
    <xf numFmtId="0" fontId="153" fillId="0" borderId="240">
      <alignment horizontal="left" vertical="center"/>
    </xf>
    <xf numFmtId="0" fontId="153" fillId="0" borderId="240">
      <alignment horizontal="left" vertical="center"/>
    </xf>
    <xf numFmtId="0" fontId="213" fillId="65" borderId="242" applyNumberFormat="0" applyAlignment="0" applyProtection="0"/>
    <xf numFmtId="0" fontId="213" fillId="65" borderId="557" applyNumberFormat="0" applyAlignment="0" applyProtection="0"/>
    <xf numFmtId="0" fontId="213" fillId="65" borderId="521" applyNumberFormat="0" applyAlignment="0" applyProtection="0"/>
    <xf numFmtId="0" fontId="213" fillId="80" borderId="242" applyNumberFormat="0" applyAlignment="0" applyProtection="0"/>
    <xf numFmtId="0" fontId="213" fillId="65" borderId="278" applyNumberFormat="0" applyAlignment="0" applyProtection="0"/>
    <xf numFmtId="0" fontId="216" fillId="78" borderId="343" applyNumberFormat="0" applyAlignment="0" applyProtection="0"/>
    <xf numFmtId="0" fontId="203" fillId="81" borderId="549" applyNumberFormat="0" applyFont="0" applyAlignment="0" applyProtection="0"/>
    <xf numFmtId="0" fontId="213" fillId="65" borderId="557" applyNumberFormat="0" applyAlignment="0" applyProtection="0"/>
    <xf numFmtId="0" fontId="213" fillId="65" borderId="521" applyNumberFormat="0" applyAlignment="0" applyProtection="0"/>
    <xf numFmtId="0" fontId="203" fillId="81" borderId="594" applyNumberFormat="0" applyFont="0" applyAlignment="0" applyProtection="0"/>
    <xf numFmtId="0" fontId="213" fillId="65" borderId="458" applyNumberFormat="0" applyAlignment="0" applyProtection="0"/>
    <xf numFmtId="0" fontId="213" fillId="65" borderId="368" applyNumberFormat="0" applyAlignment="0" applyProtection="0"/>
    <xf numFmtId="0" fontId="203" fillId="81" borderId="450" applyNumberFormat="0" applyFont="0" applyAlignment="0" applyProtection="0"/>
    <xf numFmtId="182" fontId="225" fillId="0" borderId="430" applyFill="0" applyProtection="0"/>
    <xf numFmtId="182" fontId="225" fillId="0" borderId="241" applyFill="0" applyProtection="0"/>
    <xf numFmtId="0" fontId="8" fillId="81" borderId="459" applyNumberFormat="0" applyFont="0" applyAlignment="0" applyProtection="0"/>
    <xf numFmtId="200" fontId="225" fillId="0" borderId="241" applyFill="0" applyProtection="0"/>
    <xf numFmtId="0" fontId="203" fillId="81" borderId="459" applyNumberFormat="0" applyFont="0" applyAlignment="0" applyProtection="0"/>
    <xf numFmtId="0" fontId="213" fillId="65" borderId="368" applyNumberFormat="0" applyAlignment="0" applyProtection="0"/>
    <xf numFmtId="0" fontId="238" fillId="59" borderId="287" applyNumberFormat="0" applyAlignment="0" applyProtection="0"/>
    <xf numFmtId="0" fontId="213" fillId="65" borderId="503" applyNumberFormat="0" applyAlignment="0" applyProtection="0"/>
    <xf numFmtId="0" fontId="203" fillId="81" borderId="504" applyNumberFormat="0" applyFont="0" applyAlignment="0" applyProtection="0"/>
    <xf numFmtId="0" fontId="213" fillId="65" borderId="548" applyNumberFormat="0" applyAlignment="0" applyProtection="0"/>
    <xf numFmtId="0" fontId="203" fillId="81" borderId="369" applyNumberFormat="0" applyFont="0" applyAlignment="0" applyProtection="0"/>
    <xf numFmtId="0" fontId="203" fillId="81" borderId="459" applyNumberFormat="0" applyFont="0" applyAlignment="0" applyProtection="0"/>
    <xf numFmtId="0" fontId="213" fillId="65" borderId="296" applyNumberFormat="0" applyAlignment="0" applyProtection="0"/>
    <xf numFmtId="0" fontId="203" fillId="81" borderId="522" applyNumberFormat="0" applyFont="0" applyAlignment="0" applyProtection="0"/>
    <xf numFmtId="0" fontId="153" fillId="0" borderId="474">
      <alignment horizontal="left" vertical="center"/>
    </xf>
    <xf numFmtId="182" fontId="225" fillId="0" borderId="241" applyFill="0" applyProtection="0"/>
    <xf numFmtId="0" fontId="203" fillId="81" borderId="423" applyNumberFormat="0" applyFont="0" applyAlignment="0" applyProtection="0"/>
    <xf numFmtId="200" fontId="225" fillId="0" borderId="241" applyFill="0" applyProtection="0"/>
    <xf numFmtId="0" fontId="249" fillId="59" borderId="458" applyNumberFormat="0" applyAlignment="0" applyProtection="0"/>
    <xf numFmtId="0" fontId="229" fillId="83" borderId="543" applyAlignment="0">
      <alignment horizontal="center"/>
    </xf>
    <xf numFmtId="0" fontId="213" fillId="65" borderId="323" applyNumberFormat="0" applyAlignment="0" applyProtection="0"/>
    <xf numFmtId="0" fontId="178" fillId="0" borderId="617" applyProtection="0"/>
    <xf numFmtId="0" fontId="213" fillId="65" borderId="548" applyNumberFormat="0" applyAlignment="0" applyProtection="0"/>
    <xf numFmtId="182" fontId="225" fillId="0" borderId="601" applyFill="0" applyProtection="0"/>
    <xf numFmtId="0" fontId="153" fillId="0" borderId="240">
      <alignment horizontal="left" vertical="center"/>
    </xf>
    <xf numFmtId="0" fontId="176" fillId="81" borderId="549" applyNumberFormat="0" applyFont="0" applyAlignment="0" applyProtection="0"/>
    <xf numFmtId="0" fontId="213" fillId="65" borderId="458" applyNumberFormat="0" applyAlignment="0" applyProtection="0"/>
    <xf numFmtId="182" fontId="225" fillId="0" borderId="295" applyFill="0" applyProtection="0"/>
    <xf numFmtId="182" fontId="225" fillId="0" borderId="241" applyFill="0" applyProtection="0"/>
    <xf numFmtId="0" fontId="213" fillId="65" borderId="431" applyNumberFormat="0" applyAlignment="0" applyProtection="0"/>
    <xf numFmtId="200" fontId="225" fillId="0" borderId="241" applyFill="0" applyProtection="0"/>
    <xf numFmtId="0" fontId="174" fillId="0" borderId="551" applyNumberFormat="0" applyFill="0" applyAlignment="0" applyProtection="0"/>
    <xf numFmtId="0" fontId="176" fillId="81" borderId="612" applyNumberFormat="0" applyFont="0" applyAlignment="0" applyProtection="0"/>
    <xf numFmtId="182" fontId="225" fillId="0" borderId="322" applyFill="0" applyProtection="0"/>
    <xf numFmtId="0" fontId="203" fillId="81" borderId="306" applyNumberFormat="0" applyFont="0" applyAlignment="0" applyProtection="0"/>
    <xf numFmtId="0" fontId="203" fillId="81" borderId="504" applyNumberFormat="0" applyFont="0" applyAlignment="0" applyProtection="0"/>
    <xf numFmtId="0" fontId="244" fillId="0" borderId="322" applyNumberFormat="0" applyFont="0" applyFill="0" applyAlignment="0" applyProtection="0"/>
    <xf numFmtId="0" fontId="213" fillId="65" borderId="377" applyNumberFormat="0" applyAlignment="0" applyProtection="0"/>
    <xf numFmtId="0" fontId="213" fillId="80" borderId="296" applyNumberFormat="0" applyAlignment="0" applyProtection="0"/>
    <xf numFmtId="0" fontId="203" fillId="81" borderId="369" applyNumberFormat="0" applyFont="0" applyAlignment="0" applyProtection="0"/>
    <xf numFmtId="0" fontId="213" fillId="65" borderId="512" applyNumberFormat="0" applyAlignment="0" applyProtection="0"/>
    <xf numFmtId="0" fontId="249" fillId="59" borderId="413" applyNumberFormat="0" applyAlignment="0" applyProtection="0"/>
    <xf numFmtId="0" fontId="203" fillId="81" borderId="378" applyNumberFormat="0" applyFont="0" applyAlignment="0" applyProtection="0"/>
    <xf numFmtId="0" fontId="229" fillId="83" borderId="426" applyAlignment="0">
      <alignment horizontal="center"/>
    </xf>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476" applyNumberFormat="0" applyAlignment="0" applyProtection="0"/>
    <xf numFmtId="0" fontId="8" fillId="81" borderId="387" applyNumberFormat="0" applyFont="0" applyAlignment="0" applyProtection="0"/>
    <xf numFmtId="0" fontId="153" fillId="0" borderId="546">
      <alignment horizontal="left" vertical="center"/>
    </xf>
    <xf numFmtId="0" fontId="213" fillId="65" borderId="242" applyNumberFormat="0" applyAlignment="0" applyProtection="0"/>
    <xf numFmtId="0" fontId="206" fillId="78" borderId="512" applyNumberFormat="0" applyAlignment="0" applyProtection="0"/>
    <xf numFmtId="0" fontId="213" fillId="65" borderId="341" applyNumberFormat="0" applyAlignment="0" applyProtection="0"/>
    <xf numFmtId="0" fontId="203" fillId="81" borderId="414" applyNumberFormat="0" applyFont="0" applyAlignment="0" applyProtection="0"/>
    <xf numFmtId="0" fontId="213" fillId="65" borderId="323" applyNumberFormat="0" applyAlignment="0" applyProtection="0"/>
    <xf numFmtId="182" fontId="225" fillId="0" borderId="610" applyFill="0" applyProtection="0"/>
    <xf numFmtId="0" fontId="8" fillId="81" borderId="414" applyNumberFormat="0" applyFont="0" applyAlignment="0" applyProtection="0"/>
    <xf numFmtId="0" fontId="213" fillId="65" borderId="548" applyNumberFormat="0" applyAlignment="0" applyProtection="0"/>
    <xf numFmtId="0" fontId="213" fillId="65" borderId="539" applyNumberFormat="0" applyAlignment="0" applyProtection="0"/>
    <xf numFmtId="182" fontId="225" fillId="0" borderId="412" applyFill="0" applyProtection="0"/>
    <xf numFmtId="0" fontId="213" fillId="65" borderId="611" applyNumberFormat="0" applyAlignment="0" applyProtection="0"/>
    <xf numFmtId="182" fontId="225" fillId="0" borderId="466" applyFill="0" applyProtection="0"/>
    <xf numFmtId="0" fontId="203" fillId="81" borderId="288" applyNumberFormat="0" applyFont="0" applyAlignment="0" applyProtection="0"/>
    <xf numFmtId="0" fontId="213" fillId="65" borderId="431" applyNumberFormat="0" applyAlignment="0" applyProtection="0"/>
    <xf numFmtId="182" fontId="225" fillId="0" borderId="295" applyFill="0" applyProtection="0"/>
    <xf numFmtId="0" fontId="203" fillId="81" borderId="297" applyNumberFormat="0" applyFont="0" applyAlignment="0" applyProtection="0"/>
    <xf numFmtId="200" fontId="225" fillId="0" borderId="295" applyFill="0" applyProtection="0"/>
    <xf numFmtId="0" fontId="238" fillId="59" borderId="458" applyNumberFormat="0" applyAlignment="0" applyProtection="0"/>
    <xf numFmtId="0" fontId="213" fillId="65" borderId="377" applyNumberFormat="0" applyAlignment="0" applyProtection="0"/>
    <xf numFmtId="0" fontId="213" fillId="80" borderId="431" applyNumberFormat="0" applyAlignment="0" applyProtection="0"/>
    <xf numFmtId="0" fontId="203" fillId="81" borderId="387" applyNumberFormat="0" applyFont="0" applyAlignment="0" applyProtection="0"/>
    <xf numFmtId="0" fontId="203" fillId="81" borderId="612" applyNumberFormat="0" applyFont="0" applyAlignment="0" applyProtection="0"/>
    <xf numFmtId="0" fontId="153" fillId="0" borderId="384">
      <alignment horizontal="left" vertical="center"/>
    </xf>
    <xf numFmtId="182" fontId="225" fillId="0" borderId="385" applyFill="0" applyProtection="0"/>
    <xf numFmtId="200" fontId="225" fillId="0" borderId="295" applyFill="0" applyProtection="0"/>
    <xf numFmtId="182" fontId="225" fillId="0" borderId="295" applyFill="0" applyProtection="0"/>
    <xf numFmtId="0" fontId="213" fillId="80" borderId="278" applyNumberFormat="0" applyAlignment="0" applyProtection="0"/>
    <xf numFmtId="0" fontId="174" fillId="0" borderId="481" applyNumberFormat="0" applyFill="0" applyAlignment="0" applyProtection="0"/>
    <xf numFmtId="0" fontId="8" fillId="81" borderId="594" applyNumberFormat="0" applyFont="0" applyAlignment="0" applyProtection="0"/>
    <xf numFmtId="0" fontId="203" fillId="81" borderId="387" applyNumberFormat="0" applyFont="0" applyAlignment="0" applyProtection="0"/>
    <xf numFmtId="0" fontId="213" fillId="65" borderId="548" applyNumberFormat="0" applyAlignment="0" applyProtection="0"/>
    <xf numFmtId="0" fontId="229" fillId="83" borderId="363" applyAlignment="0">
      <alignment horizontal="center"/>
    </xf>
    <xf numFmtId="0" fontId="229" fillId="83" borderId="318" applyAlignment="0">
      <alignment horizontal="center"/>
    </xf>
    <xf numFmtId="0" fontId="213" fillId="65" borderId="548" applyNumberFormat="0" applyAlignment="0" applyProtection="0"/>
    <xf numFmtId="0" fontId="213" fillId="65" borderId="323" applyNumberFormat="0" applyAlignment="0" applyProtection="0"/>
    <xf numFmtId="0" fontId="216" fillId="59" borderId="550" applyNumberFormat="0" applyAlignment="0" applyProtection="0"/>
    <xf numFmtId="200" fontId="225" fillId="0" borderId="475" applyFill="0" applyProtection="0"/>
    <xf numFmtId="0" fontId="203" fillId="81" borderId="342" applyNumberFormat="0" applyFont="0" applyAlignment="0" applyProtection="0"/>
    <xf numFmtId="0" fontId="8" fillId="81" borderId="558" applyNumberFormat="0" applyFont="0" applyAlignment="0" applyProtection="0"/>
    <xf numFmtId="0" fontId="206" fillId="78" borderId="413" applyNumberFormat="0" applyAlignment="0" applyProtection="0"/>
    <xf numFmtId="0" fontId="203" fillId="81" borderId="423" applyNumberFormat="0" applyFont="0" applyAlignment="0" applyProtection="0"/>
    <xf numFmtId="0" fontId="213" fillId="65" borderId="413" applyNumberFormat="0" applyAlignment="0" applyProtection="0"/>
    <xf numFmtId="0" fontId="229" fillId="83" borderId="588" applyAlignment="0">
      <alignment horizontal="center"/>
    </xf>
    <xf numFmtId="0" fontId="213" fillId="65" borderId="503" applyNumberFormat="0" applyAlignment="0" applyProtection="0"/>
    <xf numFmtId="0" fontId="203" fillId="81" borderId="333" applyNumberFormat="0" applyFont="0" applyAlignment="0" applyProtection="0"/>
    <xf numFmtId="0" fontId="213" fillId="65" borderId="413" applyNumberFormat="0" applyAlignment="0" applyProtection="0"/>
    <xf numFmtId="0" fontId="203" fillId="81" borderId="594" applyNumberFormat="0" applyFont="0" applyAlignment="0" applyProtection="0"/>
    <xf numFmtId="0" fontId="244" fillId="0" borderId="385" applyNumberFormat="0" applyFont="0" applyFill="0" applyAlignment="0" applyProtection="0"/>
    <xf numFmtId="200" fontId="225" fillId="0" borderId="340" applyFill="0" applyProtection="0"/>
    <xf numFmtId="0" fontId="213" fillId="65" borderId="512" applyNumberFormat="0" applyAlignment="0" applyProtection="0"/>
    <xf numFmtId="0" fontId="203" fillId="81" borderId="567" applyNumberFormat="0" applyFont="0" applyAlignment="0" applyProtection="0"/>
    <xf numFmtId="0" fontId="213" fillId="65" borderId="476" applyNumberFormat="0" applyAlignment="0" applyProtection="0"/>
    <xf numFmtId="200" fontId="225" fillId="0" borderId="412" applyFill="0" applyProtection="0"/>
    <xf numFmtId="0" fontId="229" fillId="83" borderId="273" applyAlignment="0">
      <alignment horizontal="center"/>
    </xf>
    <xf numFmtId="0" fontId="176" fillId="81" borderId="297" applyNumberFormat="0" applyFont="0" applyAlignment="0" applyProtection="0"/>
    <xf numFmtId="200" fontId="225" fillId="0" borderId="295" applyFill="0" applyProtection="0"/>
    <xf numFmtId="0" fontId="153" fillId="0" borderId="294">
      <alignment horizontal="left" vertical="center"/>
    </xf>
    <xf numFmtId="200" fontId="225" fillId="0" borderId="295" applyFill="0" applyProtection="0"/>
    <xf numFmtId="182" fontId="225" fillId="0" borderId="295" applyFill="0" applyProtection="0"/>
    <xf numFmtId="0" fontId="8" fillId="81" borderId="297" applyNumberFormat="0" applyFont="0" applyAlignment="0" applyProtection="0"/>
    <xf numFmtId="0" fontId="153" fillId="0" borderId="294">
      <alignment horizontal="left" vertical="center"/>
    </xf>
    <xf numFmtId="0" fontId="249" fillId="59"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182" fontId="225" fillId="0" borderId="295" applyFill="0" applyProtection="0"/>
    <xf numFmtId="0" fontId="174" fillId="0" borderId="301" applyNumberFormat="0" applyFill="0" applyAlignment="0" applyProtection="0"/>
    <xf numFmtId="0" fontId="229" fillId="83" borderId="300" applyAlignment="0">
      <alignment horizontal="center"/>
    </xf>
    <xf numFmtId="0" fontId="203" fillId="81" borderId="297" applyNumberFormat="0" applyFont="0" applyAlignment="0" applyProtection="0"/>
    <xf numFmtId="0" fontId="203" fillId="81" borderId="297" applyNumberFormat="0" applyFont="0" applyAlignment="0" applyProtection="0"/>
    <xf numFmtId="182" fontId="225" fillId="0" borderId="295" applyFill="0" applyProtection="0"/>
    <xf numFmtId="0" fontId="203" fillId="81" borderId="297" applyNumberFormat="0" applyFont="0" applyAlignment="0" applyProtection="0"/>
    <xf numFmtId="0" fontId="213" fillId="65" borderId="296" applyNumberFormat="0" applyAlignment="0" applyProtection="0"/>
    <xf numFmtId="0" fontId="153" fillId="0" borderId="546">
      <alignment horizontal="left" vertical="center"/>
    </xf>
    <xf numFmtId="0" fontId="213" fillId="65" borderId="548" applyNumberFormat="0" applyAlignment="0" applyProtection="0"/>
    <xf numFmtId="0" fontId="174" fillId="0" borderId="337" applyNumberFormat="0" applyFill="0" applyAlignment="0" applyProtection="0"/>
    <xf numFmtId="0" fontId="213" fillId="65" borderId="611" applyNumberFormat="0" applyAlignment="0" applyProtection="0"/>
    <xf numFmtId="0" fontId="8" fillId="81" borderId="594" applyNumberFormat="0" applyFont="0" applyAlignment="0" applyProtection="0"/>
    <xf numFmtId="0" fontId="229" fillId="83" borderId="373" applyAlignment="0">
      <alignment horizontal="center"/>
    </xf>
    <xf numFmtId="44" fontId="203" fillId="0" borderId="0" applyFont="0" applyFill="0" applyBorder="0" applyAlignment="0" applyProtection="0"/>
    <xf numFmtId="0" fontId="178" fillId="0" borderId="392" applyProtection="0"/>
    <xf numFmtId="0" fontId="213" fillId="65" borderId="512" applyNumberFormat="0" applyAlignment="0" applyProtection="0"/>
    <xf numFmtId="0" fontId="203" fillId="81" borderId="477" applyNumberFormat="0" applyFont="0" applyAlignment="0" applyProtection="0"/>
    <xf numFmtId="0" fontId="203" fillId="0" borderId="0"/>
    <xf numFmtId="182" fontId="225" fillId="0" borderId="556" applyFill="0" applyProtection="0"/>
    <xf numFmtId="0" fontId="213" fillId="65" borderId="413" applyNumberFormat="0" applyAlignment="0" applyProtection="0"/>
    <xf numFmtId="0" fontId="213" fillId="65" borderId="332" applyNumberFormat="0" applyAlignment="0" applyProtection="0"/>
    <xf numFmtId="0" fontId="213" fillId="65" borderId="593" applyNumberFormat="0" applyAlignment="0" applyProtection="0"/>
    <xf numFmtId="182" fontId="225" fillId="0" borderId="502" applyFill="0" applyProtection="0"/>
    <xf numFmtId="0" fontId="203" fillId="81" borderId="549" applyNumberFormat="0" applyFont="0" applyAlignment="0" applyProtection="0"/>
    <xf numFmtId="0" fontId="176" fillId="81" borderId="504" applyNumberFormat="0" applyFont="0" applyAlignment="0" applyProtection="0"/>
    <xf numFmtId="0" fontId="203" fillId="81" borderId="504" applyNumberFormat="0" applyFont="0" applyAlignment="0" applyProtection="0"/>
    <xf numFmtId="182" fontId="225" fillId="0" borderId="511" applyFill="0" applyProtection="0"/>
    <xf numFmtId="200" fontId="225" fillId="0" borderId="412" applyFill="0" applyProtection="0"/>
    <xf numFmtId="0" fontId="203" fillId="81" borderId="549" applyNumberFormat="0" applyFont="0" applyAlignment="0" applyProtection="0"/>
    <xf numFmtId="0" fontId="203" fillId="81" borderId="378" applyNumberFormat="0" applyFont="0" applyAlignment="0" applyProtection="0"/>
    <xf numFmtId="0" fontId="213" fillId="65" borderId="323" applyNumberFormat="0" applyAlignment="0" applyProtection="0"/>
    <xf numFmtId="0" fontId="203" fillId="81" borderId="459" applyNumberFormat="0" applyFont="0" applyAlignment="0" applyProtection="0"/>
    <xf numFmtId="0" fontId="229" fillId="83" borderId="328" applyAlignment="0">
      <alignment horizontal="center"/>
    </xf>
    <xf numFmtId="0" fontId="203" fillId="81" borderId="432" applyNumberFormat="0" applyFont="0" applyAlignment="0" applyProtection="0"/>
    <xf numFmtId="0" fontId="213" fillId="65" borderId="557" applyNumberFormat="0" applyAlignment="0" applyProtection="0"/>
    <xf numFmtId="0" fontId="178" fillId="0" borderId="419" applyProtection="0"/>
    <xf numFmtId="182" fontId="225" fillId="0" borderId="556" applyFill="0" applyProtection="0"/>
    <xf numFmtId="0" fontId="213" fillId="80" borderId="548" applyNumberFormat="0" applyAlignment="0" applyProtection="0"/>
    <xf numFmtId="0" fontId="203" fillId="81" borderId="594" applyNumberFormat="0" applyFont="0" applyAlignment="0" applyProtection="0"/>
    <xf numFmtId="0" fontId="203" fillId="81" borderId="459" applyNumberFormat="0" applyFont="0" applyAlignment="0" applyProtection="0"/>
    <xf numFmtId="0" fontId="203" fillId="81" borderId="324" applyNumberFormat="0" applyFont="0" applyAlignment="0" applyProtection="0"/>
    <xf numFmtId="0" fontId="213" fillId="65" borderId="332" applyNumberFormat="0" applyAlignment="0" applyProtection="0"/>
    <xf numFmtId="0" fontId="213" fillId="65" borderId="557" applyNumberFormat="0" applyAlignment="0" applyProtection="0"/>
    <xf numFmtId="200" fontId="225" fillId="0" borderId="610" applyFill="0" applyProtection="0"/>
    <xf numFmtId="200" fontId="225" fillId="0" borderId="475" applyFill="0" applyProtection="0"/>
    <xf numFmtId="0" fontId="178" fillId="0" borderId="572" applyProtection="0"/>
    <xf numFmtId="0" fontId="174" fillId="0" borderId="417" applyNumberFormat="0" applyFill="0" applyAlignment="0" applyProtection="0"/>
    <xf numFmtId="0" fontId="203" fillId="81" borderId="378" applyNumberFormat="0" applyFont="0" applyAlignment="0" applyProtection="0"/>
    <xf numFmtId="0" fontId="176" fillId="81" borderId="333" applyNumberFormat="0" applyFont="0" applyAlignment="0" applyProtection="0"/>
    <xf numFmtId="0" fontId="213" fillId="65" borderId="503" applyNumberFormat="0" applyAlignment="0" applyProtection="0"/>
    <xf numFmtId="0" fontId="229" fillId="83" borderId="328" applyAlignment="0">
      <alignment horizontal="center"/>
    </xf>
    <xf numFmtId="0" fontId="216" fillId="59" borderId="379" applyNumberFormat="0" applyAlignment="0" applyProtection="0"/>
    <xf numFmtId="0" fontId="213" fillId="65" borderId="368" applyNumberFormat="0" applyAlignment="0" applyProtection="0"/>
    <xf numFmtId="0" fontId="203" fillId="81" borderId="324" applyNumberFormat="0" applyFont="0" applyAlignment="0" applyProtection="0"/>
    <xf numFmtId="0" fontId="213" fillId="65" borderId="431" applyNumberFormat="0" applyAlignment="0" applyProtection="0"/>
    <xf numFmtId="0" fontId="213" fillId="65" borderId="476" applyNumberFormat="0" applyAlignment="0" applyProtection="0"/>
    <xf numFmtId="0" fontId="213" fillId="65" borderId="611" applyNumberFormat="0" applyAlignment="0" applyProtection="0"/>
    <xf numFmtId="0" fontId="213" fillId="65" borderId="566" applyNumberFormat="0" applyAlignment="0" applyProtection="0"/>
    <xf numFmtId="0" fontId="8" fillId="81" borderId="324" applyNumberFormat="0" applyFont="0" applyAlignment="0" applyProtection="0"/>
    <xf numFmtId="0" fontId="213" fillId="65" borderId="593" applyNumberFormat="0" applyAlignment="0" applyProtection="0"/>
    <xf numFmtId="0" fontId="203" fillId="81" borderId="333" applyNumberFormat="0" applyFont="0" applyAlignment="0" applyProtection="0"/>
    <xf numFmtId="0" fontId="174" fillId="0" borderId="524" applyNumberFormat="0" applyFill="0" applyAlignment="0" applyProtection="0"/>
    <xf numFmtId="0" fontId="213" fillId="65" borderId="593" applyNumberFormat="0" applyAlignment="0" applyProtection="0"/>
    <xf numFmtId="0" fontId="213" fillId="65" borderId="431" applyNumberFormat="0" applyAlignment="0" applyProtection="0"/>
    <xf numFmtId="0" fontId="8" fillId="81" borderId="522" applyNumberFormat="0" applyFont="0" applyAlignment="0" applyProtection="0"/>
    <xf numFmtId="0" fontId="203" fillId="81" borderId="459" applyNumberFormat="0" applyFont="0" applyAlignment="0" applyProtection="0"/>
    <xf numFmtId="0" fontId="229" fillId="83" borderId="408" applyAlignment="0">
      <alignment horizontal="center"/>
    </xf>
    <xf numFmtId="43" fontId="203" fillId="0" borderId="0" applyFont="0" applyFill="0" applyBorder="0" applyAlignment="0" applyProtection="0"/>
    <xf numFmtId="0" fontId="213" fillId="65" borderId="323" applyNumberFormat="0" applyAlignment="0" applyProtection="0"/>
    <xf numFmtId="0" fontId="213" fillId="65" borderId="413" applyNumberFormat="0" applyAlignment="0" applyProtection="0"/>
    <xf numFmtId="0" fontId="213" fillId="65" borderId="422" applyNumberFormat="0" applyAlignment="0" applyProtection="0"/>
    <xf numFmtId="0" fontId="203" fillId="81" borderId="369" applyNumberFormat="0" applyFont="0" applyAlignment="0" applyProtection="0"/>
    <xf numFmtId="0" fontId="213" fillId="65" borderId="476" applyNumberFormat="0" applyAlignment="0" applyProtection="0"/>
    <xf numFmtId="0" fontId="238" fillId="59" borderId="593" applyNumberFormat="0" applyAlignment="0" applyProtection="0"/>
    <xf numFmtId="0" fontId="213" fillId="65" borderId="287" applyNumberFormat="0" applyAlignment="0" applyProtection="0"/>
    <xf numFmtId="0" fontId="203" fillId="81" borderId="432" applyNumberFormat="0" applyFont="0" applyAlignment="0" applyProtection="0"/>
    <xf numFmtId="0" fontId="213" fillId="65" borderId="413" applyNumberFormat="0" applyAlignment="0" applyProtection="0"/>
    <xf numFmtId="0" fontId="174" fillId="0" borderId="597" applyNumberFormat="0" applyFill="0" applyAlignment="0" applyProtection="0"/>
    <xf numFmtId="0" fontId="213" fillId="80" borderId="368" applyNumberFormat="0" applyAlignment="0" applyProtection="0"/>
    <xf numFmtId="200" fontId="225" fillId="0" borderId="376" applyFill="0" applyProtection="0"/>
    <xf numFmtId="0" fontId="213" fillId="80" borderId="323" applyNumberFormat="0" applyAlignment="0" applyProtection="0"/>
    <xf numFmtId="0" fontId="213" fillId="65" borderId="548" applyNumberFormat="0" applyAlignment="0" applyProtection="0"/>
    <xf numFmtId="200" fontId="225" fillId="0" borderId="457" applyFill="0" applyProtection="0"/>
    <xf numFmtId="0" fontId="213" fillId="65" borderId="323" applyNumberFormat="0" applyAlignment="0" applyProtection="0"/>
    <xf numFmtId="0" fontId="229" fillId="83" borderId="471" applyAlignment="0">
      <alignment horizontal="center"/>
    </xf>
    <xf numFmtId="0" fontId="229" fillId="83" borderId="553" applyAlignment="0">
      <alignment horizontal="center"/>
    </xf>
    <xf numFmtId="0" fontId="216" fillId="78" borderId="460" applyNumberFormat="0" applyAlignment="0" applyProtection="0"/>
    <xf numFmtId="0" fontId="213" fillId="65" borderId="467" applyNumberFormat="0" applyAlignment="0" applyProtection="0"/>
    <xf numFmtId="0" fontId="203" fillId="81" borderId="477" applyNumberFormat="0" applyFont="0" applyAlignment="0" applyProtection="0"/>
    <xf numFmtId="0" fontId="213" fillId="65" borderId="602" applyNumberFormat="0" applyAlignment="0" applyProtection="0"/>
    <xf numFmtId="0" fontId="213" fillId="65" borderId="458" applyNumberFormat="0" applyAlignment="0" applyProtection="0"/>
    <xf numFmtId="0" fontId="203" fillId="81" borderId="504" applyNumberFormat="0" applyFont="0" applyAlignment="0" applyProtection="0"/>
    <xf numFmtId="0" fontId="213" fillId="65" borderId="611" applyNumberFormat="0" applyAlignment="0" applyProtection="0"/>
    <xf numFmtId="0" fontId="213" fillId="65" borderId="602" applyNumberFormat="0" applyAlignment="0" applyProtection="0"/>
    <xf numFmtId="0" fontId="176" fillId="81" borderId="594" applyNumberFormat="0" applyFont="0" applyAlignment="0" applyProtection="0"/>
    <xf numFmtId="0" fontId="203" fillId="81" borderId="324" applyNumberFormat="0" applyFont="0" applyAlignment="0" applyProtection="0"/>
    <xf numFmtId="0" fontId="8" fillId="81" borderId="504" applyNumberFormat="0" applyFont="0" applyAlignment="0" applyProtection="0"/>
    <xf numFmtId="0" fontId="153" fillId="0" borderId="465">
      <alignment horizontal="left" vertical="center"/>
    </xf>
    <xf numFmtId="0" fontId="213" fillId="80" borderId="593" applyNumberFormat="0" applyAlignment="0" applyProtection="0"/>
    <xf numFmtId="200" fontId="225" fillId="0" borderId="331" applyFill="0" applyProtection="0"/>
    <xf numFmtId="0" fontId="229" fillId="83" borderId="336" applyAlignment="0">
      <alignment horizontal="center"/>
    </xf>
    <xf numFmtId="0" fontId="203" fillId="81" borderId="522" applyNumberFormat="0" applyFont="0" applyAlignment="0" applyProtection="0"/>
    <xf numFmtId="0" fontId="213" fillId="65" borderId="557" applyNumberFormat="0" applyAlignment="0" applyProtection="0"/>
    <xf numFmtId="0" fontId="213" fillId="80" borderId="548" applyNumberFormat="0" applyAlignment="0" applyProtection="0"/>
    <xf numFmtId="0" fontId="213" fillId="65" borderId="458" applyNumberFormat="0" applyAlignment="0" applyProtection="0"/>
    <xf numFmtId="182" fontId="225" fillId="0" borderId="565" applyFill="0" applyProtection="0"/>
    <xf numFmtId="0" fontId="203" fillId="81" borderId="513" applyNumberFormat="0" applyFont="0" applyAlignment="0" applyProtection="0"/>
    <xf numFmtId="0" fontId="229" fillId="83" borderId="570" applyAlignment="0">
      <alignment horizontal="center"/>
    </xf>
    <xf numFmtId="0" fontId="176" fillId="81" borderId="468" applyNumberFormat="0" applyFont="0" applyAlignment="0" applyProtection="0"/>
    <xf numFmtId="182" fontId="225" fillId="0" borderId="565" applyFill="0" applyProtection="0"/>
    <xf numFmtId="0" fontId="257" fillId="59" borderId="379" applyNumberFormat="0" applyAlignment="0" applyProtection="0"/>
    <xf numFmtId="0" fontId="203" fillId="81" borderId="594" applyNumberFormat="0" applyFont="0" applyAlignment="0" applyProtection="0"/>
    <xf numFmtId="0" fontId="213" fillId="65" borderId="332" applyNumberFormat="0" applyAlignment="0" applyProtection="0"/>
    <xf numFmtId="0" fontId="203" fillId="81" borderId="288" applyNumberFormat="0" applyFont="0" applyAlignment="0" applyProtection="0"/>
    <xf numFmtId="0" fontId="203" fillId="81" borderId="288" applyNumberFormat="0" applyFont="0" applyAlignment="0" applyProtection="0"/>
    <xf numFmtId="0" fontId="153" fillId="0" borderId="285">
      <alignment horizontal="left" vertical="center"/>
    </xf>
    <xf numFmtId="182" fontId="225" fillId="0" borderId="286" applyFill="0" applyProtection="0"/>
    <xf numFmtId="0" fontId="203" fillId="81" borderId="288" applyNumberFormat="0" applyFont="0" applyAlignment="0" applyProtection="0"/>
    <xf numFmtId="0" fontId="203" fillId="81" borderId="288" applyNumberFormat="0" applyFont="0" applyAlignment="0" applyProtection="0"/>
    <xf numFmtId="0" fontId="229" fillId="83" borderId="291" applyAlignment="0">
      <alignment horizontal="center"/>
    </xf>
    <xf numFmtId="0" fontId="213" fillId="65" borderId="278" applyNumberFormat="0" applyAlignment="0" applyProtection="0"/>
    <xf numFmtId="0" fontId="203" fillId="81" borderId="288" applyNumberFormat="0" applyFont="0" applyAlignment="0" applyProtection="0"/>
    <xf numFmtId="0" fontId="203" fillId="81" borderId="288" applyNumberFormat="0" applyFont="0" applyAlignment="0" applyProtection="0"/>
    <xf numFmtId="0" fontId="213" fillId="65" borderId="287" applyNumberFormat="0" applyAlignment="0" applyProtection="0"/>
    <xf numFmtId="200" fontId="225" fillId="0" borderId="286" applyFill="0" applyProtection="0"/>
    <xf numFmtId="0" fontId="174" fillId="0" borderId="290" applyNumberFormat="0" applyFill="0" applyAlignment="0" applyProtection="0"/>
    <xf numFmtId="0" fontId="213" fillId="65" borderId="287" applyNumberFormat="0" applyAlignment="0" applyProtection="0"/>
    <xf numFmtId="0" fontId="213" fillId="65" borderId="287" applyNumberFormat="0" applyAlignment="0" applyProtection="0"/>
    <xf numFmtId="0" fontId="213" fillId="65" borderId="287" applyNumberFormat="0" applyAlignment="0" applyProtection="0"/>
    <xf numFmtId="0" fontId="203" fillId="81" borderId="279" applyNumberFormat="0" applyFont="0" applyAlignment="0" applyProtection="0"/>
    <xf numFmtId="0" fontId="213" fillId="65" borderId="458" applyNumberFormat="0" applyAlignment="0" applyProtection="0"/>
    <xf numFmtId="0" fontId="216" fillId="78" borderId="334" applyNumberFormat="0" applyAlignment="0" applyProtection="0"/>
    <xf numFmtId="0" fontId="206" fillId="78" borderId="593" applyNumberFormat="0" applyAlignment="0" applyProtection="0"/>
    <xf numFmtId="0" fontId="213" fillId="65" borderId="593" applyNumberFormat="0" applyAlignment="0" applyProtection="0"/>
    <xf numFmtId="0" fontId="257" fillId="59" borderId="604" applyNumberFormat="0" applyAlignment="0" applyProtection="0"/>
    <xf numFmtId="0" fontId="203" fillId="81" borderId="369" applyNumberFormat="0" applyFont="0" applyAlignment="0" applyProtection="0"/>
    <xf numFmtId="0" fontId="203" fillId="81" borderId="504" applyNumberFormat="0" applyFont="0" applyAlignment="0" applyProtection="0"/>
    <xf numFmtId="0" fontId="213" fillId="65" borderId="458" applyNumberFormat="0" applyAlignment="0" applyProtection="0"/>
    <xf numFmtId="0" fontId="8" fillId="81" borderId="369" applyNumberFormat="0" applyFont="0" applyAlignment="0" applyProtection="0"/>
    <xf numFmtId="182" fontId="225" fillId="0" borderId="421" applyFill="0" applyProtection="0"/>
    <xf numFmtId="0" fontId="203" fillId="81" borderId="369" applyNumberFormat="0" applyFont="0" applyAlignment="0" applyProtection="0"/>
    <xf numFmtId="0" fontId="213" fillId="80" borderId="557" applyNumberFormat="0" applyAlignment="0" applyProtection="0"/>
    <xf numFmtId="0" fontId="203" fillId="81" borderId="603" applyNumberFormat="0" applyFont="0" applyAlignment="0" applyProtection="0"/>
    <xf numFmtId="0" fontId="8" fillId="81" borderId="333" applyNumberFormat="0" applyFont="0" applyAlignment="0" applyProtection="0"/>
    <xf numFmtId="0" fontId="203" fillId="81" borderId="459" applyNumberFormat="0" applyFont="0" applyAlignment="0" applyProtection="0"/>
    <xf numFmtId="0" fontId="213" fillId="65" borderId="593" applyNumberFormat="0" applyAlignment="0" applyProtection="0"/>
    <xf numFmtId="0" fontId="174" fillId="0" borderId="552" applyNumberFormat="0" applyFill="0" applyAlignment="0" applyProtection="0"/>
    <xf numFmtId="0" fontId="213" fillId="65" borderId="422" applyNumberFormat="0" applyAlignment="0" applyProtection="0"/>
    <xf numFmtId="0" fontId="213" fillId="65" borderId="458" applyNumberFormat="0" applyAlignment="0" applyProtection="0"/>
    <xf numFmtId="0" fontId="213" fillId="65" borderId="458" applyNumberFormat="0" applyAlignment="0" applyProtection="0"/>
    <xf numFmtId="0" fontId="213" fillId="65" borderId="467" applyNumberFormat="0" applyAlignment="0" applyProtection="0"/>
    <xf numFmtId="0" fontId="213" fillId="80" borderId="476" applyNumberFormat="0" applyAlignment="0" applyProtection="0"/>
    <xf numFmtId="0" fontId="213" fillId="65" borderId="503" applyNumberFormat="0" applyAlignment="0" applyProtection="0"/>
    <xf numFmtId="0" fontId="216" fillId="59" borderId="550" applyNumberFormat="0" applyAlignment="0" applyProtection="0"/>
    <xf numFmtId="0" fontId="178" fillId="0" borderId="329" applyProtection="0"/>
    <xf numFmtId="0" fontId="213" fillId="65" borderId="332" applyNumberFormat="0" applyAlignment="0" applyProtection="0"/>
    <xf numFmtId="0" fontId="203" fillId="81" borderId="387" applyNumberFormat="0" applyFont="0" applyAlignment="0" applyProtection="0"/>
    <xf numFmtId="0" fontId="213" fillId="65" borderId="431" applyNumberFormat="0" applyAlignment="0" applyProtection="0"/>
    <xf numFmtId="0" fontId="213" fillId="65" borderId="458" applyNumberFormat="0" applyAlignment="0" applyProtection="0"/>
    <xf numFmtId="0" fontId="213" fillId="65" borderId="458" applyNumberFormat="0" applyAlignment="0" applyProtection="0"/>
    <xf numFmtId="0" fontId="203" fillId="81" borderId="369" applyNumberFormat="0" applyFont="0" applyAlignment="0" applyProtection="0"/>
    <xf numFmtId="0" fontId="213" fillId="65" borderId="548" applyNumberFormat="0" applyAlignment="0" applyProtection="0"/>
    <xf numFmtId="0" fontId="203" fillId="81" borderId="423" applyNumberFormat="0" applyFont="0" applyAlignment="0" applyProtection="0"/>
    <xf numFmtId="0" fontId="203" fillId="81" borderId="414" applyNumberFormat="0" applyFont="0" applyAlignment="0" applyProtection="0"/>
    <xf numFmtId="200" fontId="225" fillId="0" borderId="502" applyFill="0" applyProtection="0"/>
    <xf numFmtId="0" fontId="206" fillId="78" borderId="431" applyNumberFormat="0" applyAlignment="0" applyProtection="0"/>
    <xf numFmtId="182" fontId="225" fillId="0" borderId="502" applyFill="0" applyProtection="0"/>
    <xf numFmtId="0" fontId="203" fillId="81" borderId="324" applyNumberFormat="0" applyFont="0" applyAlignment="0" applyProtection="0"/>
    <xf numFmtId="44" fontId="203" fillId="0" borderId="0" applyFont="0" applyFill="0" applyBorder="0" applyAlignment="0" applyProtection="0"/>
    <xf numFmtId="0" fontId="178" fillId="0" borderId="554" applyProtection="0"/>
    <xf numFmtId="0" fontId="153" fillId="0" borderId="420">
      <alignment horizontal="left" vertical="center"/>
    </xf>
    <xf numFmtId="0" fontId="238" fillId="59" borderId="323" applyNumberFormat="0" applyAlignment="0" applyProtection="0"/>
    <xf numFmtId="200" fontId="225" fillId="0" borderId="520" applyFill="0" applyProtection="0"/>
    <xf numFmtId="200" fontId="225" fillId="0" borderId="466" applyFill="0" applyProtection="0"/>
    <xf numFmtId="0" fontId="229" fillId="83" borderId="606" applyAlignment="0">
      <alignment horizontal="center"/>
    </xf>
    <xf numFmtId="0" fontId="203" fillId="81" borderId="594" applyNumberFormat="0" applyFont="0" applyAlignment="0" applyProtection="0"/>
    <xf numFmtId="0" fontId="203" fillId="81" borderId="333" applyNumberFormat="0" applyFont="0" applyAlignment="0" applyProtection="0"/>
    <xf numFmtId="0" fontId="203" fillId="81" borderId="603" applyNumberFormat="0" applyFont="0" applyAlignment="0" applyProtection="0"/>
    <xf numFmtId="0" fontId="213" fillId="65" borderId="458" applyNumberFormat="0" applyAlignment="0" applyProtection="0"/>
    <xf numFmtId="0" fontId="213" fillId="80" borderId="278" applyNumberFormat="0" applyAlignment="0" applyProtection="0"/>
    <xf numFmtId="0" fontId="238" fillId="59" borderId="278" applyNumberFormat="0" applyAlignment="0" applyProtection="0"/>
    <xf numFmtId="0" fontId="203" fillId="81" borderId="423" applyNumberFormat="0" applyFont="0" applyAlignment="0" applyProtection="0"/>
    <xf numFmtId="0" fontId="213" fillId="65" borderId="566" applyNumberFormat="0" applyAlignment="0" applyProtection="0"/>
    <xf numFmtId="0" fontId="213" fillId="65" borderId="503" applyNumberFormat="0" applyAlignment="0" applyProtection="0"/>
    <xf numFmtId="0" fontId="213" fillId="65" borderId="503" applyNumberFormat="0" applyAlignment="0" applyProtection="0"/>
    <xf numFmtId="0" fontId="213" fillId="65" borderId="413" applyNumberFormat="0" applyAlignment="0" applyProtection="0"/>
    <xf numFmtId="0" fontId="213" fillId="65" borderId="566" applyNumberFormat="0" applyAlignment="0" applyProtection="0"/>
    <xf numFmtId="182" fontId="225" fillId="0" borderId="322" applyFill="0" applyProtection="0"/>
    <xf numFmtId="0" fontId="213" fillId="65" borderId="323" applyNumberFormat="0" applyAlignment="0" applyProtection="0"/>
    <xf numFmtId="0" fontId="203" fillId="81" borderId="594" applyNumberFormat="0" applyFont="0" applyAlignment="0" applyProtection="0"/>
    <xf numFmtId="0" fontId="203" fillId="81" borderId="468"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174" fillId="0" borderId="281" applyNumberFormat="0" applyFill="0" applyAlignment="0" applyProtection="0"/>
    <xf numFmtId="0" fontId="203" fillId="81" borderId="279" applyNumberFormat="0" applyFont="0" applyAlignment="0" applyProtection="0"/>
    <xf numFmtId="0" fontId="203" fillId="81" borderId="279" applyNumberFormat="0" applyFont="0" applyAlignment="0" applyProtection="0"/>
    <xf numFmtId="0" fontId="203" fillId="81" borderId="432" applyNumberFormat="0" applyFont="0" applyAlignment="0" applyProtection="0"/>
    <xf numFmtId="0" fontId="153" fillId="0" borderId="321">
      <alignment horizontal="left" vertical="center"/>
    </xf>
    <xf numFmtId="0" fontId="213" fillId="65" borderId="368" applyNumberFormat="0" applyAlignment="0" applyProtection="0"/>
    <xf numFmtId="0" fontId="213" fillId="65" borderId="323" applyNumberFormat="0" applyAlignment="0" applyProtection="0"/>
    <xf numFmtId="0" fontId="213" fillId="65" borderId="386" applyNumberFormat="0" applyAlignment="0" applyProtection="0"/>
    <xf numFmtId="0" fontId="176" fillId="81" borderId="504" applyNumberFormat="0" applyFont="0" applyAlignment="0" applyProtection="0"/>
    <xf numFmtId="0" fontId="213" fillId="65" borderId="593" applyNumberFormat="0" applyAlignment="0" applyProtection="0"/>
    <xf numFmtId="0" fontId="213" fillId="65" borderId="431" applyNumberFormat="0" applyAlignment="0" applyProtection="0"/>
    <xf numFmtId="200" fontId="225" fillId="0" borderId="511" applyFill="0" applyProtection="0"/>
    <xf numFmtId="0" fontId="213" fillId="65" borderId="503" applyNumberFormat="0" applyAlignment="0" applyProtection="0"/>
    <xf numFmtId="0" fontId="203" fillId="81" borderId="477" applyNumberFormat="0" applyFont="0" applyAlignment="0" applyProtection="0"/>
    <xf numFmtId="200" fontId="225" fillId="0" borderId="466" applyFill="0" applyProtection="0"/>
    <xf numFmtId="0" fontId="176" fillId="81" borderId="558" applyNumberFormat="0" applyFont="0" applyAlignment="0" applyProtection="0"/>
    <xf numFmtId="0" fontId="8" fillId="81" borderId="369" applyNumberFormat="0" applyFont="0" applyAlignment="0" applyProtection="0"/>
    <xf numFmtId="0" fontId="176" fillId="81" borderId="504" applyNumberFormat="0" applyFont="0" applyAlignment="0" applyProtection="0"/>
    <xf numFmtId="0" fontId="213" fillId="65" borderId="422" applyNumberFormat="0" applyAlignment="0" applyProtection="0"/>
    <xf numFmtId="0" fontId="176" fillId="81" borderId="450" applyNumberFormat="0" applyFont="0" applyAlignment="0" applyProtection="0"/>
    <xf numFmtId="0" fontId="213" fillId="65" borderId="548" applyNumberFormat="0" applyAlignment="0" applyProtection="0"/>
    <xf numFmtId="0" fontId="206" fillId="78" borderId="377" applyNumberFormat="0" applyAlignment="0" applyProtection="0"/>
    <xf numFmtId="0" fontId="213" fillId="65" borderId="557" applyNumberFormat="0" applyAlignment="0" applyProtection="0"/>
    <xf numFmtId="182" fontId="225" fillId="0" borderId="610" applyFill="0" applyProtection="0"/>
    <xf numFmtId="0" fontId="203" fillId="81" borderId="432" applyNumberFormat="0" applyFont="0" applyAlignment="0" applyProtection="0"/>
    <xf numFmtId="0" fontId="203" fillId="81" borderId="522" applyNumberFormat="0" applyFont="0" applyAlignment="0" applyProtection="0"/>
    <xf numFmtId="0" fontId="213" fillId="65" borderId="458" applyNumberFormat="0" applyAlignment="0" applyProtection="0"/>
    <xf numFmtId="0" fontId="229" fillId="83" borderId="598" applyAlignment="0">
      <alignment horizontal="center"/>
    </xf>
    <xf numFmtId="200" fontId="225" fillId="0" borderId="457" applyFill="0" applyProtection="0"/>
    <xf numFmtId="0" fontId="213" fillId="65" borderId="332" applyNumberFormat="0" applyAlignment="0" applyProtection="0"/>
    <xf numFmtId="0" fontId="229" fillId="83" borderId="480" applyAlignment="0">
      <alignment horizontal="center"/>
    </xf>
    <xf numFmtId="0" fontId="203" fillId="81" borderId="423" applyNumberFormat="0" applyFont="0" applyAlignment="0" applyProtection="0"/>
    <xf numFmtId="0" fontId="213" fillId="65" borderId="422" applyNumberFormat="0" applyAlignment="0" applyProtection="0"/>
    <xf numFmtId="0" fontId="213" fillId="65" borderId="377" applyNumberFormat="0" applyAlignment="0" applyProtection="0"/>
    <xf numFmtId="0" fontId="238" fillId="59" borderId="278" applyNumberFormat="0" applyAlignment="0" applyProtection="0"/>
    <xf numFmtId="0" fontId="176" fillId="81" borderId="468" applyNumberFormat="0" applyFont="0" applyAlignment="0" applyProtection="0"/>
    <xf numFmtId="200" fontId="225" fillId="0" borderId="322" applyFill="0" applyProtection="0"/>
    <xf numFmtId="200" fontId="225" fillId="0" borderId="556" applyFill="0" applyProtection="0"/>
    <xf numFmtId="0" fontId="216" fillId="78" borderId="325" applyNumberFormat="0" applyAlignment="0" applyProtection="0"/>
    <xf numFmtId="0" fontId="229" fillId="83" borderId="453" applyAlignment="0">
      <alignment horizontal="center"/>
    </xf>
    <xf numFmtId="0" fontId="213" fillId="65" borderId="368" applyNumberFormat="0" applyAlignment="0" applyProtection="0"/>
    <xf numFmtId="0" fontId="213" fillId="80" borderId="503" applyNumberFormat="0" applyAlignment="0" applyProtection="0"/>
    <xf numFmtId="0" fontId="206" fillId="78" borderId="467" applyNumberFormat="0" applyAlignment="0" applyProtection="0"/>
    <xf numFmtId="0" fontId="203" fillId="81" borderId="603" applyNumberFormat="0" applyFont="0" applyAlignment="0" applyProtection="0"/>
    <xf numFmtId="0" fontId="216" fillId="59" borderId="325" applyNumberFormat="0" applyAlignment="0" applyProtection="0"/>
    <xf numFmtId="200" fontId="225" fillId="0" borderId="475" applyFill="0" applyProtection="0"/>
    <xf numFmtId="43" fontId="203" fillId="0" borderId="0" applyFont="0" applyFill="0" applyBorder="0" applyAlignment="0" applyProtection="0"/>
    <xf numFmtId="0" fontId="213" fillId="65" borderId="512" applyNumberFormat="0" applyAlignment="0" applyProtection="0"/>
    <xf numFmtId="0" fontId="213" fillId="65" borderId="602" applyNumberFormat="0" applyAlignment="0" applyProtection="0"/>
    <xf numFmtId="0" fontId="257" fillId="59" borderId="478" applyNumberFormat="0" applyAlignment="0" applyProtection="0"/>
    <xf numFmtId="0" fontId="213" fillId="80" borderId="521" applyNumberFormat="0" applyAlignment="0" applyProtection="0"/>
    <xf numFmtId="0" fontId="213" fillId="65" borderId="611" applyNumberFormat="0" applyAlignment="0" applyProtection="0"/>
    <xf numFmtId="0" fontId="203" fillId="81" borderId="414" applyNumberFormat="0" applyFont="0" applyAlignment="0" applyProtection="0"/>
    <xf numFmtId="0" fontId="213" fillId="65" borderId="323" applyNumberFormat="0" applyAlignment="0" applyProtection="0"/>
    <xf numFmtId="0" fontId="203" fillId="81" borderId="549" applyNumberFormat="0" applyFont="0" applyAlignment="0" applyProtection="0"/>
    <xf numFmtId="0" fontId="8" fillId="81" borderId="495" applyNumberFormat="0" applyFont="0" applyAlignment="0" applyProtection="0"/>
    <xf numFmtId="0" fontId="213" fillId="80" borderId="413" applyNumberFormat="0" applyAlignment="0" applyProtection="0"/>
    <xf numFmtId="0" fontId="203" fillId="81" borderId="324" applyNumberFormat="0" applyFont="0" applyAlignment="0" applyProtection="0"/>
    <xf numFmtId="0" fontId="213" fillId="65" borderId="512" applyNumberFormat="0" applyAlignment="0" applyProtection="0"/>
    <xf numFmtId="0" fontId="213" fillId="80" borderId="422" applyNumberFormat="0" applyAlignment="0" applyProtection="0"/>
    <xf numFmtId="0" fontId="229" fillId="83" borderId="381" applyAlignment="0">
      <alignment horizontal="center"/>
    </xf>
    <xf numFmtId="0" fontId="8" fillId="81" borderId="423" applyNumberFormat="0" applyFont="0" applyAlignment="0" applyProtection="0"/>
    <xf numFmtId="0" fontId="213" fillId="65" borderId="422" applyNumberFormat="0" applyAlignment="0" applyProtection="0"/>
    <xf numFmtId="0" fontId="203" fillId="81" borderId="468" applyNumberFormat="0" applyFont="0" applyAlignment="0" applyProtection="0"/>
    <xf numFmtId="0" fontId="213" fillId="65" borderId="548" applyNumberFormat="0" applyAlignment="0" applyProtection="0"/>
    <xf numFmtId="0" fontId="213" fillId="65" borderId="503" applyNumberFormat="0" applyAlignment="0" applyProtection="0"/>
    <xf numFmtId="0" fontId="229" fillId="83" borderId="516" applyAlignment="0">
      <alignment horizontal="center"/>
    </xf>
    <xf numFmtId="0" fontId="244" fillId="0" borderId="421" applyNumberFormat="0" applyFont="0" applyFill="0" applyAlignment="0" applyProtection="0"/>
    <xf numFmtId="0" fontId="213" fillId="65" borderId="422" applyNumberFormat="0" applyAlignment="0" applyProtection="0"/>
    <xf numFmtId="0" fontId="203" fillId="81" borderId="423" applyNumberFormat="0" applyFont="0" applyAlignment="0" applyProtection="0"/>
    <xf numFmtId="0" fontId="203" fillId="81" borderId="504" applyNumberFormat="0" applyFont="0" applyAlignment="0" applyProtection="0"/>
    <xf numFmtId="200" fontId="225" fillId="0" borderId="520" applyFill="0" applyProtection="0"/>
    <xf numFmtId="0" fontId="176" fillId="81" borderId="387" applyNumberFormat="0" applyFont="0" applyAlignment="0" applyProtection="0"/>
    <xf numFmtId="0" fontId="213" fillId="65" borderId="458" applyNumberFormat="0" applyAlignment="0" applyProtection="0"/>
    <xf numFmtId="0" fontId="213" fillId="65" borderId="458" applyNumberFormat="0" applyAlignment="0" applyProtection="0"/>
    <xf numFmtId="0" fontId="203" fillId="81" borderId="612" applyNumberFormat="0" applyFont="0" applyAlignment="0" applyProtection="0"/>
    <xf numFmtId="0" fontId="203" fillId="81" borderId="459" applyNumberFormat="0" applyFont="0" applyAlignment="0" applyProtection="0"/>
    <xf numFmtId="0" fontId="229" fillId="83" borderId="363" applyAlignment="0">
      <alignment horizontal="center"/>
    </xf>
    <xf numFmtId="182" fontId="225" fillId="0" borderId="610" applyFill="0" applyProtection="0"/>
    <xf numFmtId="200" fontId="225" fillId="0" borderId="475" applyFill="0" applyProtection="0"/>
    <xf numFmtId="0" fontId="176" fillId="81" borderId="549" applyNumberFormat="0" applyFont="0" applyAlignment="0" applyProtection="0"/>
    <xf numFmtId="0" fontId="213" fillId="65" borderId="566" applyNumberFormat="0" applyAlignment="0" applyProtection="0"/>
    <xf numFmtId="0" fontId="213" fillId="65" borderId="521" applyNumberFormat="0" applyAlignment="0" applyProtection="0"/>
    <xf numFmtId="0" fontId="203" fillId="81" borderId="477" applyNumberFormat="0" applyFont="0" applyAlignment="0" applyProtection="0"/>
    <xf numFmtId="0" fontId="176" fillId="81" borderId="477" applyNumberFormat="0" applyFont="0" applyAlignment="0" applyProtection="0"/>
    <xf numFmtId="0" fontId="213" fillId="65" borderId="386" applyNumberFormat="0" applyAlignment="0" applyProtection="0"/>
    <xf numFmtId="0" fontId="203" fillId="81" borderId="459" applyNumberFormat="0" applyFont="0" applyAlignment="0" applyProtection="0"/>
    <xf numFmtId="0" fontId="213" fillId="65" borderId="557" applyNumberFormat="0" applyAlignment="0" applyProtection="0"/>
    <xf numFmtId="0" fontId="213" fillId="65" borderId="278" applyNumberFormat="0" applyAlignment="0" applyProtection="0"/>
    <xf numFmtId="0" fontId="203" fillId="81" borderId="432" applyNumberFormat="0" applyFont="0" applyAlignment="0" applyProtection="0"/>
    <xf numFmtId="0" fontId="213" fillId="65" borderId="467" applyNumberFormat="0" applyAlignment="0" applyProtection="0"/>
    <xf numFmtId="0" fontId="203" fillId="81" borderId="333" applyNumberFormat="0" applyFont="0" applyAlignment="0" applyProtection="0"/>
    <xf numFmtId="182" fontId="225" fillId="0" borderId="601" applyFill="0" applyProtection="0"/>
    <xf numFmtId="0" fontId="174" fillId="0" borderId="551" applyNumberFormat="0" applyFill="0" applyAlignment="0" applyProtection="0"/>
    <xf numFmtId="0" fontId="203" fillId="81" borderId="594" applyNumberFormat="0" applyFont="0" applyAlignment="0" applyProtection="0"/>
    <xf numFmtId="0" fontId="254" fillId="80" borderId="467" applyNumberFormat="0" applyAlignment="0" applyProtection="0"/>
    <xf numFmtId="0" fontId="153" fillId="0" borderId="339">
      <alignment horizontal="left" vertical="center"/>
    </xf>
    <xf numFmtId="0" fontId="213" fillId="65" borderId="368" applyNumberFormat="0" applyAlignment="0" applyProtection="0"/>
    <xf numFmtId="0" fontId="8" fillId="81" borderId="279" applyNumberFormat="0" applyFont="0" applyAlignment="0" applyProtection="0"/>
    <xf numFmtId="0" fontId="238" fillId="59" borderId="602" applyNumberFormat="0" applyAlignment="0" applyProtection="0"/>
    <xf numFmtId="0" fontId="203" fillId="81" borderId="279" applyNumberFormat="0" applyFont="0" applyAlignment="0" applyProtection="0"/>
    <xf numFmtId="0" fontId="203" fillId="81" borderId="594" applyNumberFormat="0" applyFont="0" applyAlignment="0" applyProtection="0"/>
    <xf numFmtId="0" fontId="203" fillId="81" borderId="504" applyNumberFormat="0" applyFont="0" applyAlignment="0" applyProtection="0"/>
    <xf numFmtId="0" fontId="178" fillId="0" borderId="284" applyProtection="0"/>
    <xf numFmtId="0" fontId="244" fillId="0" borderId="277" applyNumberFormat="0" applyFont="0" applyFill="0" applyAlignment="0" applyProtection="0"/>
    <xf numFmtId="0" fontId="216" fillId="59" borderId="325" applyNumberFormat="0" applyAlignment="0" applyProtection="0"/>
    <xf numFmtId="0" fontId="229" fillId="83" borderId="328" applyAlignment="0">
      <alignment horizontal="center"/>
    </xf>
    <xf numFmtId="0" fontId="176" fillId="81" borderId="387" applyNumberFormat="0" applyFont="0" applyAlignment="0" applyProtection="0"/>
    <xf numFmtId="0" fontId="216" fillId="78" borderId="397" applyNumberFormat="0" applyAlignment="0" applyProtection="0"/>
    <xf numFmtId="0" fontId="216" fillId="78" borderId="469" applyNumberFormat="0" applyAlignment="0" applyProtection="0"/>
    <xf numFmtId="0" fontId="244" fillId="0" borderId="547" applyNumberFormat="0" applyFont="0" applyFill="0" applyAlignment="0" applyProtection="0"/>
    <xf numFmtId="0" fontId="213" fillId="65" borderId="611" applyNumberFormat="0" applyAlignment="0" applyProtection="0"/>
    <xf numFmtId="0" fontId="203" fillId="81" borderId="387" applyNumberFormat="0" applyFont="0" applyAlignment="0" applyProtection="0"/>
    <xf numFmtId="200" fontId="225" fillId="0" borderId="592" applyFill="0" applyProtection="0"/>
    <xf numFmtId="0" fontId="203" fillId="81" borderId="450" applyNumberFormat="0" applyFont="0" applyAlignment="0" applyProtection="0"/>
    <xf numFmtId="0" fontId="213" fillId="65" borderId="593" applyNumberFormat="0" applyAlignment="0" applyProtection="0"/>
    <xf numFmtId="0" fontId="229" fillId="83" borderId="363" applyAlignment="0">
      <alignment horizontal="center"/>
    </xf>
    <xf numFmtId="0" fontId="213" fillId="65" borderId="413" applyNumberFormat="0" applyAlignment="0" applyProtection="0"/>
    <xf numFmtId="0" fontId="203" fillId="81" borderId="567" applyNumberFormat="0" applyFont="0" applyAlignment="0" applyProtection="0"/>
    <xf numFmtId="0" fontId="203" fillId="81" borderId="549" applyNumberFormat="0" applyFont="0" applyAlignment="0" applyProtection="0"/>
    <xf numFmtId="0" fontId="213" fillId="65" borderId="368" applyNumberFormat="0" applyAlignment="0" applyProtection="0"/>
    <xf numFmtId="0" fontId="203" fillId="81" borderId="324" applyNumberFormat="0" applyFont="0" applyAlignment="0" applyProtection="0"/>
    <xf numFmtId="0" fontId="238" fillId="59" borderId="467" applyNumberFormat="0" applyAlignment="0" applyProtection="0"/>
    <xf numFmtId="0" fontId="174" fillId="0" borderId="337" applyNumberFormat="0" applyFill="0" applyAlignment="0" applyProtection="0"/>
    <xf numFmtId="0" fontId="206" fillId="78" borderId="323" applyNumberFormat="0" applyAlignment="0" applyProtection="0"/>
    <xf numFmtId="0" fontId="8" fillId="81" borderId="549" applyNumberFormat="0" applyFont="0" applyAlignment="0" applyProtection="0"/>
    <xf numFmtId="0" fontId="216" fillId="78" borderId="370" applyNumberFormat="0" applyAlignment="0" applyProtection="0"/>
    <xf numFmtId="0" fontId="213" fillId="65" borderId="602" applyNumberFormat="0" applyAlignment="0" applyProtection="0"/>
    <xf numFmtId="0" fontId="213" fillId="65" borderId="422" applyNumberFormat="0" applyAlignment="0" applyProtection="0"/>
    <xf numFmtId="0" fontId="174" fillId="0" borderId="569" applyNumberFormat="0" applyFill="0" applyAlignment="0" applyProtection="0"/>
    <xf numFmtId="0" fontId="174" fillId="0" borderId="461" applyNumberFormat="0" applyFill="0" applyAlignment="0" applyProtection="0"/>
    <xf numFmtId="0" fontId="203" fillId="81" borderId="369" applyNumberFormat="0" applyFont="0" applyAlignment="0" applyProtection="0"/>
    <xf numFmtId="0" fontId="203" fillId="81" borderId="549" applyNumberFormat="0" applyFont="0" applyAlignment="0" applyProtection="0"/>
    <xf numFmtId="0" fontId="176" fillId="81" borderId="477" applyNumberFormat="0" applyFont="0" applyAlignment="0" applyProtection="0"/>
    <xf numFmtId="0" fontId="203" fillId="81" borderId="369" applyNumberFormat="0" applyFont="0" applyAlignment="0" applyProtection="0"/>
    <xf numFmtId="0" fontId="176" fillId="81" borderId="414" applyNumberFormat="0" applyFont="0" applyAlignment="0" applyProtection="0"/>
    <xf numFmtId="0" fontId="203" fillId="81" borderId="468" applyNumberFormat="0" applyFont="0" applyAlignment="0" applyProtection="0"/>
    <xf numFmtId="0" fontId="213" fillId="65" borderId="503" applyNumberFormat="0" applyAlignment="0" applyProtection="0"/>
    <xf numFmtId="0" fontId="213" fillId="65" borderId="431" applyNumberFormat="0" applyAlignment="0" applyProtection="0"/>
    <xf numFmtId="182" fontId="225" fillId="0" borderId="565" applyFill="0" applyProtection="0"/>
    <xf numFmtId="0" fontId="176" fillId="81" borderId="459" applyNumberFormat="0" applyFont="0" applyAlignment="0" applyProtection="0"/>
    <xf numFmtId="0" fontId="206" fillId="78" borderId="422" applyNumberFormat="0" applyAlignment="0" applyProtection="0"/>
    <xf numFmtId="0" fontId="213" fillId="65" borderId="503" applyNumberFormat="0" applyAlignment="0" applyProtection="0"/>
    <xf numFmtId="0" fontId="254" fillId="80" borderId="386" applyNumberFormat="0" applyAlignment="0" applyProtection="0"/>
    <xf numFmtId="0" fontId="213" fillId="65" borderId="521" applyNumberFormat="0" applyAlignment="0" applyProtection="0"/>
    <xf numFmtId="0" fontId="213" fillId="65" borderId="413" applyNumberFormat="0" applyAlignment="0" applyProtection="0"/>
    <xf numFmtId="0" fontId="176" fillId="81" borderId="549" applyNumberFormat="0" applyFont="0" applyAlignment="0" applyProtection="0"/>
    <xf numFmtId="0" fontId="153" fillId="0" borderId="411">
      <alignment horizontal="left" vertical="center"/>
    </xf>
    <xf numFmtId="0" fontId="213" fillId="65" borderId="332" applyNumberFormat="0" applyAlignment="0" applyProtection="0"/>
    <xf numFmtId="0" fontId="216" fillId="59" borderId="478" applyNumberFormat="0" applyAlignment="0" applyProtection="0"/>
    <xf numFmtId="0" fontId="213" fillId="65" borderId="368" applyNumberFormat="0" applyAlignment="0" applyProtection="0"/>
    <xf numFmtId="0" fontId="216" fillId="59" borderId="604"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153" fillId="0" borderId="429">
      <alignment horizontal="left" vertical="center"/>
    </xf>
    <xf numFmtId="0" fontId="203" fillId="81" borderId="387" applyNumberFormat="0" applyFont="0" applyAlignment="0" applyProtection="0"/>
    <xf numFmtId="0" fontId="203" fillId="81" borderId="567" applyNumberFormat="0" applyFont="0" applyAlignment="0" applyProtection="0"/>
    <xf numFmtId="0" fontId="203" fillId="81" borderId="504" applyNumberFormat="0" applyFont="0" applyAlignment="0" applyProtection="0"/>
    <xf numFmtId="0" fontId="213" fillId="65" borderId="386" applyNumberFormat="0" applyAlignment="0" applyProtection="0"/>
    <xf numFmtId="182" fontId="225" fillId="0" borderId="385" applyFill="0" applyProtection="0"/>
    <xf numFmtId="0" fontId="203" fillId="81" borderId="459" applyNumberFormat="0" applyFont="0" applyAlignment="0" applyProtection="0"/>
    <xf numFmtId="0" fontId="213" fillId="65" borderId="413" applyNumberFormat="0" applyAlignment="0" applyProtection="0"/>
    <xf numFmtId="0" fontId="238" fillId="59" borderId="368" applyNumberFormat="0" applyAlignment="0" applyProtection="0"/>
    <xf numFmtId="0" fontId="203" fillId="81" borderId="594" applyNumberFormat="0" applyFont="0" applyAlignment="0" applyProtection="0"/>
    <xf numFmtId="0" fontId="203" fillId="81" borderId="468" applyNumberFormat="0" applyFont="0" applyAlignment="0" applyProtection="0"/>
    <xf numFmtId="182" fontId="225" fillId="0" borderId="385" applyFill="0" applyProtection="0"/>
    <xf numFmtId="0" fontId="203" fillId="81" borderId="360" applyNumberFormat="0" applyFont="0" applyAlignment="0" applyProtection="0"/>
    <xf numFmtId="0" fontId="213" fillId="65" borderId="557" applyNumberFormat="0" applyAlignment="0" applyProtection="0"/>
    <xf numFmtId="0" fontId="203" fillId="81" borderId="459" applyNumberFormat="0" applyFont="0" applyAlignment="0" applyProtection="0"/>
    <xf numFmtId="0" fontId="213" fillId="65" borderId="593" applyNumberFormat="0" applyAlignment="0" applyProtection="0"/>
    <xf numFmtId="0" fontId="213" fillId="65" borderId="458" applyNumberFormat="0" applyAlignment="0" applyProtection="0"/>
    <xf numFmtId="182" fontId="225" fillId="0" borderId="601" applyFill="0" applyProtection="0"/>
    <xf numFmtId="0" fontId="174" fillId="0" borderId="506" applyNumberFormat="0" applyFill="0" applyAlignment="0" applyProtection="0"/>
    <xf numFmtId="0" fontId="213" fillId="65" borderId="512" applyNumberFormat="0" applyAlignment="0" applyProtection="0"/>
    <xf numFmtId="0" fontId="206" fillId="78" borderId="41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278" applyNumberFormat="0" applyAlignment="0" applyProtection="0"/>
    <xf numFmtId="200" fontId="225" fillId="0" borderId="412" applyFill="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244" fillId="0" borderId="322" applyNumberFormat="0" applyFont="0" applyFill="0" applyAlignment="0" applyProtection="0"/>
    <xf numFmtId="0" fontId="203" fillId="81" borderId="477" applyNumberFormat="0" applyFont="0" applyAlignment="0" applyProtection="0"/>
    <xf numFmtId="0" fontId="8" fillId="81" borderId="279" applyNumberFormat="0" applyFont="0" applyAlignment="0" applyProtection="0"/>
    <xf numFmtId="0" fontId="229" fillId="83" borderId="435" applyAlignment="0">
      <alignment horizontal="center"/>
    </xf>
    <xf numFmtId="0" fontId="213" fillId="65" borderId="386" applyNumberFormat="0" applyAlignment="0" applyProtection="0"/>
    <xf numFmtId="0" fontId="213" fillId="65" borderId="611" applyNumberFormat="0" applyAlignment="0" applyProtection="0"/>
    <xf numFmtId="0" fontId="213" fillId="65" borderId="467" applyNumberFormat="0" applyAlignment="0" applyProtection="0"/>
    <xf numFmtId="0" fontId="213" fillId="65" borderId="323" applyNumberFormat="0" applyAlignment="0" applyProtection="0"/>
    <xf numFmtId="0" fontId="174" fillId="0" borderId="391" applyNumberFormat="0" applyFill="0" applyAlignment="0" applyProtection="0"/>
    <xf numFmtId="0" fontId="176" fillId="81" borderId="387" applyNumberFormat="0" applyFont="0" applyAlignment="0" applyProtection="0"/>
    <xf numFmtId="0" fontId="229" fillId="83" borderId="598" applyAlignment="0">
      <alignment horizontal="center"/>
    </xf>
    <xf numFmtId="0" fontId="203" fillId="81" borderId="522" applyNumberFormat="0" applyFont="0" applyAlignment="0" applyProtection="0"/>
    <xf numFmtId="0" fontId="229" fillId="83" borderId="463" applyAlignment="0">
      <alignment horizontal="center"/>
    </xf>
    <xf numFmtId="0" fontId="229" fillId="83" borderId="543" applyAlignment="0">
      <alignment horizontal="center"/>
    </xf>
    <xf numFmtId="0" fontId="213" fillId="65" borderId="458" applyNumberFormat="0" applyAlignment="0" applyProtection="0"/>
    <xf numFmtId="0" fontId="213" fillId="65" borderId="368" applyNumberFormat="0" applyAlignment="0" applyProtection="0"/>
    <xf numFmtId="0" fontId="178" fillId="0" borderId="527" applyProtection="0"/>
    <xf numFmtId="0" fontId="213" fillId="65" borderId="503" applyNumberFormat="0" applyAlignment="0" applyProtection="0"/>
    <xf numFmtId="0" fontId="176" fillId="81" borderId="360" applyNumberFormat="0" applyFont="0" applyAlignment="0" applyProtection="0"/>
    <xf numFmtId="0" fontId="213" fillId="65" borderId="458" applyNumberFormat="0" applyAlignment="0" applyProtection="0"/>
    <xf numFmtId="200" fontId="225" fillId="0" borderId="430" applyFill="0" applyProtection="0"/>
    <xf numFmtId="0" fontId="213" fillId="65" borderId="323" applyNumberFormat="0" applyAlignment="0" applyProtection="0"/>
    <xf numFmtId="0" fontId="213" fillId="65" borderId="323" applyNumberFormat="0" applyAlignment="0" applyProtection="0"/>
    <xf numFmtId="0" fontId="229" fillId="83" borderId="453" applyAlignment="0">
      <alignment horizontal="center"/>
    </xf>
    <xf numFmtId="182" fontId="225" fillId="0" borderId="511" applyFill="0" applyProtection="0"/>
    <xf numFmtId="0" fontId="213" fillId="65" borderId="548" applyNumberFormat="0" applyAlignment="0" applyProtection="0"/>
    <xf numFmtId="0" fontId="216" fillId="78" borderId="595" applyNumberFormat="0" applyAlignment="0" applyProtection="0"/>
    <xf numFmtId="0" fontId="178" fillId="0" borderId="482" applyProtection="0"/>
    <xf numFmtId="0" fontId="213" fillId="65" borderId="431" applyNumberFormat="0" applyAlignment="0" applyProtection="0"/>
    <xf numFmtId="0" fontId="213" fillId="65" borderId="458" applyNumberFormat="0" applyAlignment="0" applyProtection="0"/>
    <xf numFmtId="0" fontId="213" fillId="65" borderId="458" applyNumberFormat="0" applyAlignment="0" applyProtection="0"/>
    <xf numFmtId="0" fontId="213" fillId="65" borderId="566" applyNumberFormat="0" applyAlignment="0" applyProtection="0"/>
    <xf numFmtId="0" fontId="203" fillId="81" borderId="423" applyNumberFormat="0" applyFont="0" applyAlignment="0" applyProtection="0"/>
    <xf numFmtId="0" fontId="8" fillId="81" borderId="504" applyNumberFormat="0" applyFont="0" applyAlignment="0" applyProtection="0"/>
    <xf numFmtId="0" fontId="213" fillId="65" borderId="557" applyNumberFormat="0" applyAlignment="0" applyProtection="0"/>
    <xf numFmtId="0" fontId="213" fillId="65" borderId="611" applyNumberFormat="0" applyAlignment="0" applyProtection="0"/>
    <xf numFmtId="0" fontId="174" fillId="0" borderId="470" applyNumberFormat="0" applyFill="0" applyAlignment="0" applyProtection="0"/>
    <xf numFmtId="0" fontId="216" fillId="59" borderId="415" applyNumberFormat="0" applyAlignment="0" applyProtection="0"/>
    <xf numFmtId="0" fontId="206" fillId="78" borderId="368" applyNumberFormat="0" applyAlignment="0" applyProtection="0"/>
    <xf numFmtId="0" fontId="213" fillId="65" borderId="278" applyNumberFormat="0" applyAlignment="0" applyProtection="0"/>
    <xf numFmtId="0" fontId="213" fillId="65" borderId="278" applyNumberFormat="0" applyAlignment="0" applyProtection="0"/>
    <xf numFmtId="0" fontId="203" fillId="81" borderId="549" applyNumberFormat="0" applyFont="0" applyAlignment="0" applyProtection="0"/>
    <xf numFmtId="0" fontId="203" fillId="81" borderId="369" applyNumberFormat="0" applyFont="0" applyAlignment="0" applyProtection="0"/>
    <xf numFmtId="0" fontId="203" fillId="81" borderId="567" applyNumberFormat="0" applyFont="0" applyAlignment="0" applyProtection="0"/>
    <xf numFmtId="0" fontId="213" fillId="65" borderId="413" applyNumberFormat="0" applyAlignment="0" applyProtection="0"/>
    <xf numFmtId="0" fontId="213" fillId="65" borderId="323" applyNumberFormat="0" applyAlignment="0" applyProtection="0"/>
    <xf numFmtId="0" fontId="213" fillId="80" borderId="593" applyNumberFormat="0" applyAlignment="0" applyProtection="0"/>
    <xf numFmtId="0" fontId="213" fillId="65" borderId="368" applyNumberFormat="0" applyAlignment="0" applyProtection="0"/>
    <xf numFmtId="0" fontId="213" fillId="65" borderId="413" applyNumberFormat="0" applyAlignment="0" applyProtection="0"/>
    <xf numFmtId="0" fontId="213" fillId="65" borderId="422" applyNumberFormat="0" applyAlignment="0" applyProtection="0"/>
    <xf numFmtId="0" fontId="213" fillId="65" borderId="458" applyNumberFormat="0" applyAlignment="0" applyProtection="0"/>
    <xf numFmtId="0" fontId="176" fillId="81" borderId="378" applyNumberFormat="0" applyFont="0" applyAlignment="0" applyProtection="0"/>
    <xf numFmtId="0" fontId="213" fillId="65" borderId="458" applyNumberFormat="0" applyAlignment="0" applyProtection="0"/>
    <xf numFmtId="0" fontId="249" fillId="59" borderId="503" applyNumberFormat="0" applyAlignment="0" applyProtection="0"/>
    <xf numFmtId="0" fontId="213" fillId="65" borderId="413" applyNumberFormat="0" applyAlignment="0" applyProtection="0"/>
    <xf numFmtId="0" fontId="229" fillId="83" borderId="543" applyAlignment="0">
      <alignment horizontal="center"/>
    </xf>
    <xf numFmtId="0" fontId="8" fillId="81" borderId="333" applyNumberFormat="0" applyFont="0" applyAlignment="0" applyProtection="0"/>
    <xf numFmtId="200" fontId="225" fillId="0" borderId="331" applyFill="0" applyProtection="0"/>
    <xf numFmtId="182" fontId="225" fillId="0" borderId="565" applyFill="0" applyProtection="0"/>
    <xf numFmtId="0" fontId="213" fillId="65" borderId="413" applyNumberFormat="0" applyAlignment="0" applyProtection="0"/>
    <xf numFmtId="0" fontId="203" fillId="81" borderId="369" applyNumberFormat="0" applyFont="0" applyAlignment="0" applyProtection="0"/>
    <xf numFmtId="0" fontId="176" fillId="81" borderId="567" applyNumberFormat="0" applyFont="0" applyAlignment="0" applyProtection="0"/>
    <xf numFmtId="0" fontId="203" fillId="81" borderId="549" applyNumberFormat="0" applyFont="0" applyAlignment="0" applyProtection="0"/>
    <xf numFmtId="0" fontId="203" fillId="81" borderId="459" applyNumberFormat="0" applyFont="0" applyAlignment="0" applyProtection="0"/>
    <xf numFmtId="0" fontId="213" fillId="65" borderId="512" applyNumberFormat="0" applyAlignment="0" applyProtection="0"/>
    <xf numFmtId="182" fontId="225" fillId="0" borderId="340" applyFill="0" applyProtection="0"/>
    <xf numFmtId="200" fontId="225" fillId="0" borderId="340" applyFill="0" applyProtection="0"/>
    <xf numFmtId="0" fontId="249" fillId="59" borderId="341" applyNumberFormat="0" applyAlignment="0" applyProtection="0"/>
    <xf numFmtId="0" fontId="203" fillId="81" borderId="522" applyNumberFormat="0" applyFont="0" applyAlignment="0" applyProtection="0"/>
    <xf numFmtId="0" fontId="213" fillId="65" borderId="458" applyNumberFormat="0" applyAlignment="0" applyProtection="0"/>
    <xf numFmtId="0" fontId="213" fillId="65" borderId="521" applyNumberFormat="0" applyAlignment="0" applyProtection="0"/>
    <xf numFmtId="0" fontId="203" fillId="81" borderId="342" applyNumberFormat="0" applyFont="0" applyAlignment="0" applyProtection="0"/>
    <xf numFmtId="0" fontId="213" fillId="80" borderId="32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611" applyNumberFormat="0" applyAlignment="0" applyProtection="0"/>
    <xf numFmtId="0" fontId="213" fillId="65" borderId="602" applyNumberFormat="0" applyAlignment="0" applyProtection="0"/>
    <xf numFmtId="182" fontId="225" fillId="0" borderId="277" applyFill="0" applyProtection="0"/>
    <xf numFmtId="0" fontId="213" fillId="65" borderId="413" applyNumberFormat="0" applyAlignment="0" applyProtection="0"/>
    <xf numFmtId="0" fontId="216" fillId="78" borderId="550" applyNumberFormat="0" applyAlignment="0" applyProtection="0"/>
    <xf numFmtId="200" fontId="225" fillId="0" borderId="511" applyFill="0" applyProtection="0"/>
    <xf numFmtId="0" fontId="174" fillId="0" borderId="481" applyNumberFormat="0" applyFill="0" applyAlignment="0" applyProtection="0"/>
    <xf numFmtId="0" fontId="203" fillId="81" borderId="414" applyNumberFormat="0" applyFont="0" applyAlignment="0" applyProtection="0"/>
    <xf numFmtId="0" fontId="254" fillId="80" borderId="476" applyNumberFormat="0" applyAlignment="0" applyProtection="0"/>
    <xf numFmtId="0" fontId="203" fillId="81" borderId="387" applyNumberFormat="0" applyFont="0" applyAlignment="0" applyProtection="0"/>
    <xf numFmtId="43" fontId="203" fillId="0" borderId="0" applyFont="0" applyFill="0" applyBorder="0" applyAlignment="0" applyProtection="0"/>
    <xf numFmtId="0" fontId="203" fillId="81" borderId="342" applyNumberFormat="0" applyFon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41" applyNumberFormat="0" applyAlignment="0" applyProtection="0"/>
    <xf numFmtId="0" fontId="203" fillId="0" borderId="0"/>
    <xf numFmtId="0" fontId="203" fillId="81" borderId="594"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182" fontId="225" fillId="0" borderId="322" applyFill="0" applyProtection="0"/>
    <xf numFmtId="0" fontId="244" fillId="0" borderId="457" applyNumberFormat="0" applyFont="0" applyFill="0" applyAlignment="0" applyProtection="0"/>
    <xf numFmtId="0" fontId="213" fillId="65" borderId="476" applyNumberFormat="0" applyAlignment="0" applyProtection="0"/>
    <xf numFmtId="0" fontId="213" fillId="65" borderId="278" applyNumberFormat="0" applyAlignment="0" applyProtection="0"/>
    <xf numFmtId="0" fontId="203" fillId="81" borderId="612" applyNumberFormat="0" applyFont="0" applyAlignment="0" applyProtection="0"/>
    <xf numFmtId="200" fontId="225" fillId="0" borderId="412" applyFill="0" applyProtection="0"/>
    <xf numFmtId="0" fontId="176" fillId="81" borderId="459" applyNumberFormat="0" applyFont="0" applyAlignment="0" applyProtection="0"/>
    <xf numFmtId="0" fontId="249" fillId="59" borderId="323" applyNumberFormat="0" applyAlignment="0" applyProtection="0"/>
    <xf numFmtId="0" fontId="213" fillId="80" borderId="557" applyNumberFormat="0" applyAlignment="0" applyProtection="0"/>
    <xf numFmtId="0" fontId="229" fillId="83" borderId="345" applyAlignment="0">
      <alignment horizontal="center"/>
    </xf>
    <xf numFmtId="0" fontId="203" fillId="81" borderId="504" applyNumberFormat="0" applyFont="0" applyAlignment="0" applyProtection="0"/>
    <xf numFmtId="182" fontId="225" fillId="0" borderId="457" applyFill="0" applyProtection="0"/>
    <xf numFmtId="0" fontId="213" fillId="65" borderId="386" applyNumberFormat="0" applyAlignment="0" applyProtection="0"/>
    <xf numFmtId="0" fontId="254" fillId="80" borderId="557" applyNumberFormat="0" applyAlignment="0" applyProtection="0"/>
    <xf numFmtId="0" fontId="213" fillId="65" borderId="386" applyNumberFormat="0" applyAlignment="0" applyProtection="0"/>
    <xf numFmtId="0" fontId="244" fillId="0" borderId="277" applyNumberFormat="0" applyFont="0" applyFill="0" applyAlignment="0" applyProtection="0"/>
    <xf numFmtId="200" fontId="225" fillId="0" borderId="340" applyFill="0" applyProtection="0"/>
    <xf numFmtId="200" fontId="225" fillId="0" borderId="340" applyFill="0" applyProtection="0"/>
    <xf numFmtId="0" fontId="213" fillId="65" borderId="521" applyNumberFormat="0" applyAlignment="0" applyProtection="0"/>
    <xf numFmtId="0" fontId="213" fillId="65" borderId="458" applyNumberFormat="0" applyAlignment="0" applyProtection="0"/>
    <xf numFmtId="0" fontId="213" fillId="65" borderId="512" applyNumberFormat="0" applyAlignment="0" applyProtection="0"/>
    <xf numFmtId="0" fontId="213" fillId="80" borderId="278" applyNumberFormat="0" applyAlignment="0" applyProtection="0"/>
    <xf numFmtId="0" fontId="213" fillId="65" borderId="278" applyNumberFormat="0" applyAlignment="0" applyProtection="0"/>
    <xf numFmtId="200" fontId="225" fillId="0" borderId="475" applyFill="0" applyProtection="0"/>
    <xf numFmtId="0" fontId="203" fillId="81" borderId="477" applyNumberFormat="0" applyFont="0" applyAlignment="0" applyProtection="0"/>
    <xf numFmtId="0" fontId="213" fillId="65" borderId="323" applyNumberFormat="0" applyAlignment="0" applyProtection="0"/>
    <xf numFmtId="0" fontId="203" fillId="81" borderId="405" applyNumberFormat="0" applyFont="0" applyAlignment="0" applyProtection="0"/>
    <xf numFmtId="0" fontId="213" fillId="65" borderId="611" applyNumberFormat="0" applyAlignment="0" applyProtection="0"/>
    <xf numFmtId="0" fontId="203" fillId="81" borderId="369" applyNumberFormat="0" applyFont="0" applyAlignment="0" applyProtection="0"/>
    <xf numFmtId="0" fontId="206" fillId="78" borderId="368" applyNumberFormat="0" applyAlignment="0" applyProtection="0"/>
    <xf numFmtId="200" fontId="225" fillId="0" borderId="430" applyFill="0" applyProtection="0"/>
    <xf numFmtId="0" fontId="213" fillId="65" borderId="413" applyNumberFormat="0" applyAlignment="0" applyProtection="0"/>
    <xf numFmtId="0" fontId="213" fillId="65" borderId="548" applyNumberFormat="0" applyAlignment="0" applyProtection="0"/>
    <xf numFmtId="0" fontId="213" fillId="80" borderId="476" applyNumberFormat="0" applyAlignment="0" applyProtection="0"/>
    <xf numFmtId="0" fontId="216" fillId="78" borderId="208" applyNumberFormat="0" applyAlignment="0" applyProtection="0"/>
    <xf numFmtId="0" fontId="213" fillId="65" borderId="278"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413" applyNumberFormat="0" applyAlignment="0" applyProtection="0"/>
    <xf numFmtId="0" fontId="8" fillId="81" borderId="324" applyNumberFormat="0" applyFont="0" applyAlignment="0" applyProtection="0"/>
    <xf numFmtId="0" fontId="213" fillId="80" borderId="431" applyNumberFormat="0" applyAlignment="0" applyProtection="0"/>
    <xf numFmtId="0" fontId="257" fillId="59" borderId="469" applyNumberFormat="0" applyAlignment="0" applyProtection="0"/>
    <xf numFmtId="0" fontId="213" fillId="65" borderId="341" applyNumberFormat="0" applyAlignment="0" applyProtection="0"/>
    <xf numFmtId="0" fontId="176" fillId="81" borderId="468" applyNumberFormat="0" applyFont="0" applyAlignment="0" applyProtection="0"/>
    <xf numFmtId="0" fontId="213" fillId="65" borderId="548" applyNumberForma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432" applyNumberFormat="0" applyFont="0" applyAlignment="0" applyProtection="0"/>
    <xf numFmtId="0" fontId="203" fillId="81" borderId="279" applyNumberFormat="0" applyFont="0" applyAlignment="0" applyProtection="0"/>
    <xf numFmtId="0" fontId="216" fillId="78" borderId="370" applyNumberFormat="0" applyAlignment="0" applyProtection="0"/>
    <xf numFmtId="0" fontId="213" fillId="65" borderId="512" applyNumberFormat="0" applyAlignment="0" applyProtection="0"/>
    <xf numFmtId="0" fontId="203" fillId="81" borderId="225" applyNumberFormat="0" applyFont="0" applyAlignment="0" applyProtection="0"/>
    <xf numFmtId="0" fontId="203" fillId="81" borderId="261" applyNumberFormat="0" applyFont="0" applyAlignment="0" applyProtection="0"/>
    <xf numFmtId="200" fontId="225" fillId="0" borderId="556" applyFill="0" applyProtection="0"/>
    <xf numFmtId="200" fontId="225" fillId="0" borderId="421" applyFill="0" applyProtection="0"/>
    <xf numFmtId="0" fontId="213" fillId="65" borderId="548" applyNumberFormat="0" applyAlignment="0" applyProtection="0"/>
    <xf numFmtId="0" fontId="213" fillId="65" borderId="422" applyNumberFormat="0" applyAlignment="0" applyProtection="0"/>
    <xf numFmtId="0" fontId="213" fillId="65" borderId="386" applyNumberFormat="0" applyAlignment="0" applyProtection="0"/>
    <xf numFmtId="0" fontId="213" fillId="80" borderId="278" applyNumberFormat="0" applyAlignment="0" applyProtection="0"/>
    <xf numFmtId="0" fontId="216" fillId="78" borderId="559" applyNumberFormat="0" applyAlignment="0" applyProtection="0"/>
    <xf numFmtId="0" fontId="213" fillId="65" borderId="287" applyNumberFormat="0" applyAlignment="0" applyProtection="0"/>
    <xf numFmtId="0" fontId="176" fillId="81" borderId="279" applyNumberFormat="0" applyFont="0" applyAlignment="0" applyProtection="0"/>
    <xf numFmtId="200" fontId="225" fillId="0" borderId="502" applyFill="0" applyProtection="0"/>
    <xf numFmtId="0" fontId="213" fillId="65" borderId="593" applyNumberFormat="0" applyAlignment="0" applyProtection="0"/>
    <xf numFmtId="0" fontId="176" fillId="81" borderId="333" applyNumberFormat="0" applyFont="0" applyAlignment="0" applyProtection="0"/>
    <xf numFmtId="0" fontId="213" fillId="65" borderId="413" applyNumberFormat="0" applyAlignment="0" applyProtection="0"/>
    <xf numFmtId="0" fontId="213" fillId="65" borderId="332" applyNumberFormat="0" applyAlignment="0" applyProtection="0"/>
    <xf numFmtId="182" fontId="225" fillId="0" borderId="421" applyFill="0" applyProtection="0"/>
    <xf numFmtId="0" fontId="213" fillId="65" borderId="278" applyNumberFormat="0" applyAlignment="0" applyProtection="0"/>
    <xf numFmtId="200" fontId="225" fillId="0" borderId="556" applyFill="0" applyProtection="0"/>
    <xf numFmtId="200" fontId="225" fillId="0" borderId="592" applyFill="0" applyProtection="0"/>
    <xf numFmtId="182" fontId="225" fillId="0" borderId="277" applyFill="0" applyProtection="0"/>
    <xf numFmtId="0" fontId="203" fillId="81" borderId="333" applyNumberFormat="0" applyFont="0" applyAlignment="0" applyProtection="0"/>
    <xf numFmtId="0" fontId="203" fillId="81" borderId="432" applyNumberFormat="0" applyFont="0" applyAlignment="0" applyProtection="0"/>
    <xf numFmtId="0" fontId="203" fillId="81" borderId="549" applyNumberFormat="0" applyFont="0" applyAlignment="0" applyProtection="0"/>
    <xf numFmtId="0" fontId="213" fillId="65" borderId="332" applyNumberFormat="0" applyAlignment="0" applyProtection="0"/>
    <xf numFmtId="0" fontId="213" fillId="65" borderId="458" applyNumberFormat="0" applyAlignment="0" applyProtection="0"/>
    <xf numFmtId="0" fontId="213" fillId="65" borderId="476" applyNumberFormat="0" applyAlignment="0" applyProtection="0"/>
    <xf numFmtId="0" fontId="203" fillId="81" borderId="558" applyNumberFormat="0" applyFont="0" applyAlignment="0" applyProtection="0"/>
    <xf numFmtId="0" fontId="203" fillId="81" borderId="414" applyNumberFormat="0" applyFont="0" applyAlignment="0" applyProtection="0"/>
    <xf numFmtId="0" fontId="213" fillId="65" borderId="431" applyNumberFormat="0" applyAlignment="0" applyProtection="0"/>
    <xf numFmtId="0" fontId="203" fillId="81" borderId="279" applyNumberFormat="0" applyFont="0" applyAlignment="0" applyProtection="0"/>
    <xf numFmtId="0" fontId="213" fillId="65" borderId="368" applyNumberFormat="0" applyAlignment="0" applyProtection="0"/>
    <xf numFmtId="0" fontId="203" fillId="81" borderId="378" applyNumberFormat="0" applyFont="0" applyAlignment="0" applyProtection="0"/>
    <xf numFmtId="0" fontId="213" fillId="65" borderId="413" applyNumberFormat="0" applyAlignment="0" applyProtection="0"/>
    <xf numFmtId="0" fontId="203" fillId="81" borderId="324" applyNumberFormat="0" applyFont="0" applyAlignment="0" applyProtection="0"/>
    <xf numFmtId="0" fontId="213" fillId="80" borderId="458" applyNumberFormat="0" applyAlignment="0" applyProtection="0"/>
    <xf numFmtId="0" fontId="213" fillId="65" borderId="431" applyNumberFormat="0" applyAlignment="0" applyProtection="0"/>
    <xf numFmtId="0" fontId="176" fillId="81" borderId="594" applyNumberFormat="0" applyFont="0" applyAlignment="0" applyProtection="0"/>
    <xf numFmtId="0" fontId="174" fillId="0" borderId="382" applyNumberFormat="0" applyFill="0" applyAlignment="0" applyProtection="0"/>
    <xf numFmtId="0" fontId="216" fillId="59" borderId="370" applyNumberFormat="0" applyAlignment="0" applyProtection="0"/>
    <xf numFmtId="0" fontId="153" fillId="0" borderId="456">
      <alignment horizontal="left" vertical="center"/>
    </xf>
    <xf numFmtId="0" fontId="213" fillId="65" borderId="323" applyNumberFormat="0" applyAlignment="0" applyProtection="0"/>
    <xf numFmtId="0" fontId="213" fillId="65" borderId="602" applyNumberFormat="0" applyAlignment="0" applyProtection="0"/>
    <xf numFmtId="0" fontId="213" fillId="65" borderId="422" applyNumberFormat="0" applyAlignment="0" applyProtection="0"/>
    <xf numFmtId="0" fontId="203" fillId="81" borderId="540" applyNumberFormat="0" applyFont="0" applyAlignment="0" applyProtection="0"/>
    <xf numFmtId="0" fontId="176" fillId="81" borderId="342" applyNumberFormat="0" applyFont="0" applyAlignment="0" applyProtection="0"/>
    <xf numFmtId="0" fontId="213" fillId="65" borderId="503" applyNumberFormat="0" applyAlignment="0" applyProtection="0"/>
    <xf numFmtId="0" fontId="174" fillId="0" borderId="416" applyNumberFormat="0" applyFill="0" applyAlignment="0" applyProtection="0"/>
    <xf numFmtId="0" fontId="203" fillId="81" borderId="225" applyNumberFormat="0" applyFont="0" applyAlignment="0" applyProtection="0"/>
    <xf numFmtId="0" fontId="216" fillId="59" borderId="415" applyNumberFormat="0" applyAlignment="0" applyProtection="0"/>
    <xf numFmtId="0" fontId="203" fillId="81" borderId="432" applyNumberFormat="0" applyFont="0" applyAlignment="0" applyProtection="0"/>
    <xf numFmtId="0" fontId="213" fillId="65" borderId="323" applyNumberFormat="0" applyAlignment="0" applyProtection="0"/>
    <xf numFmtId="0" fontId="216" fillId="59" borderId="415" applyNumberFormat="0" applyAlignment="0" applyProtection="0"/>
    <xf numFmtId="0" fontId="203" fillId="81" borderId="558" applyNumberFormat="0" applyFont="0" applyAlignment="0" applyProtection="0"/>
    <xf numFmtId="0" fontId="174" fillId="0" borderId="281" applyNumberFormat="0" applyFill="0" applyAlignment="0" applyProtection="0"/>
    <xf numFmtId="0" fontId="229" fillId="83" borderId="561" applyAlignment="0">
      <alignment horizontal="center"/>
    </xf>
    <xf numFmtId="0" fontId="254" fillId="80" borderId="602" applyNumberFormat="0" applyAlignment="0" applyProtection="0"/>
    <xf numFmtId="0" fontId="213" fillId="65" borderId="287" applyNumberFormat="0" applyAlignment="0" applyProtection="0"/>
    <xf numFmtId="200" fontId="225" fillId="0" borderId="502" applyFill="0" applyProtection="0"/>
    <xf numFmtId="0" fontId="203" fillId="81" borderId="603" applyNumberFormat="0" applyFont="0" applyAlignment="0" applyProtection="0"/>
    <xf numFmtId="0" fontId="213" fillId="65" borderId="368" applyNumberFormat="0" applyAlignment="0" applyProtection="0"/>
    <xf numFmtId="182" fontId="225" fillId="0" borderId="340" applyFill="0" applyProtection="0"/>
    <xf numFmtId="0" fontId="213" fillId="65" borderId="503" applyNumberFormat="0" applyAlignment="0" applyProtection="0"/>
    <xf numFmtId="200" fontId="225" fillId="0" borderId="430" applyFill="0" applyProtection="0"/>
    <xf numFmtId="0" fontId="213" fillId="65" borderId="611" applyNumberFormat="0" applyAlignment="0" applyProtection="0"/>
    <xf numFmtId="0" fontId="238" fillId="59" borderId="278" applyNumberFormat="0" applyAlignment="0" applyProtection="0"/>
    <xf numFmtId="0" fontId="203" fillId="81" borderId="549" applyNumberFormat="0" applyFont="0" applyAlignment="0" applyProtection="0"/>
    <xf numFmtId="0" fontId="216" fillId="78" borderId="577" applyNumberFormat="0" applyAlignment="0" applyProtection="0"/>
    <xf numFmtId="182" fontId="225" fillId="0" borderId="340" applyFill="0" applyProtection="0"/>
    <xf numFmtId="0" fontId="213" fillId="65" borderId="323" applyNumberFormat="0" applyAlignment="0" applyProtection="0"/>
    <xf numFmtId="0" fontId="229" fillId="83" borderId="373" applyAlignment="0">
      <alignment horizontal="center"/>
    </xf>
    <xf numFmtId="182" fontId="225" fillId="0" borderId="340" applyFill="0" applyProtection="0"/>
    <xf numFmtId="0" fontId="213" fillId="65" borderId="548" applyNumberFormat="0" applyAlignment="0" applyProtection="0"/>
    <xf numFmtId="0" fontId="206" fillId="78" borderId="278" applyNumberFormat="0" applyAlignment="0" applyProtection="0"/>
    <xf numFmtId="0" fontId="203" fillId="81" borderId="495" applyNumberFormat="0" applyFont="0" applyAlignment="0" applyProtection="0"/>
    <xf numFmtId="0" fontId="213" fillId="65" borderId="602" applyNumberFormat="0" applyAlignment="0" applyProtection="0"/>
    <xf numFmtId="0" fontId="153" fillId="0" borderId="339">
      <alignment horizontal="left" vertical="center"/>
    </xf>
    <xf numFmtId="0" fontId="203" fillId="81" borderId="414" applyNumberFormat="0" applyFont="0" applyAlignment="0" applyProtection="0"/>
    <xf numFmtId="0" fontId="203" fillId="81" borderId="423" applyNumberFormat="0" applyFont="0" applyAlignment="0" applyProtection="0"/>
    <xf numFmtId="0" fontId="213" fillId="80" borderId="323" applyNumberFormat="0" applyAlignment="0" applyProtection="0"/>
    <xf numFmtId="0" fontId="206" fillId="78" borderId="242" applyNumberFormat="0" applyAlignment="0" applyProtection="0"/>
    <xf numFmtId="0" fontId="8" fillId="81" borderId="567" applyNumberFormat="0" applyFont="0" applyAlignment="0" applyProtection="0"/>
    <xf numFmtId="0" fontId="176" fillId="81" borderId="225" applyNumberFormat="0" applyFont="0" applyAlignment="0" applyProtection="0"/>
    <xf numFmtId="0" fontId="238" fillId="59" borderId="566" applyNumberFormat="0" applyAlignment="0" applyProtection="0"/>
    <xf numFmtId="0" fontId="238" fillId="59" borderId="242" applyNumberFormat="0" applyAlignment="0" applyProtection="0"/>
    <xf numFmtId="0" fontId="213" fillId="80" borderId="242" applyNumberFormat="0" applyAlignment="0" applyProtection="0"/>
    <xf numFmtId="0" fontId="8" fillId="81" borderId="225" applyNumberFormat="0" applyFont="0" applyAlignment="0" applyProtection="0"/>
    <xf numFmtId="0" fontId="216" fillId="59" borderId="208" applyNumberFormat="0" applyAlignment="0" applyProtection="0"/>
    <xf numFmtId="0" fontId="213" fillId="80" borderId="242" applyNumberFormat="0" applyAlignment="0" applyProtection="0"/>
    <xf numFmtId="200" fontId="225" fillId="0" borderId="367" applyFill="0" applyProtection="0"/>
    <xf numFmtId="0" fontId="176" fillId="81" borderId="225" applyNumberFormat="0" applyFont="0" applyAlignment="0" applyProtection="0"/>
    <xf numFmtId="0" fontId="203" fillId="81" borderId="369" applyNumberFormat="0" applyFont="0" applyAlignment="0" applyProtection="0"/>
    <xf numFmtId="200" fontId="225" fillId="0" borderId="637" applyFill="0" applyProtection="0"/>
    <xf numFmtId="0" fontId="213" fillId="65" borderId="458" applyNumberFormat="0" applyAlignment="0" applyProtection="0"/>
    <xf numFmtId="0" fontId="213" fillId="65" borderId="413" applyNumberFormat="0" applyAlignment="0" applyProtection="0"/>
    <xf numFmtId="200" fontId="225" fillId="0" borderId="295" applyFill="0" applyProtection="0"/>
    <xf numFmtId="0" fontId="229" fillId="83" borderId="598" applyAlignment="0">
      <alignment horizontal="center"/>
    </xf>
    <xf numFmtId="0" fontId="203" fillId="81" borderId="549" applyNumberFormat="0" applyFont="0" applyAlignment="0" applyProtection="0"/>
    <xf numFmtId="0" fontId="213" fillId="65" borderId="503" applyNumberFormat="0" applyAlignment="0" applyProtection="0"/>
    <xf numFmtId="0" fontId="203" fillId="81" borderId="414" applyNumberFormat="0" applyFont="0" applyAlignment="0" applyProtection="0"/>
    <xf numFmtId="0" fontId="213" fillId="65" borderId="368" applyNumberFormat="0" applyAlignment="0" applyProtection="0"/>
    <xf numFmtId="0" fontId="216" fillId="78" borderId="370" applyNumberFormat="0" applyAlignment="0" applyProtection="0"/>
    <xf numFmtId="0" fontId="213" fillId="65" borderId="341" applyNumberFormat="0" applyAlignment="0" applyProtection="0"/>
    <xf numFmtId="0" fontId="203" fillId="81" borderId="432" applyNumberFormat="0" applyFont="0" applyAlignment="0" applyProtection="0"/>
    <xf numFmtId="200" fontId="225" fillId="0" borderId="376" applyFill="0" applyProtection="0"/>
    <xf numFmtId="0" fontId="176" fillId="81" borderId="459" applyNumberFormat="0" applyFont="0" applyAlignment="0" applyProtection="0"/>
    <xf numFmtId="0" fontId="213" fillId="65" borderId="566" applyNumberFormat="0" applyAlignment="0" applyProtection="0"/>
    <xf numFmtId="0" fontId="176" fillId="81" borderId="585" applyNumberFormat="0" applyFont="0" applyAlignment="0" applyProtection="0"/>
    <xf numFmtId="0" fontId="213" fillId="65" borderId="548" applyNumberFormat="0" applyAlignment="0" applyProtection="0"/>
    <xf numFmtId="0" fontId="213" fillId="65" borderId="278" applyNumberFormat="0" applyAlignment="0" applyProtection="0"/>
    <xf numFmtId="0" fontId="206" fillId="78" borderId="593" applyNumberFormat="0" applyAlignment="0" applyProtection="0"/>
    <xf numFmtId="0" fontId="213" fillId="65" borderId="548" applyNumberFormat="0" applyAlignment="0" applyProtection="0"/>
    <xf numFmtId="0" fontId="203" fillId="81" borderId="495" applyNumberFormat="0" applyFont="0" applyAlignment="0" applyProtection="0"/>
    <xf numFmtId="0" fontId="203" fillId="81" borderId="504" applyNumberFormat="0" applyFont="0" applyAlignment="0" applyProtection="0"/>
    <xf numFmtId="0" fontId="203" fillId="81" borderId="324" applyNumberFormat="0" applyFont="0" applyAlignment="0" applyProtection="0"/>
    <xf numFmtId="0" fontId="213" fillId="65" borderId="386" applyNumberFormat="0" applyAlignment="0" applyProtection="0"/>
    <xf numFmtId="0" fontId="213" fillId="65" borderId="503" applyNumberFormat="0" applyAlignment="0" applyProtection="0"/>
    <xf numFmtId="0" fontId="213" fillId="65" borderId="467" applyNumberFormat="0" applyAlignment="0" applyProtection="0"/>
    <xf numFmtId="182" fontId="225" fillId="0" borderId="421" applyFill="0" applyProtection="0"/>
    <xf numFmtId="0" fontId="213" fillId="65" borderId="341" applyNumberFormat="0" applyAlignment="0" applyProtection="0"/>
    <xf numFmtId="0" fontId="213" fillId="65" borderId="557" applyNumberFormat="0" applyAlignment="0" applyProtection="0"/>
    <xf numFmtId="0" fontId="213" fillId="65" borderId="467" applyNumberFormat="0" applyAlignment="0" applyProtection="0"/>
    <xf numFmtId="0" fontId="213" fillId="65" borderId="278" applyNumberFormat="0" applyAlignment="0" applyProtection="0"/>
    <xf numFmtId="0" fontId="213" fillId="65" borderId="323" applyNumberFormat="0" applyAlignment="0" applyProtection="0"/>
    <xf numFmtId="0" fontId="213" fillId="65" borderId="413" applyNumberFormat="0" applyAlignment="0" applyProtection="0"/>
    <xf numFmtId="0" fontId="203" fillId="81" borderId="459" applyNumberFormat="0" applyFont="0" applyAlignment="0" applyProtection="0"/>
    <xf numFmtId="0" fontId="213" fillId="65" borderId="521" applyNumberFormat="0" applyAlignment="0" applyProtection="0"/>
    <xf numFmtId="0" fontId="203" fillId="81" borderId="567" applyNumberFormat="0" applyFont="0" applyAlignment="0" applyProtection="0"/>
    <xf numFmtId="0" fontId="206" fillId="78" borderId="323" applyNumberFormat="0" applyAlignment="0" applyProtection="0"/>
    <xf numFmtId="0" fontId="213" fillId="65" borderId="413" applyNumberFormat="0" applyAlignment="0" applyProtection="0"/>
    <xf numFmtId="0" fontId="238" fillId="59" borderId="458" applyNumberFormat="0" applyAlignment="0" applyProtection="0"/>
    <xf numFmtId="0" fontId="153" fillId="0" borderId="321">
      <alignment horizontal="left" vertical="center"/>
    </xf>
    <xf numFmtId="0" fontId="213" fillId="65" borderId="503" applyNumberFormat="0" applyAlignment="0" applyProtection="0"/>
    <xf numFmtId="0" fontId="213" fillId="65" borderId="323" applyNumberFormat="0" applyAlignment="0" applyProtection="0"/>
    <xf numFmtId="0" fontId="206" fillId="78" borderId="503" applyNumberFormat="0" applyAlignment="0" applyProtection="0"/>
    <xf numFmtId="0" fontId="213" fillId="65" borderId="458" applyNumberFormat="0" applyAlignment="0" applyProtection="0"/>
    <xf numFmtId="0" fontId="213" fillId="65" borderId="593" applyNumberFormat="0" applyAlignment="0" applyProtection="0"/>
    <xf numFmtId="0" fontId="213" fillId="65" borderId="557" applyNumberFormat="0" applyAlignment="0" applyProtection="0"/>
    <xf numFmtId="0" fontId="229" fillId="83" borderId="516" applyAlignment="0">
      <alignment horizontal="center"/>
    </xf>
    <xf numFmtId="0" fontId="213" fillId="65" borderId="278" applyNumberFormat="0" applyAlignment="0" applyProtection="0"/>
    <xf numFmtId="0" fontId="213" fillId="65" borderId="323" applyNumberFormat="0" applyAlignment="0" applyProtection="0"/>
    <xf numFmtId="0" fontId="238" fillId="59" borderId="332" applyNumberFormat="0" applyAlignment="0" applyProtection="0"/>
    <xf numFmtId="0" fontId="213" fillId="65" borderId="422" applyNumberFormat="0" applyAlignment="0" applyProtection="0"/>
    <xf numFmtId="0" fontId="216" fillId="78" borderId="388" applyNumberFormat="0" applyAlignment="0" applyProtection="0"/>
    <xf numFmtId="0" fontId="203" fillId="81" borderId="333" applyNumberFormat="0" applyFont="0" applyAlignment="0" applyProtection="0"/>
    <xf numFmtId="0" fontId="213" fillId="65" borderId="413" applyNumberFormat="0" applyAlignment="0" applyProtection="0"/>
    <xf numFmtId="0" fontId="213" fillId="65" borderId="413" applyNumberFormat="0" applyAlignment="0" applyProtection="0"/>
    <xf numFmtId="182" fontId="225" fillId="0" borderId="286" applyFill="0" applyProtection="0"/>
    <xf numFmtId="0" fontId="203" fillId="81" borderId="603" applyNumberFormat="0" applyFont="0" applyAlignment="0" applyProtection="0"/>
    <xf numFmtId="0" fontId="213" fillId="65" borderId="611" applyNumberFormat="0" applyAlignment="0" applyProtection="0"/>
    <xf numFmtId="0" fontId="206" fillId="78" borderId="593" applyNumberFormat="0" applyAlignment="0" applyProtection="0"/>
    <xf numFmtId="0" fontId="203" fillId="81" borderId="594" applyNumberFormat="0" applyFont="0" applyAlignment="0" applyProtection="0"/>
    <xf numFmtId="0" fontId="213" fillId="65" borderId="413" applyNumberFormat="0" applyAlignment="0" applyProtection="0"/>
    <xf numFmtId="0" fontId="153" fillId="0" borderId="411">
      <alignment horizontal="left" vertical="center"/>
    </xf>
    <xf numFmtId="0" fontId="213" fillId="80" borderId="323" applyNumberFormat="0" applyAlignment="0" applyProtection="0"/>
    <xf numFmtId="0" fontId="203" fillId="81" borderId="549" applyNumberFormat="0" applyFont="0" applyAlignment="0" applyProtection="0"/>
    <xf numFmtId="0" fontId="8" fillId="81" borderId="414" applyNumberFormat="0" applyFont="0" applyAlignment="0" applyProtection="0"/>
    <xf numFmtId="0" fontId="176" fillId="81" borderId="288" applyNumberFormat="0" applyFont="0" applyAlignment="0" applyProtection="0"/>
    <xf numFmtId="0" fontId="203" fillId="81" borderId="468" applyNumberFormat="0" applyFont="0" applyAlignment="0" applyProtection="0"/>
    <xf numFmtId="0" fontId="213" fillId="80" borderId="458" applyNumberFormat="0" applyAlignment="0" applyProtection="0"/>
    <xf numFmtId="0" fontId="238" fillId="59" borderId="323" applyNumberFormat="0" applyAlignment="0" applyProtection="0"/>
    <xf numFmtId="0" fontId="206" fillId="78" borderId="278" applyNumberFormat="0" applyAlignment="0" applyProtection="0"/>
    <xf numFmtId="0" fontId="213" fillId="65" borderId="557" applyNumberFormat="0" applyAlignment="0" applyProtection="0"/>
    <xf numFmtId="0" fontId="213" fillId="65" borderId="278" applyNumberFormat="0" applyAlignment="0" applyProtection="0"/>
    <xf numFmtId="0" fontId="203" fillId="81" borderId="378" applyNumberFormat="0" applyFont="0" applyAlignment="0" applyProtection="0"/>
    <xf numFmtId="0" fontId="203" fillId="81" borderId="333" applyNumberFormat="0" applyFont="0" applyAlignment="0" applyProtection="0"/>
    <xf numFmtId="0" fontId="216" fillId="59" borderId="595" applyNumberForma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174" fillId="0" borderId="461" applyNumberFormat="0" applyFill="0" applyAlignment="0" applyProtection="0"/>
    <xf numFmtId="0" fontId="213" fillId="65" borderId="278" applyNumberFormat="0" applyAlignment="0" applyProtection="0"/>
    <xf numFmtId="0" fontId="153" fillId="0" borderId="276">
      <alignment horizontal="left" vertical="center"/>
    </xf>
    <xf numFmtId="0" fontId="203" fillId="81" borderId="333" applyNumberFormat="0" applyFont="0" applyAlignment="0" applyProtection="0"/>
    <xf numFmtId="0" fontId="206" fillId="78" borderId="476" applyNumberFormat="0" applyAlignment="0" applyProtection="0"/>
    <xf numFmtId="0" fontId="213" fillId="80" borderId="548" applyNumberFormat="0" applyAlignment="0" applyProtection="0"/>
    <xf numFmtId="0" fontId="213" fillId="80" borderId="368" applyNumberFormat="0" applyAlignment="0" applyProtection="0"/>
    <xf numFmtId="0" fontId="174" fillId="0" borderId="497" applyNumberFormat="0" applyFill="0" applyAlignment="0" applyProtection="0"/>
    <xf numFmtId="0" fontId="203" fillId="81" borderId="612" applyNumberFormat="0" applyFont="0" applyAlignment="0" applyProtection="0"/>
    <xf numFmtId="0" fontId="174" fillId="0" borderId="596" applyNumberFormat="0" applyFill="0" applyAlignment="0" applyProtection="0"/>
    <xf numFmtId="0" fontId="203" fillId="81" borderId="504" applyNumberFormat="0" applyFont="0" applyAlignment="0" applyProtection="0"/>
    <xf numFmtId="200" fontId="225" fillId="0" borderId="466" applyFill="0" applyProtection="0"/>
    <xf numFmtId="0" fontId="203" fillId="81" borderId="414" applyNumberFormat="0" applyFont="0" applyAlignment="0" applyProtection="0"/>
    <xf numFmtId="0" fontId="213" fillId="65" borderId="593" applyNumberFormat="0" applyAlignment="0" applyProtection="0"/>
    <xf numFmtId="0" fontId="213" fillId="65" borderId="503" applyNumberFormat="0" applyAlignment="0" applyProtection="0"/>
    <xf numFmtId="0" fontId="213" fillId="65" borderId="377" applyNumberFormat="0" applyAlignment="0" applyProtection="0"/>
    <xf numFmtId="200" fontId="225" fillId="0" borderId="601" applyFill="0" applyProtection="0"/>
    <xf numFmtId="0" fontId="213" fillId="65" borderId="602" applyNumberFormat="0" applyAlignment="0" applyProtection="0"/>
    <xf numFmtId="0" fontId="213" fillId="65" borderId="476" applyNumberFormat="0" applyAlignment="0" applyProtection="0"/>
    <xf numFmtId="182" fontId="225" fillId="0" borderId="511" applyFill="0" applyProtection="0"/>
    <xf numFmtId="0" fontId="213" fillId="65" borderId="548" applyNumberFormat="0" applyAlignment="0" applyProtection="0"/>
    <xf numFmtId="0" fontId="213" fillId="65" borderId="521" applyNumberFormat="0" applyAlignment="0" applyProtection="0"/>
    <xf numFmtId="0" fontId="203" fillId="81" borderId="522" applyNumberFormat="0" applyFont="0" applyAlignment="0" applyProtection="0"/>
    <xf numFmtId="0" fontId="213" fillId="65" borderId="611" applyNumberFormat="0" applyAlignment="0" applyProtection="0"/>
    <xf numFmtId="0" fontId="203" fillId="81" borderId="468" applyNumberFormat="0" applyFont="0" applyAlignment="0" applyProtection="0"/>
    <xf numFmtId="0" fontId="213" fillId="65" borderId="368" applyNumberFormat="0" applyAlignment="0" applyProtection="0"/>
    <xf numFmtId="0" fontId="244" fillId="0" borderId="367" applyNumberFormat="0" applyFont="0" applyFill="0" applyAlignment="0" applyProtection="0"/>
    <xf numFmtId="200" fontId="225" fillId="0" borderId="367" applyFill="0" applyProtection="0"/>
    <xf numFmtId="0" fontId="213" fillId="80" borderId="323" applyNumberFormat="0" applyAlignment="0" applyProtection="0"/>
    <xf numFmtId="0" fontId="203" fillId="81" borderId="594" applyNumberFormat="0" applyFont="0" applyAlignment="0" applyProtection="0"/>
    <xf numFmtId="0" fontId="213" fillId="65" borderId="521" applyNumberFormat="0" applyAlignment="0" applyProtection="0"/>
    <xf numFmtId="0" fontId="213" fillId="65" borderId="368" applyNumberFormat="0" applyAlignment="0" applyProtection="0"/>
    <xf numFmtId="0" fontId="229" fillId="83" borderId="336" applyAlignment="0">
      <alignment horizontal="center"/>
    </xf>
    <xf numFmtId="0" fontId="249" fillId="59" borderId="287" applyNumberFormat="0" applyAlignment="0" applyProtection="0"/>
    <xf numFmtId="0" fontId="153" fillId="0" borderId="366">
      <alignment horizontal="left" vertical="center"/>
    </xf>
    <xf numFmtId="0" fontId="216" fillId="59" borderId="523" applyNumberFormat="0" applyAlignment="0" applyProtection="0"/>
    <xf numFmtId="0" fontId="213" fillId="65" borderId="368" applyNumberFormat="0" applyAlignment="0" applyProtection="0"/>
    <xf numFmtId="0" fontId="153" fillId="0" borderId="456">
      <alignment horizontal="left" vertical="center"/>
    </xf>
    <xf numFmtId="0" fontId="203" fillId="81" borderId="567" applyNumberFormat="0" applyFont="0" applyAlignment="0" applyProtection="0"/>
    <xf numFmtId="182" fontId="225" fillId="0" borderId="520" applyFill="0" applyProtection="0"/>
    <xf numFmtId="200" fontId="225" fillId="0" borderId="475" applyFill="0" applyProtection="0"/>
    <xf numFmtId="0" fontId="203" fillId="81" borderId="468" applyNumberFormat="0" applyFont="0" applyAlignment="0" applyProtection="0"/>
    <xf numFmtId="200" fontId="225" fillId="0" borderId="277" applyFill="0" applyProtection="0"/>
    <xf numFmtId="0" fontId="213" fillId="80" borderId="566" applyNumberFormat="0" applyAlignment="0" applyProtection="0"/>
    <xf numFmtId="0" fontId="238" fillId="59" borderId="368" applyNumberFormat="0" applyAlignment="0" applyProtection="0"/>
    <xf numFmtId="0" fontId="213" fillId="65" borderId="557" applyNumberFormat="0" applyAlignment="0" applyProtection="0"/>
    <xf numFmtId="0" fontId="203" fillId="0" borderId="0"/>
    <xf numFmtId="0" fontId="203" fillId="81" borderId="513" applyNumberFormat="0" applyFont="0" applyAlignment="0" applyProtection="0"/>
    <xf numFmtId="0" fontId="213" fillId="80" borderId="341" applyNumberFormat="0" applyAlignment="0" applyProtection="0"/>
    <xf numFmtId="0" fontId="203" fillId="81" borderId="414" applyNumberFormat="0" applyFont="0" applyAlignment="0" applyProtection="0"/>
    <xf numFmtId="0" fontId="213" fillId="65" borderId="593" applyNumberFormat="0" applyAlignment="0" applyProtection="0"/>
    <xf numFmtId="0" fontId="178" fillId="0" borderId="464" applyProtection="0"/>
    <xf numFmtId="0" fontId="213" fillId="65" borderId="323" applyNumberFormat="0" applyAlignment="0" applyProtection="0"/>
    <xf numFmtId="0" fontId="213" fillId="80" borderId="278" applyNumberFormat="0" applyAlignment="0" applyProtection="0"/>
    <xf numFmtId="0" fontId="213" fillId="65" borderId="323" applyNumberFormat="0" applyAlignment="0" applyProtection="0"/>
    <xf numFmtId="0" fontId="203" fillId="81" borderId="306" applyNumberFormat="0" applyFont="0" applyAlignment="0" applyProtection="0"/>
    <xf numFmtId="0" fontId="178" fillId="0" borderId="608" applyProtection="0"/>
    <xf numFmtId="0" fontId="213" fillId="65" borderId="503" applyNumberFormat="0" applyAlignment="0" applyProtection="0"/>
    <xf numFmtId="0" fontId="213" fillId="65" borderId="377" applyNumberFormat="0" applyAlignment="0" applyProtection="0"/>
    <xf numFmtId="0" fontId="213" fillId="65" borderId="287" applyNumberFormat="0" applyAlignment="0" applyProtection="0"/>
    <xf numFmtId="0" fontId="213" fillId="65" borderId="413" applyNumberFormat="0" applyAlignment="0" applyProtection="0"/>
    <xf numFmtId="0" fontId="213" fillId="65" borderId="332" applyNumberFormat="0" applyAlignment="0" applyProtection="0"/>
    <xf numFmtId="0" fontId="213" fillId="65" borderId="368" applyNumberFormat="0" applyAlignment="0" applyProtection="0"/>
    <xf numFmtId="0" fontId="213" fillId="80" borderId="368" applyNumberFormat="0" applyAlignment="0" applyProtection="0"/>
    <xf numFmtId="182" fontId="225" fillId="0" borderId="376" applyFill="0" applyProtection="0"/>
    <xf numFmtId="0" fontId="203" fillId="81" borderId="369" applyNumberFormat="0" applyFont="0" applyAlignment="0" applyProtection="0"/>
    <xf numFmtId="0" fontId="213" fillId="65" borderId="458" applyNumberFormat="0" applyAlignment="0" applyProtection="0"/>
    <xf numFmtId="0" fontId="203" fillId="81" borderId="558" applyNumberFormat="0" applyFont="0" applyAlignment="0" applyProtection="0"/>
    <xf numFmtId="0" fontId="254" fillId="80" borderId="593" applyNumberFormat="0" applyAlignment="0" applyProtection="0"/>
    <xf numFmtId="0" fontId="174" fillId="0" borderId="292" applyNumberFormat="0" applyFill="0" applyAlignment="0" applyProtection="0"/>
    <xf numFmtId="0" fontId="213" fillId="65" borderId="413" applyNumberFormat="0" applyAlignment="0" applyProtection="0"/>
    <xf numFmtId="0" fontId="213" fillId="65" borderId="287" applyNumberFormat="0" applyAlignment="0" applyProtection="0"/>
    <xf numFmtId="0" fontId="216" fillId="59" borderId="514" applyNumberFormat="0" applyAlignment="0" applyProtection="0"/>
    <xf numFmtId="0" fontId="213" fillId="65" borderId="323" applyNumberFormat="0" applyAlignment="0" applyProtection="0"/>
    <xf numFmtId="0" fontId="203" fillId="81" borderId="522" applyNumberFormat="0" applyFont="0" applyAlignment="0" applyProtection="0"/>
    <xf numFmtId="182" fontId="225" fillId="0" borderId="412" applyFill="0" applyProtection="0"/>
    <xf numFmtId="0" fontId="213" fillId="80" borderId="566" applyNumberFormat="0" applyAlignment="0" applyProtection="0"/>
    <xf numFmtId="0" fontId="254" fillId="80" borderId="413" applyNumberFormat="0" applyAlignment="0" applyProtection="0"/>
    <xf numFmtId="0" fontId="203" fillId="81" borderId="279" applyNumberFormat="0" applyFont="0" applyAlignment="0" applyProtection="0"/>
    <xf numFmtId="0" fontId="203" fillId="81" borderId="594" applyNumberFormat="0" applyFont="0" applyAlignment="0" applyProtection="0"/>
    <xf numFmtId="0" fontId="213" fillId="65" borderId="602" applyNumberFormat="0" applyAlignment="0" applyProtection="0"/>
    <xf numFmtId="200" fontId="225" fillId="0" borderId="367" applyFill="0" applyProtection="0"/>
    <xf numFmtId="0" fontId="203" fillId="81" borderId="279" applyNumberFormat="0" applyFont="0" applyAlignment="0" applyProtection="0"/>
    <xf numFmtId="0" fontId="176" fillId="81" borderId="306" applyNumberFormat="0" applyFont="0" applyAlignment="0" applyProtection="0"/>
    <xf numFmtId="182" fontId="225" fillId="0" borderId="565" applyFill="0" applyProtection="0"/>
    <xf numFmtId="0" fontId="213" fillId="65" borderId="323" applyNumberFormat="0" applyAlignment="0" applyProtection="0"/>
    <xf numFmtId="0" fontId="203" fillId="81" borderId="324" applyNumberFormat="0" applyFont="0" applyAlignment="0" applyProtection="0"/>
    <xf numFmtId="0" fontId="174" fillId="0" borderId="346" applyNumberFormat="0" applyFill="0" applyAlignment="0" applyProtection="0"/>
    <xf numFmtId="200" fontId="225" fillId="0" borderId="421" applyFill="0" applyProtection="0"/>
    <xf numFmtId="0" fontId="203" fillId="81" borderId="567" applyNumberFormat="0" applyFont="0" applyAlignment="0" applyProtection="0"/>
    <xf numFmtId="0" fontId="213" fillId="65" borderId="611" applyNumberFormat="0" applyAlignment="0" applyProtection="0"/>
    <xf numFmtId="0" fontId="153" fillId="0" borderId="591">
      <alignment horizontal="left" vertical="center"/>
    </xf>
    <xf numFmtId="0" fontId="213" fillId="65" borderId="413" applyNumberFormat="0" applyAlignment="0" applyProtection="0"/>
    <xf numFmtId="182" fontId="225" fillId="0" borderId="511" applyFill="0" applyProtection="0"/>
    <xf numFmtId="0" fontId="203" fillId="81" borderId="414" applyNumberFormat="0" applyFont="0" applyAlignment="0" applyProtection="0"/>
    <xf numFmtId="0" fontId="213" fillId="65" borderId="503" applyNumberFormat="0" applyAlignment="0" applyProtection="0"/>
    <xf numFmtId="0" fontId="176" fillId="81" borderId="414" applyNumberFormat="0" applyFont="0" applyAlignment="0" applyProtection="0"/>
    <xf numFmtId="0" fontId="213" fillId="65" borderId="602" applyNumberFormat="0" applyAlignment="0" applyProtection="0"/>
    <xf numFmtId="0" fontId="229" fillId="83" borderId="318" applyAlignment="0">
      <alignment horizontal="center"/>
    </xf>
    <xf numFmtId="0" fontId="203" fillId="81" borderId="288" applyNumberFormat="0" applyFont="0" applyAlignment="0" applyProtection="0"/>
    <xf numFmtId="0" fontId="203" fillId="81" borderId="369" applyNumberFormat="0" applyFont="0" applyAlignment="0" applyProtection="0"/>
    <xf numFmtId="182" fontId="225" fillId="0" borderId="610" applyFill="0" applyProtection="0"/>
    <xf numFmtId="0" fontId="8" fillId="81" borderId="459" applyNumberFormat="0" applyFont="0" applyAlignment="0" applyProtection="0"/>
    <xf numFmtId="0" fontId="213" fillId="65" borderId="422" applyNumberFormat="0" applyAlignment="0" applyProtection="0"/>
    <xf numFmtId="0" fontId="213" fillId="65" borderId="278" applyNumberFormat="0" applyAlignment="0" applyProtection="0"/>
    <xf numFmtId="0" fontId="213" fillId="65" borderId="368" applyNumberFormat="0" applyAlignment="0" applyProtection="0"/>
    <xf numFmtId="0" fontId="174" fillId="0" borderId="362" applyNumberFormat="0" applyFill="0" applyAlignment="0" applyProtection="0"/>
    <xf numFmtId="0" fontId="216" fillId="78" borderId="460" applyNumberFormat="0" applyAlignment="0" applyProtection="0"/>
    <xf numFmtId="0" fontId="174" fillId="0" borderId="562" applyNumberFormat="0" applyFill="0" applyAlignment="0" applyProtection="0"/>
    <xf numFmtId="0" fontId="213" fillId="65" borderId="602" applyNumberFormat="0" applyAlignment="0" applyProtection="0"/>
    <xf numFmtId="0" fontId="174" fillId="0" borderId="499" applyNumberFormat="0" applyFill="0" applyAlignment="0" applyProtection="0"/>
    <xf numFmtId="0" fontId="213" fillId="65" borderId="278" applyNumberFormat="0" applyAlignment="0" applyProtection="0"/>
    <xf numFmtId="0" fontId="238" fillId="59" borderId="548" applyNumberFormat="0" applyAlignment="0" applyProtection="0"/>
    <xf numFmtId="0" fontId="213" fillId="65" borderId="512" applyNumberFormat="0" applyAlignment="0" applyProtection="0"/>
    <xf numFmtId="0" fontId="213" fillId="65" borderId="332" applyNumberFormat="0" applyAlignment="0" applyProtection="0"/>
    <xf numFmtId="200" fontId="225" fillId="0" borderId="331" applyFill="0" applyProtection="0"/>
    <xf numFmtId="0" fontId="203" fillId="81" borderId="369" applyNumberFormat="0" applyFont="0" applyAlignment="0" applyProtection="0"/>
    <xf numFmtId="0" fontId="213" fillId="65" borderId="548" applyNumberFormat="0" applyAlignment="0" applyProtection="0"/>
    <xf numFmtId="0" fontId="176" fillId="81" borderId="423" applyNumberFormat="0" applyFont="0" applyAlignment="0" applyProtection="0"/>
    <xf numFmtId="0" fontId="216" fillId="78" borderId="280" applyNumberFormat="0" applyAlignment="0" applyProtection="0"/>
    <xf numFmtId="0" fontId="203" fillId="81" borderId="513" applyNumberFormat="0" applyFont="0" applyAlignment="0" applyProtection="0"/>
    <xf numFmtId="0" fontId="213" fillId="65" borderId="377" applyNumberFormat="0" applyAlignment="0" applyProtection="0"/>
    <xf numFmtId="0" fontId="213" fillId="65" borderId="593" applyNumberFormat="0" applyAlignment="0" applyProtection="0"/>
    <xf numFmtId="182" fontId="225" fillId="0" borderId="475" applyFill="0" applyProtection="0"/>
    <xf numFmtId="0" fontId="213" fillId="65" borderId="368" applyNumberFormat="0" applyAlignment="0" applyProtection="0"/>
    <xf numFmtId="0" fontId="176" fillId="81" borderId="288" applyNumberFormat="0" applyFont="0" applyAlignment="0" applyProtection="0"/>
    <xf numFmtId="0" fontId="213" fillId="65" borderId="512" applyNumberFormat="0" applyAlignment="0" applyProtection="0"/>
    <xf numFmtId="0" fontId="203" fillId="81" borderId="432" applyNumberFormat="0" applyFont="0" applyAlignment="0" applyProtection="0"/>
    <xf numFmtId="0" fontId="213" fillId="65" borderId="332" applyNumberFormat="0" applyAlignment="0" applyProtection="0"/>
    <xf numFmtId="200" fontId="225" fillId="0" borderId="376" applyFill="0" applyProtection="0"/>
    <xf numFmtId="0" fontId="203" fillId="81" borderId="333" applyNumberFormat="0" applyFont="0" applyAlignment="0" applyProtection="0"/>
    <xf numFmtId="0" fontId="213" fillId="65" borderId="548" applyNumberFormat="0" applyAlignment="0" applyProtection="0"/>
    <xf numFmtId="0" fontId="203" fillId="81" borderId="414" applyNumberFormat="0" applyFont="0" applyAlignment="0" applyProtection="0"/>
    <xf numFmtId="0" fontId="8" fillId="81" borderId="324" applyNumberFormat="0" applyFont="0" applyAlignment="0" applyProtection="0"/>
    <xf numFmtId="0" fontId="213" fillId="65" borderId="611" applyNumberFormat="0" applyAlignment="0" applyProtection="0"/>
    <xf numFmtId="0" fontId="213" fillId="65" borderId="422" applyNumberFormat="0" applyAlignment="0" applyProtection="0"/>
    <xf numFmtId="0" fontId="213" fillId="65" borderId="278" applyNumberFormat="0" applyAlignment="0" applyProtection="0"/>
    <xf numFmtId="200" fontId="225" fillId="0" borderId="421" applyFill="0" applyProtection="0"/>
    <xf numFmtId="0" fontId="213" fillId="80" borderId="467" applyNumberFormat="0" applyAlignment="0" applyProtection="0"/>
    <xf numFmtId="0" fontId="178" fillId="0" borderId="563" applyProtection="0"/>
    <xf numFmtId="0" fontId="213" fillId="65" borderId="323" applyNumberFormat="0" applyAlignment="0" applyProtection="0"/>
    <xf numFmtId="0" fontId="176" fillId="81" borderId="279" applyNumberFormat="0" applyFont="0" applyAlignment="0" applyProtection="0"/>
    <xf numFmtId="0" fontId="213" fillId="65" borderId="593" applyNumberFormat="0" applyAlignment="0" applyProtection="0"/>
    <xf numFmtId="0" fontId="203" fillId="81" borderId="612" applyNumberFormat="0" applyFont="0" applyAlignment="0" applyProtection="0"/>
    <xf numFmtId="0" fontId="8" fillId="81" borderId="324" applyNumberFormat="0" applyFont="0" applyAlignment="0" applyProtection="0"/>
    <xf numFmtId="0" fontId="229" fillId="83" borderId="570" applyAlignment="0">
      <alignment horizontal="center"/>
    </xf>
    <xf numFmtId="0" fontId="203" fillId="81" borderId="414" applyNumberFormat="0" applyFont="0" applyAlignment="0" applyProtection="0"/>
    <xf numFmtId="0" fontId="216" fillId="78" borderId="433" applyNumberFormat="0" applyAlignment="0" applyProtection="0"/>
    <xf numFmtId="0" fontId="203" fillId="81" borderId="504" applyNumberFormat="0" applyFont="0" applyAlignment="0" applyProtection="0"/>
    <xf numFmtId="0" fontId="178" fillId="0" borderId="599" applyProtection="0"/>
    <xf numFmtId="0" fontId="216" fillId="78" borderId="613" applyNumberFormat="0" applyAlignment="0" applyProtection="0"/>
    <xf numFmtId="182" fontId="225" fillId="0" borderId="331" applyFill="0" applyProtection="0"/>
    <xf numFmtId="0" fontId="213" fillId="65" borderId="503" applyNumberFormat="0" applyAlignment="0" applyProtection="0"/>
    <xf numFmtId="200" fontId="225" fillId="0" borderId="286" applyFill="0" applyProtection="0"/>
    <xf numFmtId="0" fontId="213" fillId="65" borderId="413" applyNumberFormat="0" applyAlignment="0" applyProtection="0"/>
    <xf numFmtId="0" fontId="174" fillId="0" borderId="596" applyNumberFormat="0" applyFill="0" applyAlignment="0" applyProtection="0"/>
    <xf numFmtId="0" fontId="203" fillId="81" borderId="513" applyNumberFormat="0" applyFont="0" applyAlignment="0" applyProtection="0"/>
    <xf numFmtId="0" fontId="213" fillId="65" borderId="503" applyNumberFormat="0" applyAlignment="0" applyProtection="0"/>
    <xf numFmtId="0" fontId="229" fillId="83" borderId="418" applyAlignment="0">
      <alignment horizontal="center"/>
    </xf>
    <xf numFmtId="0" fontId="153" fillId="0" borderId="501">
      <alignment horizontal="left" vertical="center"/>
    </xf>
    <xf numFmtId="0" fontId="213" fillId="65" borderId="413" applyNumberFormat="0" applyAlignment="0" applyProtection="0"/>
    <xf numFmtId="200" fontId="225" fillId="0" borderId="331" applyFill="0" applyProtection="0"/>
    <xf numFmtId="0" fontId="203" fillId="81" borderId="612" applyNumberFormat="0" applyFont="0" applyAlignment="0" applyProtection="0"/>
    <xf numFmtId="200" fontId="225" fillId="0" borderId="502" applyFill="0" applyProtection="0"/>
    <xf numFmtId="0" fontId="213" fillId="65" borderId="287" applyNumberFormat="0" applyAlignment="0" applyProtection="0"/>
    <xf numFmtId="0" fontId="213" fillId="65" borderId="278" applyNumberFormat="0" applyAlignment="0" applyProtection="0"/>
    <xf numFmtId="200" fontId="225" fillId="0" borderId="466" applyFill="0" applyProtection="0"/>
    <xf numFmtId="0" fontId="203" fillId="81" borderId="387" applyNumberFormat="0" applyFont="0" applyAlignment="0" applyProtection="0"/>
    <xf numFmtId="0" fontId="213" fillId="80" borderId="458" applyNumberFormat="0" applyAlignment="0" applyProtection="0"/>
    <xf numFmtId="200" fontId="225" fillId="0" borderId="331" applyFill="0" applyProtection="0"/>
    <xf numFmtId="0" fontId="174" fillId="0" borderId="281" applyNumberFormat="0" applyFill="0" applyAlignment="0" applyProtection="0"/>
    <xf numFmtId="0" fontId="213" fillId="65" borderId="431" applyNumberFormat="0" applyAlignment="0" applyProtection="0"/>
    <xf numFmtId="0" fontId="213" fillId="65" borderId="296" applyNumberFormat="0" applyAlignment="0" applyProtection="0"/>
    <xf numFmtId="200" fontId="225" fillId="0" borderId="367" applyFill="0" applyProtection="0"/>
    <xf numFmtId="0" fontId="176" fillId="81" borderId="414" applyNumberFormat="0" applyFont="0" applyAlignment="0" applyProtection="0"/>
    <xf numFmtId="0" fontId="213" fillId="65" borderId="548" applyNumberFormat="0" applyAlignment="0" applyProtection="0"/>
    <xf numFmtId="0" fontId="213" fillId="80" borderId="593" applyNumberFormat="0" applyAlignment="0" applyProtection="0"/>
    <xf numFmtId="0" fontId="213" fillId="65" borderId="413" applyNumberFormat="0" applyAlignment="0" applyProtection="0"/>
    <xf numFmtId="0" fontId="213" fillId="80" borderId="413" applyNumberFormat="0" applyAlignment="0" applyProtection="0"/>
    <xf numFmtId="0" fontId="213" fillId="65" borderId="593" applyNumberFormat="0" applyAlignment="0" applyProtection="0"/>
    <xf numFmtId="0" fontId="216" fillId="78" borderId="415" applyNumberFormat="0" applyAlignment="0" applyProtection="0"/>
    <xf numFmtId="0" fontId="254" fillId="80" borderId="368" applyNumberFormat="0" applyAlignment="0" applyProtection="0"/>
    <xf numFmtId="0" fontId="203" fillId="81" borderId="324" applyNumberFormat="0" applyFont="0" applyAlignment="0" applyProtection="0"/>
    <xf numFmtId="0" fontId="213" fillId="65" borderId="413" applyNumberFormat="0" applyAlignment="0" applyProtection="0"/>
    <xf numFmtId="0" fontId="203" fillId="81" borderId="414" applyNumberFormat="0" applyFont="0" applyAlignment="0" applyProtection="0"/>
    <xf numFmtId="0" fontId="213" fillId="65" borderId="503" applyNumberFormat="0" applyAlignment="0" applyProtection="0"/>
    <xf numFmtId="0" fontId="213" fillId="80" borderId="548" applyNumberFormat="0" applyAlignment="0" applyProtection="0"/>
    <xf numFmtId="182" fontId="225" fillId="0" borderId="565" applyFill="0" applyProtection="0"/>
    <xf numFmtId="0" fontId="153" fillId="0" borderId="555">
      <alignment horizontal="left" vertical="center"/>
    </xf>
    <xf numFmtId="0" fontId="176" fillId="81" borderId="594" applyNumberFormat="0" applyFont="0" applyAlignment="0" applyProtection="0"/>
    <xf numFmtId="0" fontId="153" fillId="0" borderId="600">
      <alignment horizontal="left" vertical="center"/>
    </xf>
    <xf numFmtId="0" fontId="213" fillId="65" borderId="548" applyNumberFormat="0" applyAlignment="0" applyProtection="0"/>
    <xf numFmtId="0" fontId="213" fillId="80" borderId="512" applyNumberFormat="0" applyAlignment="0" applyProtection="0"/>
    <xf numFmtId="0" fontId="213" fillId="65" borderId="377" applyNumberFormat="0" applyAlignment="0" applyProtection="0"/>
    <xf numFmtId="0" fontId="213" fillId="65" borderId="548" applyNumberFormat="0" applyAlignment="0" applyProtection="0"/>
    <xf numFmtId="200" fontId="225" fillId="0" borderId="286" applyFill="0" applyProtection="0"/>
    <xf numFmtId="0" fontId="203" fillId="81" borderId="432" applyNumberFormat="0" applyFont="0" applyAlignment="0" applyProtection="0"/>
    <xf numFmtId="0" fontId="213" fillId="65" borderId="278" applyNumberFormat="0" applyAlignment="0" applyProtection="0"/>
    <xf numFmtId="0" fontId="213" fillId="80" borderId="413" applyNumberFormat="0" applyAlignment="0" applyProtection="0"/>
    <xf numFmtId="0" fontId="213" fillId="65" borderId="413" applyNumberFormat="0" applyAlignment="0" applyProtection="0"/>
    <xf numFmtId="0" fontId="213" fillId="65" borderId="467" applyNumberFormat="0" applyAlignment="0" applyProtection="0"/>
    <xf numFmtId="0" fontId="213" fillId="65" borderId="332" applyNumberFormat="0" applyAlignment="0" applyProtection="0"/>
    <xf numFmtId="0" fontId="203" fillId="81" borderId="288" applyNumberFormat="0" applyFont="0" applyAlignment="0" applyProtection="0"/>
    <xf numFmtId="0" fontId="178" fillId="0" borderId="509" applyProtection="0"/>
    <xf numFmtId="0" fontId="257" fillId="59" borderId="280" applyNumberFormat="0" applyAlignment="0" applyProtection="0"/>
    <xf numFmtId="0" fontId="203" fillId="81" borderId="522" applyNumberFormat="0" applyFont="0" applyAlignment="0" applyProtection="0"/>
    <xf numFmtId="0" fontId="203" fillId="81" borderId="549" applyNumberFormat="0" applyFont="0" applyAlignment="0" applyProtection="0"/>
    <xf numFmtId="0" fontId="216" fillId="78" borderId="613" applyNumberFormat="0" applyAlignment="0" applyProtection="0"/>
    <xf numFmtId="0" fontId="213" fillId="65" borderId="548" applyNumberFormat="0" applyAlignment="0" applyProtection="0"/>
    <xf numFmtId="0" fontId="213" fillId="80" borderId="503" applyNumberFormat="0" applyAlignment="0" applyProtection="0"/>
    <xf numFmtId="0" fontId="203" fillId="81" borderId="414" applyNumberFormat="0" applyFont="0" applyAlignment="0" applyProtection="0"/>
    <xf numFmtId="0" fontId="216" fillId="78" borderId="469" applyNumberFormat="0" applyAlignment="0" applyProtection="0"/>
    <xf numFmtId="182" fontId="225" fillId="0" borderId="466" applyFill="0" applyProtection="0"/>
    <xf numFmtId="0" fontId="229" fillId="83" borderId="463" applyAlignment="0">
      <alignment horizontal="center"/>
    </xf>
    <xf numFmtId="0" fontId="176" fillId="81" borderId="414" applyNumberFormat="0" applyFont="0" applyAlignment="0" applyProtection="0"/>
    <xf numFmtId="0" fontId="203" fillId="81" borderId="594" applyNumberFormat="0" applyFont="0" applyAlignment="0" applyProtection="0"/>
    <xf numFmtId="0" fontId="213" fillId="80" borderId="278" applyNumberFormat="0" applyAlignment="0" applyProtection="0"/>
    <xf numFmtId="0" fontId="257" fillId="59" borderId="523" applyNumberFormat="0" applyAlignment="0" applyProtection="0"/>
    <xf numFmtId="0" fontId="213" fillId="65" borderId="323" applyNumberFormat="0" applyAlignment="0" applyProtection="0"/>
    <xf numFmtId="0" fontId="213" fillId="80" borderId="386" applyNumberFormat="0" applyAlignment="0" applyProtection="0"/>
    <xf numFmtId="0" fontId="213" fillId="65" borderId="602" applyNumberFormat="0" applyAlignment="0" applyProtection="0"/>
    <xf numFmtId="0" fontId="203" fillId="81" borderId="279" applyNumberFormat="0" applyFont="0" applyAlignment="0" applyProtection="0"/>
    <xf numFmtId="200" fontId="225" fillId="0" borderId="340" applyFill="0" applyProtection="0"/>
    <xf numFmtId="0" fontId="213" fillId="80" borderId="323" applyNumberFormat="0" applyAlignment="0" applyProtection="0"/>
    <xf numFmtId="0" fontId="213" fillId="65" borderId="431" applyNumberFormat="0" applyAlignment="0" applyProtection="0"/>
    <xf numFmtId="0" fontId="213" fillId="65" borderId="629" applyNumberFormat="0" applyAlignment="0" applyProtection="0"/>
    <xf numFmtId="0" fontId="213" fillId="65" borderId="467" applyNumberFormat="0" applyAlignment="0" applyProtection="0"/>
    <xf numFmtId="0" fontId="203" fillId="81" borderId="387" applyNumberFormat="0" applyFont="0" applyAlignment="0" applyProtection="0"/>
    <xf numFmtId="0" fontId="174" fillId="0" borderId="416" applyNumberFormat="0" applyFill="0" applyAlignment="0" applyProtection="0"/>
    <xf numFmtId="0" fontId="174" fillId="0" borderId="614" applyNumberFormat="0" applyFill="0" applyAlignment="0" applyProtection="0"/>
    <xf numFmtId="0" fontId="176" fillId="81" borderId="261" applyNumberFormat="0" applyFont="0" applyAlignment="0" applyProtection="0"/>
    <xf numFmtId="0" fontId="213" fillId="65" borderId="323" applyNumberFormat="0" applyAlignment="0" applyProtection="0"/>
    <xf numFmtId="0" fontId="213" fillId="65" borderId="458" applyNumberFormat="0" applyAlignment="0" applyProtection="0"/>
    <xf numFmtId="0" fontId="213" fillId="65" borderId="602" applyNumberFormat="0" applyAlignment="0" applyProtection="0"/>
    <xf numFmtId="0" fontId="174" fillId="0" borderId="462" applyNumberFormat="0" applyFill="0" applyAlignment="0" applyProtection="0"/>
    <xf numFmtId="0" fontId="203" fillId="81" borderId="288" applyNumberFormat="0" applyFont="0" applyAlignment="0" applyProtection="0"/>
    <xf numFmtId="0" fontId="203" fillId="81" borderId="324" applyNumberFormat="0" applyFont="0" applyAlignment="0" applyProtection="0"/>
    <xf numFmtId="0" fontId="213" fillId="80" borderId="386" applyNumberFormat="0" applyAlignment="0" applyProtection="0"/>
    <xf numFmtId="182" fontId="225" fillId="0" borderId="412" applyFill="0" applyProtection="0"/>
    <xf numFmtId="0" fontId="213" fillId="65" borderId="548" applyNumberFormat="0" applyAlignment="0" applyProtection="0"/>
    <xf numFmtId="0" fontId="216" fillId="59" borderId="280" applyNumberFormat="0" applyAlignment="0" applyProtection="0"/>
    <xf numFmtId="0" fontId="206" fillId="78" borderId="278" applyNumberFormat="0" applyAlignment="0" applyProtection="0"/>
    <xf numFmtId="0" fontId="203" fillId="81" borderId="414" applyNumberFormat="0" applyFont="0" applyAlignment="0" applyProtection="0"/>
    <xf numFmtId="0" fontId="216" fillId="59" borderId="325" applyNumberFormat="0" applyAlignment="0" applyProtection="0"/>
    <xf numFmtId="0" fontId="213" fillId="65" borderId="422" applyNumberFormat="0" applyAlignment="0" applyProtection="0"/>
    <xf numFmtId="0" fontId="174" fillId="0" borderId="282" applyNumberFormat="0" applyFill="0" applyAlignment="0" applyProtection="0"/>
    <xf numFmtId="0" fontId="213" fillId="65" borderId="449" applyNumberFormat="0" applyAlignment="0" applyProtection="0"/>
    <xf numFmtId="0" fontId="213" fillId="65" borderId="287" applyNumberFormat="0" applyAlignment="0" applyProtection="0"/>
    <xf numFmtId="0" fontId="213" fillId="65" borderId="503" applyNumberFormat="0" applyAlignment="0" applyProtection="0"/>
    <xf numFmtId="0" fontId="213" fillId="65" borderId="368" applyNumberFormat="0" applyAlignment="0" applyProtection="0"/>
    <xf numFmtId="200" fontId="225" fillId="0" borderId="412" applyFill="0" applyProtection="0"/>
    <xf numFmtId="0" fontId="213" fillId="65" borderId="458" applyNumberFormat="0" applyAlignment="0" applyProtection="0"/>
    <xf numFmtId="200" fontId="225" fillId="0" borderId="331" applyFill="0" applyProtection="0"/>
    <xf numFmtId="0" fontId="213" fillId="65" borderId="566" applyNumberFormat="0" applyAlignment="0" applyProtection="0"/>
    <xf numFmtId="0" fontId="213" fillId="65" borderId="332" applyNumberFormat="0" applyAlignment="0" applyProtection="0"/>
    <xf numFmtId="0" fontId="213" fillId="65" borderId="278" applyNumberFormat="0" applyAlignment="0" applyProtection="0"/>
    <xf numFmtId="0" fontId="213" fillId="65" borderId="278" applyNumberFormat="0" applyAlignment="0" applyProtection="0"/>
    <xf numFmtId="0" fontId="203" fillId="81" borderId="414" applyNumberFormat="0" applyFont="0" applyAlignment="0" applyProtection="0"/>
    <xf numFmtId="0" fontId="216" fillId="59" borderId="343" applyNumberFormat="0" applyAlignment="0" applyProtection="0"/>
    <xf numFmtId="0" fontId="213" fillId="65" borderId="323" applyNumberFormat="0" applyAlignment="0" applyProtection="0"/>
    <xf numFmtId="182" fontId="225" fillId="0" borderId="502" applyFill="0" applyProtection="0"/>
    <xf numFmtId="0" fontId="257" fillId="59" borderId="334" applyNumberFormat="0" applyAlignment="0" applyProtection="0"/>
    <xf numFmtId="182" fontId="225" fillId="0" borderId="556" applyFill="0" applyProtection="0"/>
    <xf numFmtId="0" fontId="216" fillId="78" borderId="604" applyNumberFormat="0" applyAlignment="0" applyProtection="0"/>
    <xf numFmtId="200" fontId="225" fillId="0" borderId="502" applyFill="0" applyProtection="0"/>
    <xf numFmtId="0" fontId="213" fillId="65" borderId="359" applyNumberFormat="0" applyAlignment="0" applyProtection="0"/>
    <xf numFmtId="0" fontId="203" fillId="81" borderId="522" applyNumberFormat="0" applyFont="0" applyAlignment="0" applyProtection="0"/>
    <xf numFmtId="0" fontId="203" fillId="81" borderId="459" applyNumberFormat="0" applyFont="0" applyAlignment="0" applyProtection="0"/>
    <xf numFmtId="0" fontId="203" fillId="81" borderId="594" applyNumberFormat="0" applyFont="0" applyAlignment="0" applyProtection="0"/>
    <xf numFmtId="0" fontId="203" fillId="81" borderId="522" applyNumberFormat="0" applyFont="0" applyAlignment="0" applyProtection="0"/>
    <xf numFmtId="0" fontId="203" fillId="81" borderId="567" applyNumberFormat="0" applyFont="0" applyAlignment="0" applyProtection="0"/>
    <xf numFmtId="0" fontId="8" fillId="81" borderId="594" applyNumberFormat="0" applyFont="0" applyAlignment="0" applyProtection="0"/>
    <xf numFmtId="0" fontId="213" fillId="65" borderId="503" applyNumberFormat="0" applyAlignment="0" applyProtection="0"/>
    <xf numFmtId="0" fontId="229" fillId="83" borderId="283" applyAlignment="0">
      <alignment horizontal="center"/>
    </xf>
    <xf numFmtId="0" fontId="203" fillId="81" borderId="468" applyNumberFormat="0" applyFont="0" applyAlignment="0" applyProtection="0"/>
    <xf numFmtId="0" fontId="213" fillId="65" borderId="548" applyNumberFormat="0" applyAlignment="0" applyProtection="0"/>
    <xf numFmtId="0" fontId="213" fillId="65" borderId="602" applyNumberFormat="0" applyAlignment="0" applyProtection="0"/>
    <xf numFmtId="0" fontId="203" fillId="81" borderId="558" applyNumberFormat="0" applyFont="0" applyAlignment="0" applyProtection="0"/>
    <xf numFmtId="0" fontId="206" fillId="78" borderId="548" applyNumberFormat="0" applyAlignment="0" applyProtection="0"/>
    <xf numFmtId="0" fontId="174" fillId="0" borderId="371" applyNumberFormat="0" applyFill="0" applyAlignment="0" applyProtection="0"/>
    <xf numFmtId="0" fontId="203" fillId="81" borderId="342" applyNumberFormat="0" applyFont="0" applyAlignment="0" applyProtection="0"/>
    <xf numFmtId="0" fontId="203" fillId="81" borderId="603" applyNumberFormat="0" applyFont="0" applyAlignment="0" applyProtection="0"/>
    <xf numFmtId="0" fontId="203" fillId="81" borderId="558" applyNumberFormat="0" applyFont="0" applyAlignment="0" applyProtection="0"/>
    <xf numFmtId="0" fontId="213" fillId="65" borderId="413" applyNumberFormat="0" applyAlignment="0" applyProtection="0"/>
    <xf numFmtId="0" fontId="213" fillId="65" borderId="548" applyNumberFormat="0" applyAlignment="0" applyProtection="0"/>
    <xf numFmtId="0" fontId="213" fillId="65" borderId="413" applyNumberFormat="0" applyAlignment="0" applyProtection="0"/>
    <xf numFmtId="0" fontId="8" fillId="81" borderId="288"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458" applyNumberFormat="0" applyAlignment="0" applyProtection="0"/>
    <xf numFmtId="0" fontId="213" fillId="65" borderId="413" applyNumberFormat="0" applyAlignment="0" applyProtection="0"/>
    <xf numFmtId="0" fontId="203" fillId="81" borderId="459" applyNumberFormat="0" applyFont="0" applyAlignment="0" applyProtection="0"/>
    <xf numFmtId="0" fontId="174" fillId="0" borderId="454" applyNumberFormat="0" applyFill="0" applyAlignment="0" applyProtection="0"/>
    <xf numFmtId="0" fontId="213" fillId="65" borderId="377" applyNumberFormat="0" applyAlignment="0" applyProtection="0"/>
    <xf numFmtId="0" fontId="213" fillId="65" borderId="287" applyNumberFormat="0" applyAlignment="0" applyProtection="0"/>
    <xf numFmtId="0" fontId="176" fillId="81" borderId="414" applyNumberFormat="0" applyFont="0" applyAlignment="0" applyProtection="0"/>
    <xf numFmtId="0" fontId="203" fillId="81" borderId="423" applyNumberFormat="0" applyFont="0" applyAlignment="0" applyProtection="0"/>
    <xf numFmtId="0" fontId="249" fillId="59" borderId="413" applyNumberFormat="0" applyAlignment="0" applyProtection="0"/>
    <xf numFmtId="0" fontId="203" fillId="81" borderId="378" applyNumberFormat="0" applyFont="0" applyAlignment="0" applyProtection="0"/>
    <xf numFmtId="0" fontId="213" fillId="65" borderId="503" applyNumberFormat="0" applyAlignment="0" applyProtection="0"/>
    <xf numFmtId="0" fontId="206" fillId="78" borderId="422" applyNumberFormat="0" applyAlignment="0" applyProtection="0"/>
    <xf numFmtId="0" fontId="229" fillId="83" borderId="615" applyAlignment="0">
      <alignment horizontal="center"/>
    </xf>
    <xf numFmtId="0" fontId="213" fillId="80" borderId="521" applyNumberFormat="0" applyAlignment="0" applyProtection="0"/>
    <xf numFmtId="0" fontId="153" fillId="0" borderId="510">
      <alignment horizontal="left" vertical="center"/>
    </xf>
    <xf numFmtId="0" fontId="213" fillId="65" borderId="476" applyNumberFormat="0" applyAlignment="0" applyProtection="0"/>
    <xf numFmtId="0" fontId="203" fillId="81" borderId="459" applyNumberFormat="0" applyFont="0" applyAlignment="0" applyProtection="0"/>
    <xf numFmtId="0" fontId="203" fillId="81" borderId="459" applyNumberFormat="0" applyFont="0" applyAlignment="0" applyProtection="0"/>
    <xf numFmtId="0" fontId="213" fillId="65" borderId="458" applyNumberFormat="0" applyAlignment="0" applyProtection="0"/>
    <xf numFmtId="0" fontId="203" fillId="81" borderId="549" applyNumberFormat="0" applyFont="0" applyAlignment="0" applyProtection="0"/>
    <xf numFmtId="0" fontId="176" fillId="81" borderId="369" applyNumberFormat="0" applyFont="0" applyAlignment="0" applyProtection="0"/>
    <xf numFmtId="0" fontId="203" fillId="81" borderId="369" applyNumberFormat="0" applyFont="0" applyAlignment="0" applyProtection="0"/>
    <xf numFmtId="0" fontId="203" fillId="81" borderId="324" applyNumberFormat="0" applyFont="0" applyAlignment="0" applyProtection="0"/>
    <xf numFmtId="0" fontId="203" fillId="81" borderId="504" applyNumberFormat="0" applyFont="0" applyAlignment="0" applyProtection="0"/>
    <xf numFmtId="0" fontId="176" fillId="81" borderId="468" applyNumberFormat="0" applyFont="0" applyAlignment="0" applyProtection="0"/>
    <xf numFmtId="0" fontId="213" fillId="65" borderId="458" applyNumberFormat="0" applyAlignment="0" applyProtection="0"/>
    <xf numFmtId="0" fontId="213" fillId="80" borderId="593" applyNumberFormat="0" applyAlignment="0" applyProtection="0"/>
    <xf numFmtId="0" fontId="213" fillId="65" borderId="602" applyNumberFormat="0" applyAlignment="0" applyProtection="0"/>
    <xf numFmtId="200" fontId="225" fillId="0" borderId="385" applyFill="0" applyProtection="0"/>
    <xf numFmtId="200" fontId="225" fillId="0" borderId="565" applyFill="0" applyProtection="0"/>
    <xf numFmtId="0" fontId="213" fillId="65" borderId="287" applyNumberFormat="0" applyAlignment="0" applyProtection="0"/>
    <xf numFmtId="200" fontId="225" fillId="0" borderId="457" applyFill="0" applyProtection="0"/>
    <xf numFmtId="0" fontId="213" fillId="65" borderId="467" applyNumberFormat="0" applyAlignment="0" applyProtection="0"/>
    <xf numFmtId="0" fontId="213" fillId="65" borderId="557" applyNumberFormat="0" applyAlignment="0" applyProtection="0"/>
    <xf numFmtId="0" fontId="213" fillId="65" borderId="323" applyNumberFormat="0" applyAlignment="0" applyProtection="0"/>
    <xf numFmtId="0" fontId="174" fillId="0" borderId="335" applyNumberFormat="0" applyFill="0" applyAlignment="0" applyProtection="0"/>
    <xf numFmtId="0" fontId="213" fillId="65" borderId="602" applyNumberFormat="0" applyAlignment="0" applyProtection="0"/>
    <xf numFmtId="0" fontId="174" fillId="0" borderId="427" applyNumberFormat="0" applyFill="0" applyAlignment="0" applyProtection="0"/>
    <xf numFmtId="0" fontId="176" fillId="81" borderId="324" applyNumberFormat="0" applyFont="0" applyAlignment="0" applyProtection="0"/>
    <xf numFmtId="0" fontId="216" fillId="59" borderId="289" applyNumberFormat="0" applyAlignment="0" applyProtection="0"/>
    <xf numFmtId="182" fontId="225" fillId="0" borderId="412" applyFill="0" applyProtection="0"/>
    <xf numFmtId="0" fontId="213" fillId="65" borderId="512" applyNumberFormat="0" applyAlignment="0" applyProtection="0"/>
    <xf numFmtId="0" fontId="213" fillId="65" borderId="368" applyNumberFormat="0" applyAlignment="0" applyProtection="0"/>
    <xf numFmtId="0" fontId="213" fillId="65" borderId="503" applyNumberFormat="0" applyAlignment="0" applyProtection="0"/>
    <xf numFmtId="0" fontId="203" fillId="81" borderId="387" applyNumberFormat="0" applyFont="0" applyAlignment="0" applyProtection="0"/>
    <xf numFmtId="0" fontId="213" fillId="65" borderId="557" applyNumberFormat="0" applyAlignment="0" applyProtection="0"/>
    <xf numFmtId="0" fontId="203" fillId="81" borderId="513" applyNumberFormat="0" applyFont="0" applyAlignment="0" applyProtection="0"/>
    <xf numFmtId="0" fontId="206" fillId="78" borderId="503" applyNumberFormat="0" applyAlignment="0" applyProtection="0"/>
    <xf numFmtId="0" fontId="213" fillId="65" borderId="503" applyNumberFormat="0" applyAlignment="0" applyProtection="0"/>
    <xf numFmtId="0" fontId="213" fillId="80" borderId="323" applyNumberFormat="0" applyAlignment="0" applyProtection="0"/>
    <xf numFmtId="0" fontId="213" fillId="65" borderId="413" applyNumberFormat="0" applyAlignment="0" applyProtection="0"/>
    <xf numFmtId="182" fontId="225" fillId="0" borderId="556" applyFill="0" applyProtection="0"/>
    <xf numFmtId="0" fontId="213" fillId="65" borderId="548" applyNumberFormat="0" applyAlignment="0" applyProtection="0"/>
    <xf numFmtId="0" fontId="213" fillId="80" borderId="548" applyNumberFormat="0" applyAlignment="0" applyProtection="0"/>
    <xf numFmtId="0" fontId="244" fillId="0" borderId="376" applyNumberFormat="0" applyFont="0" applyFill="0" applyAlignment="0" applyProtection="0"/>
    <xf numFmtId="0" fontId="216" fillId="78" borderId="370" applyNumberFormat="0" applyAlignment="0" applyProtection="0"/>
    <xf numFmtId="0" fontId="213" fillId="65" borderId="503" applyNumberFormat="0" applyAlignment="0" applyProtection="0"/>
    <xf numFmtId="0" fontId="203" fillId="81" borderId="333" applyNumberFormat="0" applyFont="0" applyAlignment="0" applyProtection="0"/>
    <xf numFmtId="0" fontId="203" fillId="81" borderId="324" applyNumberFormat="0" applyFont="0" applyAlignment="0" applyProtection="0"/>
    <xf numFmtId="0" fontId="203" fillId="81" borderId="279" applyNumberFormat="0" applyFont="0" applyAlignment="0" applyProtection="0"/>
    <xf numFmtId="0" fontId="229" fillId="83" borderId="598" applyAlignment="0">
      <alignment horizontal="center"/>
    </xf>
    <xf numFmtId="0" fontId="203" fillId="81" borderId="513" applyNumberFormat="0" applyFont="0" applyAlignment="0" applyProtection="0"/>
    <xf numFmtId="0" fontId="257" fillId="59" borderId="370" applyNumberFormat="0" applyAlignment="0" applyProtection="0"/>
    <xf numFmtId="0" fontId="174" fillId="0" borderId="526" applyNumberFormat="0" applyFill="0" applyAlignment="0" applyProtection="0"/>
    <xf numFmtId="0" fontId="213" fillId="65" borderId="368" applyNumberFormat="0" applyAlignment="0" applyProtection="0"/>
    <xf numFmtId="0" fontId="213" fillId="65" borderId="332" applyNumberFormat="0" applyAlignment="0" applyProtection="0"/>
    <xf numFmtId="0" fontId="174" fillId="0" borderId="607" applyNumberFormat="0" applyFill="0" applyAlignment="0" applyProtection="0"/>
    <xf numFmtId="0" fontId="213" fillId="80" borderId="368" applyNumberFormat="0" applyAlignment="0" applyProtection="0"/>
    <xf numFmtId="0" fontId="213" fillId="65" borderId="368" applyNumberFormat="0" applyAlignment="0" applyProtection="0"/>
    <xf numFmtId="0" fontId="213" fillId="65" borderId="593" applyNumberFormat="0" applyAlignment="0" applyProtection="0"/>
    <xf numFmtId="0" fontId="213" fillId="65" borderId="467" applyNumberFormat="0" applyAlignment="0" applyProtection="0"/>
    <xf numFmtId="0" fontId="203" fillId="81" borderId="225" applyNumberFormat="0" applyFont="0" applyAlignment="0" applyProtection="0"/>
    <xf numFmtId="0" fontId="213" fillId="65" borderId="548" applyNumberFormat="0" applyAlignment="0" applyProtection="0"/>
    <xf numFmtId="200" fontId="225" fillId="0" borderId="457" applyFill="0" applyProtection="0"/>
    <xf numFmtId="0" fontId="213" fillId="65" borderId="323" applyNumberFormat="0" applyAlignment="0" applyProtection="0"/>
    <xf numFmtId="182" fontId="225" fillId="0" borderId="412" applyFill="0" applyProtection="0"/>
    <xf numFmtId="0" fontId="203" fillId="81" borderId="594" applyNumberFormat="0" applyFont="0" applyAlignment="0" applyProtection="0"/>
    <xf numFmtId="0" fontId="213" fillId="65" borderId="332" applyNumberFormat="0" applyAlignment="0" applyProtection="0"/>
    <xf numFmtId="0" fontId="229" fillId="83" borderId="471" applyAlignment="0">
      <alignment horizontal="center"/>
    </xf>
    <xf numFmtId="0" fontId="213" fillId="65" borderId="593" applyNumberFormat="0" applyAlignment="0" applyProtection="0"/>
    <xf numFmtId="0" fontId="216" fillId="59" borderId="289" applyNumberFormat="0" applyAlignment="0" applyProtection="0"/>
    <xf numFmtId="0" fontId="176" fillId="81" borderId="369" applyNumberFormat="0" applyFont="0" applyAlignment="0" applyProtection="0"/>
    <xf numFmtId="182" fontId="225" fillId="0" borderId="430" applyFill="0" applyProtection="0"/>
    <xf numFmtId="0" fontId="229" fillId="83" borderId="508" applyAlignment="0">
      <alignment horizontal="center"/>
    </xf>
    <xf numFmtId="0" fontId="203" fillId="81" borderId="225" applyNumberFormat="0" applyFont="0" applyAlignment="0" applyProtection="0"/>
    <xf numFmtId="0" fontId="213" fillId="65" borderId="413" applyNumberFormat="0" applyAlignment="0" applyProtection="0"/>
    <xf numFmtId="0" fontId="203" fillId="81" borderId="225" applyNumberFormat="0" applyFont="0" applyAlignment="0" applyProtection="0"/>
    <xf numFmtId="0" fontId="213" fillId="65" borderId="503" applyNumberFormat="0" applyAlignment="0" applyProtection="0"/>
    <xf numFmtId="0" fontId="203" fillId="81" borderId="225" applyNumberFormat="0" applyFont="0" applyAlignment="0" applyProtection="0"/>
    <xf numFmtId="0" fontId="213" fillId="80" borderId="593" applyNumberFormat="0" applyAlignment="0" applyProtection="0"/>
    <xf numFmtId="0" fontId="213" fillId="65" borderId="341" applyNumberFormat="0" applyAlignment="0" applyProtection="0"/>
    <xf numFmtId="0" fontId="257" fillId="59" borderId="460" applyNumberFormat="0" applyAlignment="0" applyProtection="0"/>
    <xf numFmtId="0" fontId="203" fillId="81" borderId="279" applyNumberFormat="0" applyFont="0" applyAlignment="0" applyProtection="0"/>
    <xf numFmtId="0" fontId="213" fillId="65" borderId="368" applyNumberFormat="0" applyAlignment="0" applyProtection="0"/>
    <xf numFmtId="200" fontId="225" fillId="0" borderId="430" applyFill="0" applyProtection="0"/>
    <xf numFmtId="0" fontId="174" fillId="0" borderId="220" applyNumberFormat="0" applyFill="0" applyAlignment="0" applyProtection="0"/>
    <xf numFmtId="0" fontId="213" fillId="65" borderId="458" applyNumberFormat="0" applyAlignment="0" applyProtection="0"/>
    <xf numFmtId="0" fontId="213" fillId="65" borderId="476" applyNumberFormat="0" applyAlignment="0" applyProtection="0"/>
    <xf numFmtId="0" fontId="213" fillId="65" borderId="422" applyNumberFormat="0" applyAlignment="0" applyProtection="0"/>
    <xf numFmtId="182" fontId="225" fillId="0" borderId="331" applyFill="0" applyProtection="0"/>
    <xf numFmtId="0" fontId="174" fillId="0" borderId="551" applyNumberFormat="0" applyFill="0" applyAlignment="0" applyProtection="0"/>
    <xf numFmtId="0" fontId="213" fillId="65" borderId="611" applyNumberFormat="0" applyAlignment="0" applyProtection="0"/>
    <xf numFmtId="0" fontId="213" fillId="80" borderId="458" applyNumberFormat="0" applyAlignment="0" applyProtection="0"/>
    <xf numFmtId="0" fontId="213" fillId="65" borderId="332" applyNumberFormat="0" applyAlignment="0" applyProtection="0"/>
    <xf numFmtId="0" fontId="213" fillId="65" borderId="548" applyNumberFormat="0" applyAlignment="0" applyProtection="0"/>
    <xf numFmtId="0" fontId="213" fillId="65" borderId="323" applyNumberFormat="0" applyAlignment="0" applyProtection="0"/>
    <xf numFmtId="0" fontId="153" fillId="0" borderId="519">
      <alignment horizontal="left" vertical="center"/>
    </xf>
    <xf numFmtId="0" fontId="213" fillId="65" borderId="341" applyNumberFormat="0" applyAlignment="0" applyProtection="0"/>
    <xf numFmtId="0" fontId="178" fillId="0" borderId="347" applyProtection="0"/>
    <xf numFmtId="0" fontId="216" fillId="78" borderId="325" applyNumberFormat="0" applyAlignment="0" applyProtection="0"/>
    <xf numFmtId="0" fontId="229" fillId="83" borderId="237" applyAlignment="0">
      <alignment horizontal="center"/>
    </xf>
    <xf numFmtId="0" fontId="203" fillId="81" borderId="432" applyNumberFormat="0" applyFont="0" applyAlignment="0" applyProtection="0"/>
    <xf numFmtId="0" fontId="213" fillId="65" borderId="593" applyNumberFormat="0" applyAlignment="0" applyProtection="0"/>
    <xf numFmtId="0" fontId="229" fillId="83" borderId="508" applyAlignment="0">
      <alignment horizontal="center"/>
    </xf>
    <xf numFmtId="182" fontId="225" fillId="0" borderId="547" applyFill="0" applyProtection="0"/>
    <xf numFmtId="0" fontId="203" fillId="81" borderId="324" applyNumberFormat="0" applyFont="0" applyAlignment="0" applyProtection="0"/>
    <xf numFmtId="0" fontId="203" fillId="81" borderId="405" applyNumberFormat="0" applyFont="0" applyAlignment="0" applyProtection="0"/>
    <xf numFmtId="0" fontId="229" fillId="83" borderId="237" applyAlignment="0">
      <alignment horizontal="center"/>
    </xf>
    <xf numFmtId="0" fontId="229" fillId="83" borderId="237" applyAlignment="0">
      <alignment horizontal="center"/>
    </xf>
    <xf numFmtId="0" fontId="229" fillId="83" borderId="237" applyAlignment="0">
      <alignment horizontal="center"/>
    </xf>
    <xf numFmtId="0" fontId="213" fillId="65" borderId="458" applyNumberFormat="0" applyAlignment="0" applyProtection="0"/>
    <xf numFmtId="182" fontId="225" fillId="0" borderId="511" applyFill="0" applyProtection="0"/>
    <xf numFmtId="0" fontId="8" fillId="81" borderId="432" applyNumberFormat="0" applyFont="0" applyAlignment="0" applyProtection="0"/>
    <xf numFmtId="0" fontId="238" fillId="59" borderId="296" applyNumberFormat="0" applyAlignment="0" applyProtection="0"/>
    <xf numFmtId="0" fontId="213" fillId="80" borderId="368" applyNumberFormat="0" applyAlignment="0" applyProtection="0"/>
    <xf numFmtId="0" fontId="203" fillId="81" borderId="432" applyNumberFormat="0" applyFont="0" applyAlignment="0" applyProtection="0"/>
    <xf numFmtId="0" fontId="213" fillId="80" borderId="278" applyNumberFormat="0" applyAlignment="0" applyProtection="0"/>
    <xf numFmtId="0" fontId="213" fillId="65" borderId="548" applyNumberFormat="0" applyAlignment="0" applyProtection="0"/>
    <xf numFmtId="0" fontId="229" fillId="83" borderId="237" applyAlignment="0">
      <alignment horizontal="center"/>
    </xf>
    <xf numFmtId="200" fontId="225" fillId="0" borderId="547" applyFill="0" applyProtection="0"/>
    <xf numFmtId="0" fontId="213" fillId="65" borderId="422" applyNumberFormat="0" applyAlignment="0" applyProtection="0"/>
    <xf numFmtId="0" fontId="176" fillId="81" borderId="459" applyNumberFormat="0" applyFont="0" applyAlignment="0" applyProtection="0"/>
    <xf numFmtId="0" fontId="213" fillId="65" borderId="377" applyNumberFormat="0" applyAlignment="0" applyProtection="0"/>
    <xf numFmtId="0" fontId="213" fillId="65" borderId="323" applyNumberFormat="0" applyAlignment="0" applyProtection="0"/>
    <xf numFmtId="0" fontId="213" fillId="65" borderId="287" applyNumberFormat="0" applyAlignment="0" applyProtection="0"/>
    <xf numFmtId="0" fontId="213" fillId="65" borderId="512" applyNumberFormat="0" applyAlignment="0" applyProtection="0"/>
    <xf numFmtId="0" fontId="213" fillId="65" borderId="548" applyNumberFormat="0" applyAlignment="0" applyProtection="0"/>
    <xf numFmtId="0" fontId="203" fillId="81" borderId="594" applyNumberFormat="0" applyFont="0" applyAlignment="0" applyProtection="0"/>
    <xf numFmtId="0" fontId="203" fillId="81" borderId="342" applyNumberFormat="0" applyFont="0" applyAlignment="0" applyProtection="0"/>
    <xf numFmtId="0" fontId="203" fillId="81" borderId="279" applyNumberFormat="0" applyFont="0" applyAlignment="0" applyProtection="0"/>
    <xf numFmtId="0" fontId="213" fillId="65" borderId="224" applyNumberFormat="0" applyAlignment="0" applyProtection="0"/>
    <xf numFmtId="0" fontId="8" fillId="81" borderId="513" applyNumberFormat="0" applyFont="0" applyAlignment="0" applyProtection="0"/>
    <xf numFmtId="0" fontId="176" fillId="81" borderId="378" applyNumberFormat="0" applyFont="0" applyAlignment="0" applyProtection="0"/>
    <xf numFmtId="0" fontId="213" fillId="65" borderId="323" applyNumberFormat="0" applyAlignment="0" applyProtection="0"/>
    <xf numFmtId="0" fontId="213" fillId="65" borderId="368" applyNumberFormat="0" applyAlignment="0" applyProtection="0"/>
    <xf numFmtId="0" fontId="213" fillId="65" borderId="278" applyNumberFormat="0" applyAlignment="0" applyProtection="0"/>
    <xf numFmtId="0" fontId="174" fillId="0" borderId="389" applyNumberFormat="0" applyFill="0" applyAlignment="0" applyProtection="0"/>
    <xf numFmtId="0" fontId="203" fillId="81" borderId="369" applyNumberFormat="0" applyFont="0" applyAlignment="0" applyProtection="0"/>
    <xf numFmtId="200" fontId="225" fillId="0" borderId="592" applyFill="0" applyProtection="0"/>
    <xf numFmtId="0" fontId="213" fillId="80" borderId="593" applyNumberFormat="0" applyAlignment="0" applyProtection="0"/>
    <xf numFmtId="0" fontId="176" fillId="81" borderId="324" applyNumberFormat="0" applyFont="0" applyAlignment="0" applyProtection="0"/>
    <xf numFmtId="0" fontId="213" fillId="65" borderId="368" applyNumberFormat="0" applyAlignment="0" applyProtection="0"/>
    <xf numFmtId="0" fontId="213" fillId="65" borderId="278" applyNumberFormat="0" applyAlignment="0" applyProtection="0"/>
    <xf numFmtId="0" fontId="213" fillId="65" borderId="323" applyNumberFormat="0" applyAlignment="0" applyProtection="0"/>
    <xf numFmtId="0" fontId="213" fillId="65" borderId="368" applyNumberFormat="0" applyAlignment="0" applyProtection="0"/>
    <xf numFmtId="0" fontId="206" fillId="78" borderId="467" applyNumberFormat="0" applyAlignment="0" applyProtection="0"/>
    <xf numFmtId="0" fontId="213" fillId="65" borderId="503" applyNumberFormat="0" applyAlignment="0" applyProtection="0"/>
    <xf numFmtId="0" fontId="213" fillId="65" borderId="467" applyNumberFormat="0" applyAlignment="0" applyProtection="0"/>
    <xf numFmtId="0" fontId="213" fillId="65" borderId="287" applyNumberFormat="0" applyAlignment="0" applyProtection="0"/>
    <xf numFmtId="0" fontId="213" fillId="65" borderId="593" applyNumberFormat="0" applyAlignment="0" applyProtection="0"/>
    <xf numFmtId="0" fontId="203" fillId="81" borderId="414" applyNumberFormat="0" applyFont="0" applyAlignment="0" applyProtection="0"/>
    <xf numFmtId="0" fontId="213" fillId="65" borderId="377" applyNumberFormat="0" applyAlignment="0" applyProtection="0"/>
    <xf numFmtId="0" fontId="203" fillId="81" borderId="279" applyNumberFormat="0" applyFont="0" applyAlignment="0" applyProtection="0"/>
    <xf numFmtId="0" fontId="213" fillId="65" borderId="458" applyNumberFormat="0" applyAlignment="0" applyProtection="0"/>
    <xf numFmtId="0" fontId="203" fillId="81" borderId="378" applyNumberFormat="0" applyFont="0" applyAlignment="0" applyProtection="0"/>
    <xf numFmtId="182" fontId="225" fillId="0" borderId="340" applyFill="0" applyProtection="0"/>
    <xf numFmtId="0" fontId="229" fillId="83" borderId="237" applyAlignment="0">
      <alignment horizontal="center"/>
    </xf>
    <xf numFmtId="0" fontId="229" fillId="83" borderId="237" applyAlignment="0">
      <alignment horizontal="center"/>
    </xf>
    <xf numFmtId="0" fontId="213" fillId="65" borderId="224" applyNumberFormat="0" applyAlignment="0" applyProtection="0"/>
    <xf numFmtId="0" fontId="206" fillId="78" borderId="368" applyNumberFormat="0" applyAlignment="0" applyProtection="0"/>
    <xf numFmtId="0" fontId="213" fillId="80" borderId="503" applyNumberFormat="0" applyAlignment="0" applyProtection="0"/>
    <xf numFmtId="0" fontId="213" fillId="65" borderId="521" applyNumberFormat="0" applyAlignment="0" applyProtection="0"/>
    <xf numFmtId="0" fontId="203" fillId="81" borderId="378" applyNumberFormat="0" applyFont="0" applyAlignment="0" applyProtection="0"/>
    <xf numFmtId="0" fontId="216" fillId="59" borderId="595" applyNumberFormat="0" applyAlignment="0" applyProtection="0"/>
    <xf numFmtId="0" fontId="213" fillId="65" borderId="278" applyNumberFormat="0" applyAlignment="0" applyProtection="0"/>
    <xf numFmtId="0" fontId="213" fillId="65" borderId="503" applyNumberFormat="0" applyAlignment="0" applyProtection="0"/>
    <xf numFmtId="0" fontId="213" fillId="65" borderId="251" applyNumberFormat="0" applyAlignment="0" applyProtection="0"/>
    <xf numFmtId="0" fontId="153" fillId="0" borderId="501">
      <alignment horizontal="left" vertical="center"/>
    </xf>
    <xf numFmtId="0" fontId="203" fillId="81" borderId="594" applyNumberFormat="0" applyFont="0" applyAlignment="0" applyProtection="0"/>
    <xf numFmtId="0" fontId="249" fillId="59" borderId="368" applyNumberFormat="0" applyAlignment="0" applyProtection="0"/>
    <xf numFmtId="200" fontId="225" fillId="0" borderId="601" applyFill="0" applyProtection="0"/>
    <xf numFmtId="0" fontId="206" fillId="78" borderId="467" applyNumberFormat="0" applyAlignment="0" applyProtection="0"/>
    <xf numFmtId="0" fontId="257" fillId="59" borderId="433" applyNumberFormat="0" applyAlignment="0" applyProtection="0"/>
    <xf numFmtId="0" fontId="8" fillId="81" borderId="468" applyNumberFormat="0" applyFont="0" applyAlignment="0" applyProtection="0"/>
    <xf numFmtId="0" fontId="213" fillId="65" borderId="557" applyNumberFormat="0" applyAlignment="0" applyProtection="0"/>
    <xf numFmtId="0" fontId="216" fillId="78" borderId="280" applyNumberFormat="0" applyAlignment="0" applyProtection="0"/>
    <xf numFmtId="0" fontId="213" fillId="65" borderId="368" applyNumberFormat="0" applyAlignment="0" applyProtection="0"/>
    <xf numFmtId="0" fontId="174" fillId="0" borderId="425" applyNumberFormat="0" applyFill="0" applyAlignment="0" applyProtection="0"/>
    <xf numFmtId="0" fontId="229" fillId="83" borderId="283" applyAlignment="0">
      <alignment horizontal="center"/>
    </xf>
    <xf numFmtId="0" fontId="213" fillId="65" borderId="323" applyNumberFormat="0" applyAlignment="0" applyProtection="0"/>
    <xf numFmtId="182" fontId="225" fillId="0" borderId="601" applyFill="0" applyProtection="0"/>
    <xf numFmtId="0" fontId="213" fillId="65" borderId="458" applyNumberFormat="0" applyAlignment="0" applyProtection="0"/>
    <xf numFmtId="0" fontId="213" fillId="65" borderId="413" applyNumberFormat="0" applyAlignment="0" applyProtection="0"/>
    <xf numFmtId="0" fontId="213" fillId="65" borderId="548" applyNumberFormat="0" applyAlignment="0" applyProtection="0"/>
    <xf numFmtId="0" fontId="213" fillId="65" borderId="458" applyNumberFormat="0" applyAlignment="0" applyProtection="0"/>
    <xf numFmtId="0" fontId="229" fillId="83" borderId="283" applyAlignment="0">
      <alignment horizontal="center"/>
    </xf>
    <xf numFmtId="0" fontId="8" fillId="81" borderId="279" applyNumberFormat="0" applyFont="0" applyAlignment="0" applyProtection="0"/>
    <xf numFmtId="0" fontId="213" fillId="65" borderId="548" applyNumberFormat="0" applyAlignment="0" applyProtection="0"/>
    <xf numFmtId="0" fontId="216" fillId="59" borderId="415" applyNumberFormat="0" applyAlignment="0" applyProtection="0"/>
    <xf numFmtId="0" fontId="216" fillId="59" borderId="370" applyNumberFormat="0" applyAlignment="0" applyProtection="0"/>
    <xf numFmtId="0" fontId="203" fillId="81" borderId="369" applyNumberFormat="0" applyFont="0" applyAlignment="0" applyProtection="0"/>
    <xf numFmtId="0" fontId="213" fillId="65" borderId="512" applyNumberFormat="0" applyAlignment="0" applyProtection="0"/>
    <xf numFmtId="0" fontId="213" fillId="80" borderId="458" applyNumberFormat="0" applyAlignment="0" applyProtection="0"/>
    <xf numFmtId="182" fontId="225" fillId="0" borderId="430" applyFill="0" applyProtection="0"/>
    <xf numFmtId="0" fontId="213" fillId="65" borderId="278" applyNumberFormat="0" applyAlignment="0" applyProtection="0"/>
    <xf numFmtId="0" fontId="203" fillId="81" borderId="423" applyNumberFormat="0" applyFont="0" applyAlignment="0" applyProtection="0"/>
    <xf numFmtId="0" fontId="257" fillId="59" borderId="613" applyNumberFormat="0" applyAlignment="0" applyProtection="0"/>
    <xf numFmtId="0" fontId="229" fillId="83" borderId="480" applyAlignment="0">
      <alignment horizontal="center"/>
    </xf>
    <xf numFmtId="0" fontId="213" fillId="65" borderId="548" applyNumberFormat="0" applyAlignment="0" applyProtection="0"/>
    <xf numFmtId="0" fontId="213" fillId="65" borderId="557" applyNumberFormat="0" applyAlignment="0" applyProtection="0"/>
    <xf numFmtId="0" fontId="244" fillId="0" borderId="457" applyNumberFormat="0" applyFont="0" applyFill="0" applyAlignment="0" applyProtection="0"/>
    <xf numFmtId="0" fontId="229" fillId="83" borderId="283" applyAlignment="0">
      <alignment horizontal="center"/>
    </xf>
    <xf numFmtId="0" fontId="213" fillId="65" borderId="467" applyNumberFormat="0" applyAlignment="0" applyProtection="0"/>
    <xf numFmtId="0" fontId="153" fillId="0" borderId="285">
      <alignment horizontal="left" vertical="center"/>
    </xf>
    <xf numFmtId="200" fontId="225" fillId="0" borderId="610" applyFill="0" applyProtection="0"/>
    <xf numFmtId="0" fontId="213" fillId="65" borderId="323" applyNumberFormat="0" applyAlignment="0" applyProtection="0"/>
    <xf numFmtId="182" fontId="225" fillId="0" borderId="331" applyFill="0" applyProtection="0"/>
    <xf numFmtId="0" fontId="203" fillId="81" borderId="378" applyNumberFormat="0" applyFont="0" applyAlignment="0" applyProtection="0"/>
    <xf numFmtId="0" fontId="216" fillId="78" borderId="523" applyNumberFormat="0" applyAlignment="0" applyProtection="0"/>
    <xf numFmtId="0" fontId="213" fillId="65" borderId="413" applyNumberFormat="0" applyAlignment="0" applyProtection="0"/>
    <xf numFmtId="0" fontId="203" fillId="81" borderId="594" applyNumberFormat="0" applyFont="0" applyAlignment="0" applyProtection="0"/>
    <xf numFmtId="0" fontId="203" fillId="81" borderId="288" applyNumberFormat="0" applyFont="0" applyAlignment="0" applyProtection="0"/>
    <xf numFmtId="0" fontId="213" fillId="65" borderId="467" applyNumberFormat="0" applyAlignment="0" applyProtection="0"/>
    <xf numFmtId="0" fontId="213" fillId="65" borderId="278" applyNumberFormat="0" applyAlignment="0" applyProtection="0"/>
    <xf numFmtId="0" fontId="216" fillId="78" borderId="388" applyNumberFormat="0" applyAlignment="0" applyProtection="0"/>
    <xf numFmtId="0" fontId="213" fillId="65" borderId="503" applyNumberFormat="0" applyAlignment="0" applyProtection="0"/>
    <xf numFmtId="0" fontId="213" fillId="65" borderId="503" applyNumberFormat="0" applyAlignment="0" applyProtection="0"/>
    <xf numFmtId="0" fontId="213" fillId="65" borderId="368" applyNumberFormat="0" applyAlignment="0" applyProtection="0"/>
    <xf numFmtId="0" fontId="213" fillId="65" borderId="557" applyNumberFormat="0" applyAlignment="0" applyProtection="0"/>
    <xf numFmtId="0" fontId="8" fillId="81" borderId="459" applyNumberFormat="0" applyFont="0" applyAlignment="0" applyProtection="0"/>
    <xf numFmtId="0" fontId="203" fillId="81" borderId="279" applyNumberFormat="0" applyFont="0" applyAlignment="0" applyProtection="0"/>
    <xf numFmtId="0" fontId="213" fillId="65" borderId="566" applyNumberFormat="0" applyAlignment="0" applyProtection="0"/>
    <xf numFmtId="0" fontId="213" fillId="65" borderId="413" applyNumberFormat="0" applyAlignment="0" applyProtection="0"/>
    <xf numFmtId="0" fontId="8" fillId="81" borderId="369" applyNumberFormat="0" applyFont="0" applyAlignment="0" applyProtection="0"/>
    <xf numFmtId="0" fontId="203" fillId="81" borderId="459" applyNumberFormat="0" applyFont="0" applyAlignment="0" applyProtection="0"/>
    <xf numFmtId="0" fontId="203" fillId="81" borderId="324" applyNumberFormat="0" applyFont="0" applyAlignment="0" applyProtection="0"/>
    <xf numFmtId="0" fontId="213" fillId="65" borderId="278" applyNumberFormat="0" applyAlignment="0" applyProtection="0"/>
    <xf numFmtId="0" fontId="213" fillId="65" borderId="548" applyNumberFormat="0" applyAlignment="0" applyProtection="0"/>
    <xf numFmtId="0" fontId="213" fillId="65" borderId="521" applyNumberFormat="0" applyAlignment="0" applyProtection="0"/>
    <xf numFmtId="0" fontId="254" fillId="80" borderId="332" applyNumberFormat="0" applyAlignment="0" applyProtection="0"/>
    <xf numFmtId="0" fontId="213" fillId="65" borderId="377" applyNumberFormat="0" applyAlignment="0" applyProtection="0"/>
    <xf numFmtId="182" fontId="225" fillId="0" borderId="430" applyFill="0" applyProtection="0"/>
    <xf numFmtId="0" fontId="216" fillId="59" borderId="388" applyNumberFormat="0" applyAlignment="0" applyProtection="0"/>
    <xf numFmtId="0" fontId="213" fillId="65" borderId="386" applyNumberFormat="0" applyAlignment="0" applyProtection="0"/>
    <xf numFmtId="0" fontId="203" fillId="81" borderId="459" applyNumberFormat="0" applyFont="0" applyAlignment="0" applyProtection="0"/>
    <xf numFmtId="0" fontId="213" fillId="65" borderId="512" applyNumberFormat="0" applyAlignment="0" applyProtection="0"/>
    <xf numFmtId="182" fontId="225" fillId="0" borderId="322" applyFill="0" applyProtection="0"/>
    <xf numFmtId="0" fontId="213" fillId="65" borderId="413" applyNumberFormat="0" applyAlignment="0" applyProtection="0"/>
    <xf numFmtId="0" fontId="203" fillId="81" borderId="279" applyNumberFormat="0" applyFont="0" applyAlignment="0" applyProtection="0"/>
    <xf numFmtId="0" fontId="213" fillId="80" borderId="593" applyNumberFormat="0" applyAlignment="0" applyProtection="0"/>
    <xf numFmtId="0" fontId="213" fillId="80" borderId="458" applyNumberFormat="0" applyAlignment="0" applyProtection="0"/>
    <xf numFmtId="0" fontId="213" fillId="65" borderId="368" applyNumberFormat="0" applyAlignment="0" applyProtection="0"/>
    <xf numFmtId="0" fontId="206" fillId="78" borderId="332" applyNumberFormat="0" applyAlignment="0" applyProtection="0"/>
    <xf numFmtId="0" fontId="229" fillId="83" borderId="588" applyAlignment="0">
      <alignment horizontal="center"/>
    </xf>
    <xf numFmtId="0" fontId="203" fillId="81" borderId="414" applyNumberFormat="0" applyFont="0" applyAlignment="0" applyProtection="0"/>
    <xf numFmtId="0" fontId="176" fillId="81" borderId="594" applyNumberFormat="0" applyFont="0" applyAlignment="0" applyProtection="0"/>
    <xf numFmtId="0" fontId="203" fillId="81" borderId="504" applyNumberFormat="0" applyFont="0" applyAlignment="0" applyProtection="0"/>
    <xf numFmtId="0" fontId="213" fillId="65" borderId="278" applyNumberFormat="0" applyAlignment="0" applyProtection="0"/>
    <xf numFmtId="0" fontId="213" fillId="65" borderId="593" applyNumberFormat="0" applyAlignment="0" applyProtection="0"/>
    <xf numFmtId="0" fontId="229" fillId="83" borderId="408" applyAlignment="0">
      <alignment horizontal="center"/>
    </xf>
    <xf numFmtId="0" fontId="213" fillId="65" borderId="503" applyNumberFormat="0" applyAlignment="0" applyProtection="0"/>
    <xf numFmtId="0" fontId="213" fillId="65" borderId="593" applyNumberFormat="0" applyAlignment="0" applyProtection="0"/>
    <xf numFmtId="0" fontId="238" fillId="59" borderId="413" applyNumberFormat="0" applyAlignment="0" applyProtection="0"/>
    <xf numFmtId="0" fontId="213" fillId="80" borderId="548" applyNumberFormat="0" applyAlignment="0" applyProtection="0"/>
    <xf numFmtId="0" fontId="203" fillId="81" borderId="603" applyNumberFormat="0" applyFont="0" applyAlignment="0" applyProtection="0"/>
    <xf numFmtId="0" fontId="203" fillId="81" borderId="279" applyNumberFormat="0" applyFont="0" applyAlignment="0" applyProtection="0"/>
    <xf numFmtId="0" fontId="213" fillId="65" borderId="368" applyNumberFormat="0" applyAlignment="0" applyProtection="0"/>
    <xf numFmtId="0" fontId="203" fillId="81" borderId="279" applyNumberFormat="0" applyFont="0" applyAlignment="0" applyProtection="0"/>
    <xf numFmtId="0" fontId="213" fillId="65" borderId="476" applyNumberFormat="0" applyAlignment="0" applyProtection="0"/>
    <xf numFmtId="200" fontId="225" fillId="0" borderId="511" applyFill="0" applyProtection="0"/>
    <xf numFmtId="0" fontId="153" fillId="0" borderId="429">
      <alignment horizontal="left" vertical="center"/>
    </xf>
    <xf numFmtId="0" fontId="238" fillId="59" borderId="557" applyNumberFormat="0" applyAlignment="0" applyProtection="0"/>
    <xf numFmtId="0" fontId="176" fillId="81" borderId="342" applyNumberFormat="0" applyFont="0" applyAlignment="0" applyProtection="0"/>
    <xf numFmtId="0" fontId="203" fillId="81" borderId="378" applyNumberFormat="0" applyFont="0" applyAlignment="0" applyProtection="0"/>
    <xf numFmtId="0" fontId="213" fillId="65" borderId="521" applyNumberFormat="0" applyAlignment="0" applyProtection="0"/>
    <xf numFmtId="182" fontId="225" fillId="0" borderId="331" applyFill="0" applyProtection="0"/>
    <xf numFmtId="200" fontId="225" fillId="0" borderId="412" applyFill="0" applyProtection="0"/>
    <xf numFmtId="0" fontId="153" fillId="0" borderId="591">
      <alignment horizontal="left" vertical="center"/>
    </xf>
    <xf numFmtId="0" fontId="213" fillId="80" borderId="503" applyNumberFormat="0" applyAlignment="0" applyProtection="0"/>
    <xf numFmtId="0" fontId="203" fillId="81" borderId="288" applyNumberFormat="0" applyFont="0" applyAlignment="0" applyProtection="0"/>
    <xf numFmtId="0" fontId="213" fillId="65" borderId="458" applyNumberFormat="0" applyAlignment="0" applyProtection="0"/>
    <xf numFmtId="0" fontId="213" fillId="65" borderId="422" applyNumberFormat="0" applyAlignment="0" applyProtection="0"/>
    <xf numFmtId="0" fontId="213" fillId="65" borderId="278" applyNumberFormat="0" applyAlignment="0" applyProtection="0"/>
    <xf numFmtId="0" fontId="176" fillId="81" borderId="594" applyNumberFormat="0" applyFont="0" applyAlignment="0" applyProtection="0"/>
    <xf numFmtId="0" fontId="213" fillId="65" borderId="503" applyNumberFormat="0" applyAlignment="0" applyProtection="0"/>
    <xf numFmtId="0" fontId="174" fillId="0" borderId="371" applyNumberFormat="0" applyFill="0" applyAlignment="0" applyProtection="0"/>
    <xf numFmtId="0" fontId="213" fillId="65" borderId="548" applyNumberFormat="0" applyAlignment="0" applyProtection="0"/>
    <xf numFmtId="0" fontId="213" fillId="65" borderId="503" applyNumberFormat="0" applyAlignment="0" applyProtection="0"/>
    <xf numFmtId="0" fontId="213" fillId="65" borderId="467" applyNumberFormat="0" applyAlignment="0" applyProtection="0"/>
    <xf numFmtId="0" fontId="203" fillId="81" borderId="594" applyNumberFormat="0" applyFont="0" applyAlignment="0" applyProtection="0"/>
    <xf numFmtId="0" fontId="174" fillId="0" borderId="391" applyNumberFormat="0" applyFill="0" applyAlignment="0" applyProtection="0"/>
    <xf numFmtId="0" fontId="216" fillId="78" borderId="325" applyNumberFormat="0" applyAlignment="0" applyProtection="0"/>
    <xf numFmtId="0" fontId="203" fillId="81" borderId="459" applyNumberFormat="0" applyFont="0" applyAlignment="0" applyProtection="0"/>
    <xf numFmtId="0" fontId="229" fillId="83" borderId="408" applyAlignment="0">
      <alignment horizontal="center"/>
    </xf>
    <xf numFmtId="0" fontId="203" fillId="81" borderId="567" applyNumberFormat="0" applyFont="0" applyAlignment="0" applyProtection="0"/>
    <xf numFmtId="0" fontId="213" fillId="65" borderId="332" applyNumberFormat="0" applyAlignment="0" applyProtection="0"/>
    <xf numFmtId="0" fontId="213" fillId="65" borderId="503" applyNumberFormat="0" applyAlignment="0" applyProtection="0"/>
    <xf numFmtId="0" fontId="176" fillId="81" borderId="369" applyNumberFormat="0" applyFont="0" applyAlignment="0" applyProtection="0"/>
    <xf numFmtId="0" fontId="238" fillId="59" borderId="413" applyNumberFormat="0" applyAlignment="0" applyProtection="0"/>
    <xf numFmtId="0" fontId="213" fillId="65" borderId="566" applyNumberFormat="0" applyAlignment="0" applyProtection="0"/>
    <xf numFmtId="0" fontId="176" fillId="81" borderId="279" applyNumberFormat="0" applyFont="0" applyAlignment="0" applyProtection="0"/>
    <xf numFmtId="0" fontId="206" fillId="78" borderId="341" applyNumberFormat="0" applyAlignment="0" applyProtection="0"/>
    <xf numFmtId="0" fontId="213" fillId="65" borderId="323" applyNumberFormat="0" applyAlignment="0" applyProtection="0"/>
    <xf numFmtId="182" fontId="225" fillId="0" borderId="277" applyFill="0" applyProtection="0"/>
    <xf numFmtId="0" fontId="206" fillId="78" borderId="341" applyNumberFormat="0" applyAlignment="0" applyProtection="0"/>
    <xf numFmtId="0" fontId="216" fillId="59" borderId="334" applyNumberFormat="0" applyAlignment="0" applyProtection="0"/>
    <xf numFmtId="0" fontId="203" fillId="81" borderId="549" applyNumberFormat="0" applyFont="0" applyAlignment="0" applyProtection="0"/>
    <xf numFmtId="0" fontId="213" fillId="65" borderId="431" applyNumberFormat="0" applyAlignment="0" applyProtection="0"/>
    <xf numFmtId="0" fontId="213" fillId="65" borderId="413" applyNumberFormat="0" applyAlignment="0" applyProtection="0"/>
    <xf numFmtId="200" fontId="225" fillId="0" borderId="592" applyFill="0" applyProtection="0"/>
    <xf numFmtId="0" fontId="244" fillId="0" borderId="430" applyNumberFormat="0" applyFont="0" applyFill="0" applyAlignment="0" applyProtection="0"/>
    <xf numFmtId="0" fontId="244" fillId="0" borderId="475" applyNumberFormat="0" applyFont="0" applyFill="0" applyAlignment="0" applyProtection="0"/>
    <xf numFmtId="0" fontId="203" fillId="81" borderId="378" applyNumberFormat="0" applyFont="0" applyAlignment="0" applyProtection="0"/>
    <xf numFmtId="0" fontId="213" fillId="65" borderId="323" applyNumberFormat="0" applyAlignment="0" applyProtection="0"/>
    <xf numFmtId="0" fontId="8" fillId="81" borderId="450" applyNumberFormat="0" applyFont="0" applyAlignment="0" applyProtection="0"/>
    <xf numFmtId="0" fontId="203" fillId="81" borderId="378" applyNumberFormat="0" applyFont="0" applyAlignment="0" applyProtection="0"/>
    <xf numFmtId="0" fontId="203" fillId="81" borderId="324" applyNumberFormat="0" applyFont="0" applyAlignment="0" applyProtection="0"/>
    <xf numFmtId="200" fontId="225" fillId="0" borderId="286" applyFill="0" applyProtection="0"/>
    <xf numFmtId="0" fontId="203" fillId="81" borderId="477" applyNumberFormat="0" applyFont="0" applyAlignment="0" applyProtection="0"/>
    <xf numFmtId="182" fontId="225" fillId="0" borderId="556" applyFill="0" applyProtection="0"/>
    <xf numFmtId="0" fontId="213" fillId="65" borderId="458" applyNumberFormat="0" applyAlignment="0" applyProtection="0"/>
    <xf numFmtId="0" fontId="153" fillId="0" borderId="474">
      <alignment horizontal="left" vertical="center"/>
    </xf>
    <xf numFmtId="0" fontId="213" fillId="65" borderId="368" applyNumberFormat="0" applyAlignment="0" applyProtection="0"/>
    <xf numFmtId="0" fontId="238" fillId="59" borderId="287" applyNumberFormat="0" applyAlignment="0" applyProtection="0"/>
    <xf numFmtId="0" fontId="8" fillId="81" borderId="594" applyNumberFormat="0" applyFont="0" applyAlignment="0" applyProtection="0"/>
    <xf numFmtId="0" fontId="176" fillId="81" borderId="279" applyNumberFormat="0" applyFont="0" applyAlignment="0" applyProtection="0"/>
    <xf numFmtId="0" fontId="213" fillId="65" borderId="287" applyNumberFormat="0" applyAlignment="0" applyProtection="0"/>
    <xf numFmtId="0" fontId="213" fillId="65" borderId="548" applyNumberFormat="0" applyAlignment="0" applyProtection="0"/>
    <xf numFmtId="0" fontId="174" fillId="0" borderId="562" applyNumberFormat="0" applyFill="0" applyAlignment="0" applyProtection="0"/>
    <xf numFmtId="0" fontId="229" fillId="83" borderId="615" applyAlignment="0">
      <alignment horizontal="center"/>
    </xf>
    <xf numFmtId="0" fontId="203" fillId="81" borderId="594" applyNumberFormat="0" applyFont="0" applyAlignment="0" applyProtection="0"/>
    <xf numFmtId="182" fontId="225" fillId="0" borderId="520" applyFill="0" applyProtection="0"/>
    <xf numFmtId="0" fontId="203" fillId="81" borderId="279" applyNumberFormat="0" applyFont="0" applyAlignment="0" applyProtection="0"/>
    <xf numFmtId="0" fontId="216" fillId="78" borderId="595" applyNumberFormat="0" applyAlignment="0" applyProtection="0"/>
    <xf numFmtId="0" fontId="213" fillId="65" borderId="467" applyNumberFormat="0" applyAlignment="0" applyProtection="0"/>
    <xf numFmtId="0" fontId="174" fillId="0" borderId="372" applyNumberFormat="0" applyFill="0" applyAlignment="0" applyProtection="0"/>
    <xf numFmtId="0" fontId="203" fillId="81" borderId="495" applyNumberFormat="0" applyFont="0" applyAlignment="0" applyProtection="0"/>
    <xf numFmtId="0" fontId="213" fillId="65" borderId="323" applyNumberFormat="0" applyAlignment="0" applyProtection="0"/>
    <xf numFmtId="0" fontId="213" fillId="65" borderId="548" applyNumberFormat="0" applyAlignment="0" applyProtection="0"/>
    <xf numFmtId="0" fontId="203" fillId="81" borderId="558" applyNumberFormat="0" applyFont="0" applyAlignment="0" applyProtection="0"/>
    <xf numFmtId="0" fontId="213" fillId="65" borderId="593" applyNumberFormat="0" applyAlignment="0" applyProtection="0"/>
    <xf numFmtId="0" fontId="203" fillId="81" borderId="504" applyNumberFormat="0" applyFont="0" applyAlignment="0" applyProtection="0"/>
    <xf numFmtId="182" fontId="225" fillId="0" borderId="412" applyFill="0" applyProtection="0"/>
    <xf numFmtId="200" fontId="225" fillId="0" borderId="592" applyFill="0" applyProtection="0"/>
    <xf numFmtId="0" fontId="238" fillId="59" borderId="377" applyNumberFormat="0" applyAlignment="0" applyProtection="0"/>
    <xf numFmtId="0" fontId="203" fillId="81" borderId="549" applyNumberFormat="0" applyFont="0" applyAlignment="0" applyProtection="0"/>
    <xf numFmtId="0" fontId="203" fillId="81" borderId="513" applyNumberFormat="0" applyFont="0" applyAlignment="0" applyProtection="0"/>
    <xf numFmtId="0" fontId="213" fillId="80" borderId="332" applyNumberFormat="0" applyAlignment="0" applyProtection="0"/>
    <xf numFmtId="0" fontId="238" fillId="59" borderId="503" applyNumberFormat="0" applyAlignment="0" applyProtection="0"/>
    <xf numFmtId="0" fontId="203" fillId="81" borderId="342" applyNumberFormat="0" applyFont="0" applyAlignment="0" applyProtection="0"/>
    <xf numFmtId="0" fontId="203" fillId="81" borderId="369" applyNumberFormat="0" applyFont="0" applyAlignment="0" applyProtection="0"/>
    <xf numFmtId="0" fontId="203" fillId="81" borderId="333" applyNumberFormat="0" applyFont="0" applyAlignment="0" applyProtection="0"/>
    <xf numFmtId="0" fontId="213" fillId="65" borderId="458" applyNumberFormat="0" applyAlignment="0" applyProtection="0"/>
    <xf numFmtId="0" fontId="213" fillId="65" borderId="458" applyNumberFormat="0" applyAlignment="0" applyProtection="0"/>
    <xf numFmtId="0" fontId="174" fillId="0" borderId="416" applyNumberFormat="0" applyFill="0" applyAlignment="0" applyProtection="0"/>
    <xf numFmtId="0" fontId="213" fillId="65" borderId="368" applyNumberFormat="0" applyAlignment="0" applyProtection="0"/>
    <xf numFmtId="0" fontId="216" fillId="78" borderId="460" applyNumberFormat="0" applyAlignment="0" applyProtection="0"/>
    <xf numFmtId="43" fontId="203" fillId="0" borderId="0" applyFont="0" applyFill="0" applyBorder="0" applyAlignment="0" applyProtection="0"/>
    <xf numFmtId="0" fontId="213" fillId="65" borderId="557" applyNumberFormat="0" applyAlignment="0" applyProtection="0"/>
    <xf numFmtId="0" fontId="203" fillId="81" borderId="603" applyNumberFormat="0" applyFont="0" applyAlignment="0" applyProtection="0"/>
    <xf numFmtId="0" fontId="203" fillId="81" borderId="612" applyNumberFormat="0" applyFont="0" applyAlignment="0" applyProtection="0"/>
    <xf numFmtId="0" fontId="213" fillId="65" borderId="287" applyNumberFormat="0" applyAlignment="0" applyProtection="0"/>
    <xf numFmtId="0" fontId="213" fillId="65" borderId="323" applyNumberFormat="0" applyAlignment="0" applyProtection="0"/>
    <xf numFmtId="0" fontId="213" fillId="65" borderId="557" applyNumberFormat="0" applyAlignment="0" applyProtection="0"/>
    <xf numFmtId="0" fontId="213" fillId="80" borderId="593" applyNumberFormat="0" applyAlignment="0" applyProtection="0"/>
    <xf numFmtId="0" fontId="153" fillId="0" borderId="411">
      <alignment horizontal="left" vertical="center"/>
    </xf>
    <xf numFmtId="0" fontId="203" fillId="81" borderId="414" applyNumberFormat="0" applyFont="0" applyAlignment="0" applyProtection="0"/>
    <xf numFmtId="200" fontId="225" fillId="0" borderId="421" applyFill="0" applyProtection="0"/>
    <xf numFmtId="200" fontId="225" fillId="0" borderId="322" applyFill="0" applyProtection="0"/>
    <xf numFmtId="0" fontId="213" fillId="65" borderId="413" applyNumberFormat="0" applyAlignment="0" applyProtection="0"/>
    <xf numFmtId="0" fontId="213" fillId="65" borderId="278" applyNumberFormat="0" applyAlignment="0" applyProtection="0"/>
    <xf numFmtId="0" fontId="213" fillId="65" borderId="422" applyNumberFormat="0" applyAlignment="0" applyProtection="0"/>
    <xf numFmtId="0" fontId="203" fillId="81" borderId="369" applyNumberFormat="0" applyFont="0" applyAlignment="0" applyProtection="0"/>
    <xf numFmtId="0" fontId="213" fillId="65" borderId="503" applyNumberFormat="0" applyAlignment="0" applyProtection="0"/>
    <xf numFmtId="0" fontId="213" fillId="65" borderId="278" applyNumberFormat="0" applyAlignment="0" applyProtection="0"/>
    <xf numFmtId="0" fontId="213" fillId="80" borderId="458" applyNumberFormat="0" applyAlignment="0" applyProtection="0"/>
    <xf numFmtId="0" fontId="238" fillId="59" borderId="368" applyNumberFormat="0" applyAlignment="0" applyProtection="0"/>
    <xf numFmtId="0" fontId="203" fillId="81" borderId="369" applyNumberFormat="0" applyFont="0" applyAlignment="0" applyProtection="0"/>
    <xf numFmtId="0" fontId="213" fillId="65" borderId="476" applyNumberFormat="0" applyAlignment="0" applyProtection="0"/>
    <xf numFmtId="0" fontId="216" fillId="59" borderId="550" applyNumberFormat="0" applyAlignment="0" applyProtection="0"/>
    <xf numFmtId="0" fontId="174" fillId="0" borderId="282" applyNumberFormat="0" applyFill="0" applyAlignment="0" applyProtection="0"/>
    <xf numFmtId="0" fontId="213" fillId="65" borderId="332" applyNumberFormat="0" applyAlignment="0" applyProtection="0"/>
    <xf numFmtId="0" fontId="203" fillId="81" borderId="594" applyNumberFormat="0" applyFont="0" applyAlignment="0" applyProtection="0"/>
    <xf numFmtId="0" fontId="176" fillId="81" borderId="477" applyNumberFormat="0" applyFont="0" applyAlignment="0" applyProtection="0"/>
    <xf numFmtId="200" fontId="225" fillId="0" borderId="286" applyFill="0" applyProtection="0"/>
    <xf numFmtId="0" fontId="213" fillId="65" borderId="503" applyNumberFormat="0" applyAlignment="0" applyProtection="0"/>
    <xf numFmtId="0" fontId="213" fillId="65" borderId="593" applyNumberFormat="0" applyAlignment="0" applyProtection="0"/>
    <xf numFmtId="0" fontId="206" fillId="78" borderId="458" applyNumberFormat="0" applyAlignment="0" applyProtection="0"/>
    <xf numFmtId="0" fontId="213" fillId="65" borderId="332" applyNumberFormat="0" applyAlignment="0" applyProtection="0"/>
    <xf numFmtId="0" fontId="176" fillId="81" borderId="324" applyNumberFormat="0" applyFont="0" applyAlignment="0" applyProtection="0"/>
    <xf numFmtId="0" fontId="213" fillId="65" borderId="557" applyNumberFormat="0" applyAlignment="0" applyProtection="0"/>
    <xf numFmtId="0" fontId="238" fillId="59" borderId="323" applyNumberFormat="0" applyAlignment="0" applyProtection="0"/>
    <xf numFmtId="0" fontId="203" fillId="81" borderId="333" applyNumberFormat="0" applyFont="0" applyAlignment="0" applyProtection="0"/>
    <xf numFmtId="0" fontId="213" fillId="65" borderId="467" applyNumberFormat="0" applyAlignment="0" applyProtection="0"/>
    <xf numFmtId="0" fontId="213" fillId="65" borderId="548" applyNumberFormat="0" applyAlignment="0" applyProtection="0"/>
    <xf numFmtId="0" fontId="213" fillId="65" borderId="323" applyNumberFormat="0" applyAlignment="0" applyProtection="0"/>
    <xf numFmtId="0" fontId="213" fillId="65" borderId="278" applyNumberFormat="0" applyAlignment="0" applyProtection="0"/>
    <xf numFmtId="0" fontId="203" fillId="81" borderId="261" applyNumberFormat="0" applyFont="0" applyAlignment="0" applyProtection="0"/>
    <xf numFmtId="0" fontId="213" fillId="65" borderId="557" applyNumberFormat="0" applyAlignment="0" applyProtection="0"/>
    <xf numFmtId="0" fontId="238" fillId="59" borderId="431" applyNumberFormat="0" applyAlignment="0" applyProtection="0"/>
    <xf numFmtId="0" fontId="8" fillId="81" borderId="477" applyNumberFormat="0" applyFont="0" applyAlignment="0" applyProtection="0"/>
    <xf numFmtId="0" fontId="203" fillId="81" borderId="504" applyNumberFormat="0" applyFont="0" applyAlignment="0" applyProtection="0"/>
    <xf numFmtId="0" fontId="203" fillId="81" borderId="423" applyNumberFormat="0" applyFont="0" applyAlignment="0" applyProtection="0"/>
    <xf numFmtId="182" fontId="225" fillId="0" borderId="421" applyFill="0" applyProtection="0"/>
    <xf numFmtId="182" fontId="225" fillId="0" borderId="511" applyFill="0" applyProtection="0"/>
    <xf numFmtId="0" fontId="249" fillId="59" borderId="377" applyNumberFormat="0" applyAlignment="0" applyProtection="0"/>
    <xf numFmtId="0" fontId="174" fillId="0" borderId="560" applyNumberFormat="0" applyFill="0" applyAlignment="0" applyProtection="0"/>
    <xf numFmtId="0" fontId="203" fillId="81" borderId="387" applyNumberFormat="0" applyFont="0" applyAlignment="0" applyProtection="0"/>
    <xf numFmtId="0" fontId="153" fillId="0" borderId="366">
      <alignment horizontal="left" vertical="center"/>
    </xf>
    <xf numFmtId="0" fontId="213" fillId="65" borderId="386" applyNumberFormat="0" applyAlignment="0" applyProtection="0"/>
    <xf numFmtId="0" fontId="203" fillId="81" borderId="504" applyNumberFormat="0" applyFont="0" applyAlignment="0" applyProtection="0"/>
    <xf numFmtId="0" fontId="176" fillId="81" borderId="504" applyNumberFormat="0" applyFont="0" applyAlignment="0" applyProtection="0"/>
    <xf numFmtId="0" fontId="213" fillId="65" borderId="458" applyNumberFormat="0" applyAlignment="0" applyProtection="0"/>
    <xf numFmtId="0" fontId="213" fillId="65" borderId="467" applyNumberFormat="0" applyAlignment="0" applyProtection="0"/>
    <xf numFmtId="200" fontId="225" fillId="0" borderId="286" applyFill="0" applyProtection="0"/>
    <xf numFmtId="0" fontId="213" fillId="65" borderId="323" applyNumberFormat="0" applyAlignment="0" applyProtection="0"/>
    <xf numFmtId="0" fontId="238" fillId="59" borderId="611" applyNumberFormat="0" applyAlignment="0" applyProtection="0"/>
    <xf numFmtId="0" fontId="153" fillId="0" borderId="564">
      <alignment horizontal="left" vertical="center"/>
    </xf>
    <xf numFmtId="200" fontId="225" fillId="0" borderId="475" applyFill="0" applyProtection="0"/>
    <xf numFmtId="0" fontId="203" fillId="81" borderId="594" applyNumberFormat="0" applyFont="0" applyAlignment="0" applyProtection="0"/>
    <xf numFmtId="0" fontId="213" fillId="65" borderId="557" applyNumberFormat="0" applyAlignment="0" applyProtection="0"/>
    <xf numFmtId="0" fontId="203" fillId="81" borderId="423" applyNumberFormat="0" applyFont="0" applyAlignment="0" applyProtection="0"/>
    <xf numFmtId="0" fontId="213" fillId="65" borderId="287" applyNumberFormat="0" applyAlignment="0" applyProtection="0"/>
    <xf numFmtId="0" fontId="213" fillId="80" borderId="593" applyNumberFormat="0" applyAlignment="0" applyProtection="0"/>
    <xf numFmtId="0" fontId="229" fillId="83" borderId="283" applyAlignment="0">
      <alignment horizontal="center"/>
    </xf>
    <xf numFmtId="0" fontId="213" fillId="65" borderId="332" applyNumberFormat="0" applyAlignment="0" applyProtection="0"/>
    <xf numFmtId="0" fontId="8" fillId="81" borderId="324" applyNumberFormat="0" applyFont="0" applyAlignment="0" applyProtection="0"/>
    <xf numFmtId="0" fontId="203" fillId="81" borderId="603" applyNumberFormat="0" applyFont="0" applyAlignment="0" applyProtection="0"/>
    <xf numFmtId="0" fontId="203" fillId="81" borderId="405" applyNumberFormat="0" applyFont="0" applyAlignment="0" applyProtection="0"/>
    <xf numFmtId="182" fontId="225" fillId="0" borderId="376" applyFill="0" applyProtection="0"/>
    <xf numFmtId="0" fontId="203" fillId="81" borderId="549" applyNumberFormat="0" applyFont="0" applyAlignment="0" applyProtection="0"/>
    <xf numFmtId="0" fontId="206" fillId="78" borderId="602" applyNumberFormat="0" applyAlignment="0" applyProtection="0"/>
    <xf numFmtId="200" fontId="225" fillId="0" borderId="331" applyFill="0" applyProtection="0"/>
    <xf numFmtId="0" fontId="229" fillId="83" borderId="273" applyAlignment="0">
      <alignment horizontal="center"/>
    </xf>
    <xf numFmtId="0" fontId="203" fillId="81" borderId="423" applyNumberFormat="0" applyFont="0" applyAlignment="0" applyProtection="0"/>
    <xf numFmtId="182" fontId="225" fillId="0" borderId="421" applyFill="0" applyProtection="0"/>
    <xf numFmtId="0" fontId="203" fillId="81" borderId="360" applyNumberFormat="0" applyFont="0" applyAlignment="0" applyProtection="0"/>
    <xf numFmtId="0" fontId="213" fillId="65" borderId="512" applyNumberFormat="0" applyAlignment="0" applyProtection="0"/>
    <xf numFmtId="0" fontId="213" fillId="65" borderId="323" applyNumberFormat="0" applyAlignment="0" applyProtection="0"/>
    <xf numFmtId="0" fontId="216" fillId="78" borderId="505" applyNumberFormat="0" applyAlignment="0" applyProtection="0"/>
    <xf numFmtId="200" fontId="225" fillId="0" borderId="277" applyFill="0" applyProtection="0"/>
    <xf numFmtId="0" fontId="213" fillId="65" borderId="413" applyNumberFormat="0" applyAlignment="0" applyProtection="0"/>
    <xf numFmtId="0" fontId="8" fillId="81" borderId="360" applyNumberFormat="0" applyFont="0" applyAlignment="0" applyProtection="0"/>
    <xf numFmtId="182" fontId="225" fillId="0" borderId="565" applyFill="0" applyProtection="0"/>
    <xf numFmtId="0" fontId="213" fillId="65" borderId="548" applyNumberFormat="0" applyAlignment="0" applyProtection="0"/>
    <xf numFmtId="0" fontId="229" fillId="83" borderId="508" applyAlignment="0">
      <alignment horizontal="center"/>
    </xf>
    <xf numFmtId="182" fontId="225" fillId="0" borderId="592" applyFill="0" applyProtection="0"/>
    <xf numFmtId="200" fontId="225" fillId="0" borderId="466" applyFill="0" applyProtection="0"/>
    <xf numFmtId="0" fontId="213" fillId="65" borderId="323" applyNumberFormat="0" applyAlignment="0" applyProtection="0"/>
    <xf numFmtId="0" fontId="203" fillId="81" borderId="603" applyNumberFormat="0" applyFont="0" applyAlignment="0" applyProtection="0"/>
    <xf numFmtId="0" fontId="203" fillId="81" borderId="504" applyNumberFormat="0" applyFont="0" applyAlignment="0" applyProtection="0"/>
    <xf numFmtId="0" fontId="213" fillId="65" borderId="593" applyNumberFormat="0" applyAlignment="0" applyProtection="0"/>
    <xf numFmtId="0" fontId="206" fillId="78" borderId="287" applyNumberFormat="0" applyAlignment="0" applyProtection="0"/>
    <xf numFmtId="0" fontId="216" fillId="59" borderId="532" applyNumberFormat="0" applyAlignment="0" applyProtection="0"/>
    <xf numFmtId="0" fontId="213" fillId="65" borderId="278" applyNumberFormat="0" applyAlignment="0" applyProtection="0"/>
    <xf numFmtId="0" fontId="206" fillId="78" borderId="557" applyNumberFormat="0" applyAlignment="0" applyProtection="0"/>
    <xf numFmtId="0" fontId="174" fillId="0" borderId="571" applyNumberFormat="0" applyFill="0" applyAlignment="0" applyProtection="0"/>
    <xf numFmtId="182" fontId="225" fillId="0" borderId="286" applyFill="0" applyProtection="0"/>
    <xf numFmtId="0" fontId="8" fillId="81" borderId="567" applyNumberFormat="0" applyFont="0" applyAlignment="0" applyProtection="0"/>
    <xf numFmtId="0" fontId="213" fillId="65" borderId="287" applyNumberFormat="0" applyAlignment="0" applyProtection="0"/>
    <xf numFmtId="0" fontId="203" fillId="81" borderId="612" applyNumberFormat="0" applyFont="0" applyAlignment="0" applyProtection="0"/>
    <xf numFmtId="0" fontId="203" fillId="81" borderId="432" applyNumberFormat="0" applyFont="0" applyAlignment="0" applyProtection="0"/>
    <xf numFmtId="0" fontId="213" fillId="65" borderId="593" applyNumberFormat="0" applyAlignment="0" applyProtection="0"/>
    <xf numFmtId="0" fontId="203" fillId="81" borderId="567" applyNumberFormat="0" applyFont="0" applyAlignment="0" applyProtection="0"/>
    <xf numFmtId="0" fontId="213" fillId="65" borderId="368" applyNumberFormat="0" applyAlignment="0" applyProtection="0"/>
    <xf numFmtId="182" fontId="225" fillId="0" borderId="475" applyFill="0" applyProtection="0"/>
    <xf numFmtId="0" fontId="8" fillId="81" borderId="567" applyNumberFormat="0" applyFont="0" applyAlignment="0" applyProtection="0"/>
    <xf numFmtId="0" fontId="229" fillId="83" borderId="426" applyAlignment="0">
      <alignment horizontal="center"/>
    </xf>
    <xf numFmtId="0" fontId="203" fillId="81" borderId="279" applyNumberFormat="0" applyFont="0" applyAlignment="0" applyProtection="0"/>
    <xf numFmtId="0" fontId="213" fillId="65" borderId="377" applyNumberFormat="0" applyAlignment="0" applyProtection="0"/>
    <xf numFmtId="0" fontId="213" fillId="65" borderId="323" applyNumberFormat="0" applyAlignment="0" applyProtection="0"/>
    <xf numFmtId="182" fontId="225" fillId="0" borderId="277" applyFill="0" applyProtection="0"/>
    <xf numFmtId="0" fontId="203" fillId="81" borderId="594" applyNumberFormat="0" applyFont="0" applyAlignment="0" applyProtection="0"/>
    <xf numFmtId="0" fontId="203" fillId="81" borderId="594" applyNumberFormat="0" applyFont="0" applyAlignment="0" applyProtection="0"/>
    <xf numFmtId="0" fontId="213" fillId="65" borderId="431" applyNumberFormat="0" applyAlignment="0" applyProtection="0"/>
    <xf numFmtId="0" fontId="238" fillId="59" borderId="278" applyNumberFormat="0" applyAlignment="0" applyProtection="0"/>
    <xf numFmtId="0" fontId="213" fillId="65" borderId="566" applyNumberFormat="0" applyAlignment="0" applyProtection="0"/>
    <xf numFmtId="0" fontId="153" fillId="0" borderId="510">
      <alignment horizontal="left" vertical="center"/>
    </xf>
    <xf numFmtId="182" fontId="225" fillId="0" borderId="601" applyFill="0" applyProtection="0"/>
    <xf numFmtId="0" fontId="216" fillId="59" borderId="505" applyNumberFormat="0" applyAlignment="0" applyProtection="0"/>
    <xf numFmtId="0" fontId="216" fillId="78" borderId="640" applyNumberFormat="0" applyAlignment="0" applyProtection="0"/>
    <xf numFmtId="200" fontId="225" fillId="0" borderId="457" applyFill="0" applyProtection="0"/>
    <xf numFmtId="0" fontId="213" fillId="80" borderId="557" applyNumberFormat="0" applyAlignment="0" applyProtection="0"/>
    <xf numFmtId="0" fontId="153" fillId="0" borderId="600">
      <alignment horizontal="left" vertical="center"/>
    </xf>
    <xf numFmtId="0" fontId="213" fillId="65" borderId="548" applyNumberFormat="0" applyAlignment="0" applyProtection="0"/>
    <xf numFmtId="0" fontId="238" fillId="59" borderId="602" applyNumberFormat="0" applyAlignment="0" applyProtection="0"/>
    <xf numFmtId="0" fontId="213" fillId="65" borderId="476" applyNumberFormat="0" applyAlignment="0" applyProtection="0"/>
    <xf numFmtId="0" fontId="213" fillId="65" borderId="368" applyNumberFormat="0" applyAlignment="0" applyProtection="0"/>
    <xf numFmtId="0" fontId="213" fillId="65" borderId="458" applyNumberFormat="0" applyAlignment="0" applyProtection="0"/>
    <xf numFmtId="0" fontId="216" fillId="78" borderId="595" applyNumberFormat="0" applyAlignment="0" applyProtection="0"/>
    <xf numFmtId="0" fontId="203" fillId="81" borderId="423" applyNumberFormat="0" applyFont="0" applyAlignment="0" applyProtection="0"/>
    <xf numFmtId="0" fontId="203" fillId="81" borderId="567" applyNumberFormat="0" applyFont="0" applyAlignment="0" applyProtection="0"/>
    <xf numFmtId="182" fontId="225" fillId="0" borderId="367" applyFill="0" applyProtection="0"/>
    <xf numFmtId="0" fontId="213" fillId="65" borderId="341" applyNumberFormat="0" applyAlignment="0" applyProtection="0"/>
    <xf numFmtId="0" fontId="203" fillId="81" borderId="288" applyNumberFormat="0" applyFont="0" applyAlignment="0" applyProtection="0"/>
    <xf numFmtId="0" fontId="203" fillId="81" borderId="324" applyNumberFormat="0" applyFont="0" applyAlignment="0" applyProtection="0"/>
    <xf numFmtId="0" fontId="213" fillId="80" borderId="323" applyNumberFormat="0" applyAlignment="0" applyProtection="0"/>
    <xf numFmtId="0" fontId="203" fillId="81" borderId="225" applyNumberFormat="0" applyFont="0" applyAlignment="0" applyProtection="0"/>
    <xf numFmtId="182" fontId="225" fillId="0" borderId="457" applyFill="0" applyProtection="0"/>
    <xf numFmtId="0" fontId="203" fillId="81" borderId="603" applyNumberFormat="0" applyFont="0" applyAlignment="0" applyProtection="0"/>
    <xf numFmtId="0" fontId="213" fillId="65" borderId="593" applyNumberFormat="0" applyAlignment="0" applyProtection="0"/>
    <xf numFmtId="0" fontId="203" fillId="81" borderId="522" applyNumberFormat="0" applyFont="0" applyAlignment="0" applyProtection="0"/>
    <xf numFmtId="0" fontId="213" fillId="65" borderId="458" applyNumberFormat="0" applyAlignment="0" applyProtection="0"/>
    <xf numFmtId="0" fontId="206" fillId="78" borderId="611" applyNumberFormat="0" applyAlignment="0" applyProtection="0"/>
    <xf numFmtId="0" fontId="176" fillId="81" borderId="279" applyNumberFormat="0" applyFont="0" applyAlignment="0" applyProtection="0"/>
    <xf numFmtId="0" fontId="206" fillId="78" borderId="548" applyNumberFormat="0" applyAlignment="0" applyProtection="0"/>
    <xf numFmtId="0" fontId="213" fillId="80" borderId="278" applyNumberFormat="0" applyAlignment="0" applyProtection="0"/>
    <xf numFmtId="0" fontId="213" fillId="65" borderId="368" applyNumberFormat="0" applyAlignment="0" applyProtection="0"/>
    <xf numFmtId="0" fontId="153" fillId="0" borderId="465">
      <alignment horizontal="left" vertical="center"/>
    </xf>
    <xf numFmtId="182" fontId="225" fillId="0" borderId="601" applyFill="0" applyProtection="0"/>
    <xf numFmtId="0" fontId="213" fillId="65" borderId="323" applyNumberFormat="0" applyAlignment="0" applyProtection="0"/>
    <xf numFmtId="0" fontId="213" fillId="65" borderId="458" applyNumberFormat="0" applyAlignment="0" applyProtection="0"/>
    <xf numFmtId="0" fontId="213" fillId="65" borderId="278" applyNumberFormat="0" applyAlignment="0" applyProtection="0"/>
    <xf numFmtId="200" fontId="225" fillId="0" borderId="466" applyFill="0" applyProtection="0"/>
    <xf numFmtId="0" fontId="213" fillId="65" borderId="413" applyNumberFormat="0" applyAlignment="0" applyProtection="0"/>
    <xf numFmtId="0" fontId="203" fillId="81" borderId="342" applyNumberFormat="0" applyFont="0" applyAlignment="0" applyProtection="0"/>
    <xf numFmtId="0" fontId="203" fillId="81" borderId="360" applyNumberFormat="0" applyFont="0" applyAlignment="0" applyProtection="0"/>
    <xf numFmtId="0" fontId="213" fillId="65" borderId="332" applyNumberFormat="0" applyAlignment="0" applyProtection="0"/>
    <xf numFmtId="0" fontId="213" fillId="65" borderId="458" applyNumberFormat="0" applyAlignment="0" applyProtection="0"/>
    <xf numFmtId="0" fontId="176" fillId="81" borderId="369" applyNumberFormat="0" applyFont="0" applyAlignment="0" applyProtection="0"/>
    <xf numFmtId="0" fontId="213" fillId="80" borderId="386" applyNumberFormat="0" applyAlignment="0" applyProtection="0"/>
    <xf numFmtId="0" fontId="203" fillId="81" borderId="468" applyNumberFormat="0" applyFont="0" applyAlignment="0" applyProtection="0"/>
    <xf numFmtId="0" fontId="213" fillId="65" borderId="476" applyNumberFormat="0" applyAlignment="0" applyProtection="0"/>
    <xf numFmtId="0" fontId="206" fillId="78" borderId="548" applyNumberFormat="0" applyAlignment="0" applyProtection="0"/>
    <xf numFmtId="200" fontId="225" fillId="0" borderId="565" applyFill="0" applyProtection="0"/>
    <xf numFmtId="0" fontId="213" fillId="65" borderId="413" applyNumberFormat="0" applyAlignment="0" applyProtection="0"/>
    <xf numFmtId="0" fontId="206" fillId="78" borderId="503" applyNumberFormat="0" applyAlignment="0" applyProtection="0"/>
    <xf numFmtId="0" fontId="213" fillId="65" borderId="611" applyNumberFormat="0" applyAlignment="0" applyProtection="0"/>
    <xf numFmtId="200" fontId="225" fillId="0" borderId="565" applyFill="0" applyProtection="0"/>
    <xf numFmtId="0" fontId="213" fillId="65" borderId="593" applyNumberFormat="0" applyAlignment="0" applyProtection="0"/>
    <xf numFmtId="0" fontId="213" fillId="65" borderId="323" applyNumberFormat="0" applyAlignment="0" applyProtection="0"/>
    <xf numFmtId="200" fontId="225" fillId="0" borderId="520" applyFill="0" applyProtection="0"/>
    <xf numFmtId="200" fontId="225" fillId="0" borderId="457" applyFill="0" applyProtection="0"/>
    <xf numFmtId="200" fontId="225" fillId="0" borderId="322" applyFill="0" applyProtection="0"/>
    <xf numFmtId="0" fontId="213" fillId="65" borderId="512" applyNumberFormat="0" applyAlignment="0" applyProtection="0"/>
    <xf numFmtId="182" fontId="225" fillId="0" borderId="376" applyFill="0" applyProtection="0"/>
    <xf numFmtId="0" fontId="213" fillId="80" borderId="332" applyNumberFormat="0" applyAlignment="0" applyProtection="0"/>
    <xf numFmtId="0" fontId="213" fillId="65" borderId="377" applyNumberFormat="0" applyAlignment="0" applyProtection="0"/>
    <xf numFmtId="182" fontId="225" fillId="0" borderId="475" applyFill="0" applyProtection="0"/>
    <xf numFmtId="0" fontId="229" fillId="83" borderId="508" applyAlignment="0">
      <alignment horizontal="center"/>
    </xf>
    <xf numFmtId="0" fontId="213" fillId="65" borderId="413" applyNumberFormat="0" applyAlignment="0" applyProtection="0"/>
    <xf numFmtId="0" fontId="213" fillId="65" borderId="512" applyNumberFormat="0" applyAlignment="0" applyProtection="0"/>
    <xf numFmtId="0" fontId="8" fillId="81" borderId="549" applyNumberFormat="0" applyFont="0" applyAlignment="0" applyProtection="0"/>
    <xf numFmtId="0" fontId="213" fillId="80" borderId="323" applyNumberFormat="0" applyAlignment="0" applyProtection="0"/>
    <xf numFmtId="0" fontId="203" fillId="81" borderId="324" applyNumberFormat="0" applyFont="0" applyAlignment="0" applyProtection="0"/>
    <xf numFmtId="0" fontId="213" fillId="80" borderId="458" applyNumberFormat="0" applyAlignment="0" applyProtection="0"/>
    <xf numFmtId="0" fontId="213" fillId="65" borderId="467" applyNumberFormat="0" applyAlignment="0" applyProtection="0"/>
    <xf numFmtId="0" fontId="203" fillId="81" borderId="522" applyNumberFormat="0" applyFont="0" applyAlignment="0" applyProtection="0"/>
    <xf numFmtId="0" fontId="203" fillId="81" borderId="423" applyNumberFormat="0" applyFont="0" applyAlignment="0" applyProtection="0"/>
    <xf numFmtId="0" fontId="254" fillId="80" borderId="287" applyNumberFormat="0" applyAlignment="0" applyProtection="0"/>
    <xf numFmtId="0" fontId="213" fillId="65" borderId="611" applyNumberFormat="0" applyAlignment="0" applyProtection="0"/>
    <xf numFmtId="0" fontId="216" fillId="78" borderId="415" applyNumberFormat="0" applyAlignment="0" applyProtection="0"/>
    <xf numFmtId="0" fontId="213" fillId="65" borderId="602" applyNumberFormat="0" applyAlignment="0" applyProtection="0"/>
    <xf numFmtId="0" fontId="213" fillId="65" borderId="422" applyNumberFormat="0" applyAlignment="0" applyProtection="0"/>
    <xf numFmtId="0" fontId="213" fillId="65" borderId="476" applyNumberFormat="0" applyAlignment="0" applyProtection="0"/>
    <xf numFmtId="0" fontId="203" fillId="81" borderId="225" applyNumberFormat="0" applyFont="0" applyAlignment="0" applyProtection="0"/>
    <xf numFmtId="0" fontId="203" fillId="81" borderId="495" applyNumberFormat="0" applyFont="0" applyAlignment="0" applyProtection="0"/>
    <xf numFmtId="0" fontId="216" fillId="78" borderId="604" applyNumberFormat="0" applyAlignment="0" applyProtection="0"/>
    <xf numFmtId="0" fontId="203" fillId="81" borderId="549" applyNumberFormat="0" applyFont="0" applyAlignment="0" applyProtection="0"/>
    <xf numFmtId="0" fontId="213" fillId="65" borderId="386" applyNumberFormat="0" applyAlignment="0" applyProtection="0"/>
    <xf numFmtId="0" fontId="213" fillId="65" borderId="377" applyNumberFormat="0" applyAlignment="0" applyProtection="0"/>
    <xf numFmtId="0" fontId="153" fillId="0" borderId="276">
      <alignment horizontal="left" vertical="center"/>
    </xf>
    <xf numFmtId="0" fontId="203" fillId="81" borderId="450" applyNumberFormat="0" applyFont="0" applyAlignment="0" applyProtection="0"/>
    <xf numFmtId="0" fontId="203" fillId="81" borderId="369" applyNumberFormat="0" applyFont="0" applyAlignment="0" applyProtection="0"/>
    <xf numFmtId="0" fontId="206" fillId="78" borderId="602" applyNumberFormat="0" applyAlignment="0" applyProtection="0"/>
    <xf numFmtId="0" fontId="213" fillId="65" borderId="593" applyNumberFormat="0" applyAlignment="0" applyProtection="0"/>
    <xf numFmtId="0" fontId="206" fillId="78" borderId="503" applyNumberFormat="0" applyAlignment="0" applyProtection="0"/>
    <xf numFmtId="0" fontId="176" fillId="81" borderId="504" applyNumberFormat="0" applyFont="0" applyAlignment="0" applyProtection="0"/>
    <xf numFmtId="0" fontId="213" fillId="65" borderId="341" applyNumberFormat="0" applyAlignment="0" applyProtection="0"/>
    <xf numFmtId="0" fontId="213" fillId="65" borderId="323" applyNumberFormat="0" applyAlignment="0" applyProtection="0"/>
    <xf numFmtId="0" fontId="213" fillId="65" borderId="422" applyNumberFormat="0" applyAlignment="0" applyProtection="0"/>
    <xf numFmtId="0" fontId="8" fillId="81" borderId="432" applyNumberFormat="0" applyFont="0" applyAlignment="0" applyProtection="0"/>
    <xf numFmtId="0" fontId="213" fillId="65" borderId="377" applyNumberFormat="0" applyAlignment="0" applyProtection="0"/>
    <xf numFmtId="0" fontId="203" fillId="81" borderId="279" applyNumberFormat="0" applyFont="0" applyAlignment="0" applyProtection="0"/>
    <xf numFmtId="0" fontId="213" fillId="65" borderId="503" applyNumberFormat="0" applyAlignment="0" applyProtection="0"/>
    <xf numFmtId="0" fontId="153" fillId="0" borderId="510">
      <alignment horizontal="left" vertical="center"/>
    </xf>
    <xf numFmtId="0" fontId="8" fillId="81" borderId="504" applyNumberFormat="0" applyFont="0" applyAlignment="0" applyProtection="0"/>
    <xf numFmtId="182" fontId="225" fillId="0" borderId="412" applyFill="0" applyProtection="0"/>
    <xf numFmtId="0" fontId="229" fillId="83" borderId="525" applyAlignment="0">
      <alignment horizontal="center"/>
    </xf>
    <xf numFmtId="200" fontId="225" fillId="0" borderId="592" applyFill="0" applyProtection="0"/>
    <xf numFmtId="0" fontId="213" fillId="65" borderId="548" applyNumberFormat="0" applyAlignment="0" applyProtection="0"/>
    <xf numFmtId="0" fontId="213" fillId="80" borderId="332" applyNumberFormat="0" applyAlignment="0" applyProtection="0"/>
    <xf numFmtId="0" fontId="213" fillId="65" borderId="602" applyNumberFormat="0" applyAlignment="0" applyProtection="0"/>
    <xf numFmtId="0" fontId="213" fillId="65" borderId="458" applyNumberFormat="0" applyAlignment="0" applyProtection="0"/>
    <xf numFmtId="0" fontId="213" fillId="65" borderId="287" applyNumberFormat="0" applyAlignment="0" applyProtection="0"/>
    <xf numFmtId="0" fontId="213" fillId="65" borderId="467" applyNumberFormat="0" applyAlignment="0" applyProtection="0"/>
    <xf numFmtId="0" fontId="213" fillId="65" borderId="566" applyNumberFormat="0" applyAlignment="0" applyProtection="0"/>
    <xf numFmtId="182" fontId="225" fillId="0" borderId="565" applyFill="0" applyProtection="0"/>
    <xf numFmtId="0" fontId="174" fillId="0" borderId="282" applyNumberFormat="0" applyFill="0" applyAlignment="0" applyProtection="0"/>
    <xf numFmtId="0" fontId="213" fillId="65" borderId="503" applyNumberFormat="0" applyAlignment="0" applyProtection="0"/>
    <xf numFmtId="0" fontId="153" fillId="0" borderId="465">
      <alignment horizontal="left" vertical="center"/>
    </xf>
    <xf numFmtId="0" fontId="8" fillId="81" borderId="423" applyNumberFormat="0" applyFont="0" applyAlignment="0" applyProtection="0"/>
    <xf numFmtId="0" fontId="229" fillId="83" borderId="525" applyAlignment="0">
      <alignment horizontal="center"/>
    </xf>
    <xf numFmtId="0" fontId="213" fillId="65" borderId="458" applyNumberFormat="0" applyAlignment="0" applyProtection="0"/>
    <xf numFmtId="0" fontId="203" fillId="81" borderId="387" applyNumberFormat="0" applyFont="0" applyAlignment="0" applyProtection="0"/>
    <xf numFmtId="0" fontId="213" fillId="65" borderId="368" applyNumberFormat="0" applyAlignment="0" applyProtection="0"/>
    <xf numFmtId="0" fontId="213" fillId="65" borderId="548" applyNumberFormat="0" applyAlignment="0" applyProtection="0"/>
    <xf numFmtId="0" fontId="174" fillId="0" borderId="301" applyNumberFormat="0" applyFill="0" applyAlignment="0" applyProtection="0"/>
    <xf numFmtId="0" fontId="203" fillId="81" borderId="432" applyNumberFormat="0" applyFont="0" applyAlignment="0" applyProtection="0"/>
    <xf numFmtId="0" fontId="249" fillId="59" borderId="548" applyNumberFormat="0" applyAlignment="0" applyProtection="0"/>
    <xf numFmtId="0" fontId="213" fillId="65" borderId="476" applyNumberFormat="0" applyAlignment="0" applyProtection="0"/>
    <xf numFmtId="0" fontId="229" fillId="83" borderId="480" applyAlignment="0">
      <alignment horizontal="center"/>
    </xf>
    <xf numFmtId="0" fontId="213" fillId="80" borderId="503" applyNumberFormat="0" applyAlignment="0" applyProtection="0"/>
    <xf numFmtId="0" fontId="229" fillId="83" borderId="373" applyAlignment="0">
      <alignment horizontal="center"/>
    </xf>
    <xf numFmtId="0" fontId="203" fillId="81" borderId="504" applyNumberFormat="0" applyFont="0" applyAlignment="0" applyProtection="0"/>
    <xf numFmtId="44" fontId="203" fillId="0" borderId="0" applyFont="0" applyFill="0" applyBorder="0" applyAlignment="0" applyProtection="0"/>
    <xf numFmtId="0" fontId="203" fillId="81" borderId="504" applyNumberFormat="0" applyFont="0" applyAlignment="0" applyProtection="0"/>
    <xf numFmtId="0" fontId="203" fillId="81" borderId="558" applyNumberFormat="0" applyFont="0" applyAlignment="0" applyProtection="0"/>
    <xf numFmtId="200" fontId="225" fillId="0" borderId="520" applyFill="0" applyProtection="0"/>
    <xf numFmtId="0" fontId="229" fillId="83" borderId="318" applyAlignment="0">
      <alignment horizontal="center"/>
    </xf>
    <xf numFmtId="0" fontId="203" fillId="81" borderId="324" applyNumberFormat="0" applyFont="0" applyAlignment="0" applyProtection="0"/>
    <xf numFmtId="182" fontId="225" fillId="0" borderId="385" applyFill="0" applyProtection="0"/>
    <xf numFmtId="0" fontId="213" fillId="65" borderId="512" applyNumberFormat="0" applyAlignment="0" applyProtection="0"/>
    <xf numFmtId="0" fontId="216" fillId="78" borderId="280" applyNumberFormat="0" applyAlignment="0" applyProtection="0"/>
    <xf numFmtId="0" fontId="249" fillId="59" borderId="593" applyNumberFormat="0" applyAlignment="0" applyProtection="0"/>
    <xf numFmtId="0" fontId="213" fillId="65" borderId="548" applyNumberFormat="0" applyAlignment="0" applyProtection="0"/>
    <xf numFmtId="0" fontId="213" fillId="65" borderId="368"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593" applyNumberFormat="0" applyAlignment="0" applyProtection="0"/>
    <xf numFmtId="200" fontId="225" fillId="0" borderId="277" applyFill="0" applyProtection="0"/>
    <xf numFmtId="0" fontId="203" fillId="81" borderId="369" applyNumberFormat="0" applyFont="0" applyAlignment="0" applyProtection="0"/>
    <xf numFmtId="0" fontId="213" fillId="65" borderId="548" applyNumberFormat="0" applyAlignment="0" applyProtection="0"/>
    <xf numFmtId="0" fontId="203" fillId="81" borderId="324" applyNumberFormat="0" applyFont="0" applyAlignment="0" applyProtection="0"/>
    <xf numFmtId="0" fontId="244" fillId="0" borderId="502" applyNumberFormat="0" applyFont="0" applyFill="0" applyAlignment="0" applyProtection="0"/>
    <xf numFmtId="0" fontId="213" fillId="65" borderId="476" applyNumberFormat="0" applyAlignment="0" applyProtection="0"/>
    <xf numFmtId="0" fontId="203" fillId="81" borderId="459" applyNumberFormat="0" applyFont="0" applyAlignment="0" applyProtection="0"/>
    <xf numFmtId="0" fontId="213" fillId="65" borderId="557" applyNumberFormat="0" applyAlignment="0" applyProtection="0"/>
    <xf numFmtId="0" fontId="203" fillId="81" borderId="288"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323" applyNumberFormat="0" applyAlignment="0" applyProtection="0"/>
    <xf numFmtId="182" fontId="225" fillId="0" borderId="367" applyFill="0" applyProtection="0"/>
    <xf numFmtId="0" fontId="203" fillId="81" borderId="549" applyNumberFormat="0" applyFont="0" applyAlignment="0" applyProtection="0"/>
    <xf numFmtId="0" fontId="203" fillId="81" borderId="549" applyNumberFormat="0" applyFont="0" applyAlignment="0" applyProtection="0"/>
    <xf numFmtId="0" fontId="203" fillId="81" borderId="459" applyNumberFormat="0" applyFont="0" applyAlignment="0" applyProtection="0"/>
    <xf numFmtId="0" fontId="213" fillId="80" borderId="368" applyNumberFormat="0" applyAlignment="0" applyProtection="0"/>
    <xf numFmtId="0" fontId="244" fillId="0" borderId="367" applyNumberFormat="0" applyFont="0" applyFill="0" applyAlignment="0" applyProtection="0"/>
    <xf numFmtId="0" fontId="238" fillId="59" borderId="242" applyNumberFormat="0" applyAlignment="0" applyProtection="0"/>
    <xf numFmtId="0" fontId="203" fillId="81" borderId="414" applyNumberFormat="0" applyFont="0" applyAlignment="0" applyProtection="0"/>
    <xf numFmtId="0" fontId="203" fillId="81" borderId="414" applyNumberFormat="0" applyFont="0" applyAlignment="0" applyProtection="0"/>
    <xf numFmtId="0" fontId="213" fillId="65" borderId="503" applyNumberFormat="0" applyAlignment="0" applyProtection="0"/>
    <xf numFmtId="0" fontId="213" fillId="65" borderId="323" applyNumberFormat="0" applyAlignment="0" applyProtection="0"/>
    <xf numFmtId="0" fontId="203" fillId="81" borderId="369" applyNumberFormat="0" applyFont="0" applyAlignment="0" applyProtection="0"/>
    <xf numFmtId="0" fontId="213" fillId="65" borderId="566" applyNumberFormat="0" applyAlignment="0" applyProtection="0"/>
    <xf numFmtId="0" fontId="203" fillId="81" borderId="432" applyNumberFormat="0" applyFont="0" applyAlignment="0" applyProtection="0"/>
    <xf numFmtId="44" fontId="203" fillId="0" borderId="0" applyFont="0" applyFill="0" applyBorder="0" applyAlignment="0" applyProtection="0"/>
    <xf numFmtId="0" fontId="203" fillId="81" borderId="387" applyNumberFormat="0" applyFont="0" applyAlignment="0" applyProtection="0"/>
    <xf numFmtId="0" fontId="213" fillId="65" borderId="278" applyNumberFormat="0" applyAlignment="0" applyProtection="0"/>
    <xf numFmtId="0" fontId="229" fillId="83" borderId="328" applyAlignment="0">
      <alignment horizontal="center"/>
    </xf>
    <xf numFmtId="0" fontId="213" fillId="65" borderId="503" applyNumberFormat="0" applyAlignment="0" applyProtection="0"/>
    <xf numFmtId="0" fontId="203" fillId="81" borderId="369" applyNumberFormat="0" applyFont="0" applyAlignment="0" applyProtection="0"/>
    <xf numFmtId="0" fontId="174" fillId="0" borderId="364" applyNumberFormat="0" applyFill="0" applyAlignment="0" applyProtection="0"/>
    <xf numFmtId="0" fontId="176" fillId="81" borderId="324" applyNumberFormat="0" applyFont="0" applyAlignment="0" applyProtection="0"/>
    <xf numFmtId="0" fontId="229" fillId="83" borderId="328" applyAlignment="0">
      <alignment horizontal="center"/>
    </xf>
    <xf numFmtId="0" fontId="213" fillId="65" borderId="548" applyNumberFormat="0" applyAlignment="0" applyProtection="0"/>
    <xf numFmtId="182" fontId="225" fillId="0" borderId="457" applyFill="0" applyProtection="0"/>
    <xf numFmtId="0" fontId="216" fillId="59" borderId="568" applyNumberFormat="0" applyAlignment="0" applyProtection="0"/>
    <xf numFmtId="0" fontId="213" fillId="80" borderId="287" applyNumberFormat="0" applyAlignment="0" applyProtection="0"/>
    <xf numFmtId="0" fontId="213" fillId="65" borderId="422" applyNumberFormat="0" applyAlignment="0" applyProtection="0"/>
    <xf numFmtId="0" fontId="153" fillId="0" borderId="456">
      <alignment horizontal="left" vertical="center"/>
    </xf>
    <xf numFmtId="0" fontId="8" fillId="81" borderId="558" applyNumberFormat="0" applyFont="0" applyAlignment="0" applyProtection="0"/>
    <xf numFmtId="0" fontId="229" fillId="83" borderId="588" applyAlignment="0">
      <alignment horizontal="center"/>
    </xf>
    <xf numFmtId="0" fontId="213" fillId="80" borderId="341" applyNumberFormat="0" applyAlignment="0" applyProtection="0"/>
    <xf numFmtId="0" fontId="203" fillId="81" borderId="279" applyNumberFormat="0" applyFont="0" applyAlignment="0" applyProtection="0"/>
    <xf numFmtId="0" fontId="213" fillId="65" borderId="458" applyNumberFormat="0" applyAlignment="0" applyProtection="0"/>
    <xf numFmtId="0" fontId="213" fillId="65" borderId="521" applyNumberFormat="0" applyAlignment="0" applyProtection="0"/>
    <xf numFmtId="182" fontId="225" fillId="0" borderId="367" applyFill="0" applyProtection="0"/>
    <xf numFmtId="0" fontId="213" fillId="65" borderId="278" applyNumberFormat="0" applyAlignment="0" applyProtection="0"/>
    <xf numFmtId="0" fontId="213" fillId="65" borderId="323" applyNumberFormat="0" applyAlignment="0" applyProtection="0"/>
    <xf numFmtId="0" fontId="238" fillId="59" borderId="224" applyNumberFormat="0" applyAlignment="0" applyProtection="0"/>
    <xf numFmtId="0" fontId="213" fillId="65" borderId="368" applyNumberFormat="0" applyAlignment="0" applyProtection="0"/>
    <xf numFmtId="200" fontId="225" fillId="0" borderId="412" applyFill="0" applyProtection="0"/>
    <xf numFmtId="0" fontId="203" fillId="81" borderId="594" applyNumberFormat="0" applyFont="0" applyAlignment="0" applyProtection="0"/>
    <xf numFmtId="0" fontId="213" fillId="80" borderId="368" applyNumberFormat="0" applyAlignment="0" applyProtection="0"/>
    <xf numFmtId="0" fontId="254" fillId="80" borderId="377" applyNumberFormat="0" applyAlignment="0" applyProtection="0"/>
    <xf numFmtId="0" fontId="213" fillId="80" borderId="503" applyNumberFormat="0" applyAlignment="0" applyProtection="0"/>
    <xf numFmtId="0" fontId="229" fillId="83" borderId="328" applyAlignment="0">
      <alignment horizontal="center"/>
    </xf>
    <xf numFmtId="0" fontId="213" fillId="80" borderId="368" applyNumberFormat="0" applyAlignment="0" applyProtection="0"/>
    <xf numFmtId="0" fontId="176" fillId="81" borderId="378" applyNumberFormat="0" applyFont="0" applyAlignment="0" applyProtection="0"/>
    <xf numFmtId="0" fontId="213" fillId="65" borderId="566" applyNumberFormat="0" applyAlignment="0" applyProtection="0"/>
    <xf numFmtId="0" fontId="153" fillId="0" borderId="465">
      <alignment horizontal="left" vertical="center"/>
    </xf>
    <xf numFmtId="0" fontId="216" fillId="78" borderId="424" applyNumberFormat="0" applyAlignment="0" applyProtection="0"/>
    <xf numFmtId="43" fontId="203" fillId="0" borderId="0" applyFont="0" applyFill="0" applyBorder="0" applyAlignment="0" applyProtection="0"/>
    <xf numFmtId="0" fontId="213" fillId="65" borderId="332" applyNumberFormat="0" applyAlignment="0" applyProtection="0"/>
    <xf numFmtId="0" fontId="8" fillId="81" borderId="333" applyNumberFormat="0" applyFont="0" applyAlignment="0" applyProtection="0"/>
    <xf numFmtId="0" fontId="213" fillId="65" borderId="593" applyNumberFormat="0" applyAlignment="0" applyProtection="0"/>
    <xf numFmtId="0" fontId="174" fillId="0" borderId="327" applyNumberFormat="0" applyFill="0" applyAlignment="0" applyProtection="0"/>
    <xf numFmtId="0" fontId="174" fillId="0" borderId="597" applyNumberFormat="0" applyFill="0" applyAlignment="0" applyProtection="0"/>
    <xf numFmtId="0" fontId="174" fillId="0" borderId="587" applyNumberFormat="0" applyFill="0" applyAlignment="0" applyProtection="0"/>
    <xf numFmtId="0" fontId="213" fillId="65" borderId="377" applyNumberFormat="0" applyAlignment="0" applyProtection="0"/>
    <xf numFmtId="0" fontId="213" fillId="65" borderId="512" applyNumberFormat="0" applyAlignment="0" applyProtection="0"/>
    <xf numFmtId="0" fontId="153" fillId="0" borderId="519">
      <alignment horizontal="left" vertical="center"/>
    </xf>
    <xf numFmtId="0" fontId="213" fillId="65" borderId="593" applyNumberFormat="0" applyAlignment="0" applyProtection="0"/>
    <xf numFmtId="0" fontId="229" fillId="83" borderId="435" applyAlignment="0">
      <alignment horizontal="center"/>
    </xf>
    <xf numFmtId="0" fontId="213" fillId="65" borderId="521" applyNumberFormat="0" applyAlignment="0" applyProtection="0"/>
    <xf numFmtId="0" fontId="213" fillId="65" borderId="602" applyNumberFormat="0" applyAlignment="0" applyProtection="0"/>
    <xf numFmtId="0" fontId="203" fillId="81" borderId="369" applyNumberFormat="0" applyFont="0" applyAlignment="0" applyProtection="0"/>
    <xf numFmtId="0" fontId="203" fillId="81" borderId="324" applyNumberFormat="0" applyFont="0" applyAlignment="0" applyProtection="0"/>
    <xf numFmtId="0" fontId="203" fillId="81" borderId="414" applyNumberFormat="0" applyFont="0" applyAlignment="0" applyProtection="0"/>
    <xf numFmtId="0" fontId="213" fillId="65" borderId="323" applyNumberFormat="0" applyAlignment="0" applyProtection="0"/>
    <xf numFmtId="0" fontId="203" fillId="81" borderId="324" applyNumberFormat="0" applyFont="0" applyAlignment="0" applyProtection="0"/>
    <xf numFmtId="0" fontId="203" fillId="81" borderId="387" applyNumberFormat="0" applyFont="0" applyAlignment="0" applyProtection="0"/>
    <xf numFmtId="182" fontId="225" fillId="0" borderId="475" applyFill="0" applyProtection="0"/>
    <xf numFmtId="0" fontId="213" fillId="65" borderId="377" applyNumberFormat="0" applyAlignment="0" applyProtection="0"/>
    <xf numFmtId="0" fontId="153" fillId="0" borderId="366">
      <alignment horizontal="left" vertical="center"/>
    </xf>
    <xf numFmtId="0" fontId="213" fillId="65" borderId="413" applyNumberFormat="0" applyAlignment="0" applyProtection="0"/>
    <xf numFmtId="0" fontId="213" fillId="80" borderId="287" applyNumberFormat="0" applyAlignment="0" applyProtection="0"/>
    <xf numFmtId="0" fontId="203" fillId="81" borderId="504" applyNumberFormat="0" applyFont="0" applyAlignment="0" applyProtection="0"/>
    <xf numFmtId="0" fontId="213" fillId="65" borderId="368" applyNumberFormat="0" applyAlignment="0" applyProtection="0"/>
    <xf numFmtId="0" fontId="213" fillId="65" borderId="413" applyNumberFormat="0" applyAlignment="0" applyProtection="0"/>
    <xf numFmtId="0" fontId="213" fillId="65" borderId="287" applyNumberFormat="0" applyAlignment="0" applyProtection="0"/>
    <xf numFmtId="0" fontId="153" fillId="0" borderId="600">
      <alignment horizontal="left" vertical="center"/>
    </xf>
    <xf numFmtId="0" fontId="203" fillId="81" borderId="432" applyNumberFormat="0" applyFont="0" applyAlignment="0" applyProtection="0"/>
    <xf numFmtId="0" fontId="174" fillId="0" borderId="515" applyNumberFormat="0" applyFill="0" applyAlignment="0" applyProtection="0"/>
    <xf numFmtId="0" fontId="213" fillId="65" borderId="377" applyNumberFormat="0" applyAlignment="0" applyProtection="0"/>
    <xf numFmtId="0" fontId="213" fillId="65" borderId="503" applyNumberFormat="0" applyAlignment="0" applyProtection="0"/>
    <xf numFmtId="0" fontId="203" fillId="81" borderId="504" applyNumberFormat="0" applyFont="0" applyAlignment="0" applyProtection="0"/>
    <xf numFmtId="0" fontId="254" fillId="80" borderId="548" applyNumberFormat="0" applyAlignment="0" applyProtection="0"/>
    <xf numFmtId="182" fontId="225" fillId="0" borderId="610" applyFill="0" applyProtection="0"/>
    <xf numFmtId="0" fontId="174" fillId="0" borderId="479" applyNumberFormat="0" applyFill="0" applyAlignment="0" applyProtection="0"/>
    <xf numFmtId="200" fontId="225" fillId="0" borderId="367" applyFill="0" applyProtection="0"/>
    <xf numFmtId="0" fontId="8" fillId="81" borderId="603" applyNumberFormat="0" applyFont="0" applyAlignment="0" applyProtection="0"/>
    <xf numFmtId="182" fontId="225" fillId="0" borderId="376" applyFill="0" applyProtection="0"/>
    <xf numFmtId="0" fontId="203" fillId="81" borderId="612" applyNumberFormat="0" applyFont="0" applyAlignment="0" applyProtection="0"/>
    <xf numFmtId="0" fontId="153" fillId="0" borderId="429">
      <alignment horizontal="left" vertical="center"/>
    </xf>
    <xf numFmtId="0" fontId="203" fillId="81" borderId="549" applyNumberFormat="0" applyFont="0" applyAlignment="0" applyProtection="0"/>
    <xf numFmtId="0" fontId="8" fillId="81" borderId="513" applyNumberFormat="0" applyFont="0" applyAlignment="0" applyProtection="0"/>
    <xf numFmtId="0" fontId="203" fillId="81" borderId="477" applyNumberFormat="0" applyFont="0" applyAlignment="0" applyProtection="0"/>
    <xf numFmtId="0" fontId="203" fillId="81" borderId="369" applyNumberFormat="0" applyFont="0" applyAlignment="0" applyProtection="0"/>
    <xf numFmtId="0" fontId="203" fillId="81" borderId="468" applyNumberFormat="0" applyFont="0" applyAlignment="0" applyProtection="0"/>
    <xf numFmtId="0" fontId="213" fillId="65" borderId="458" applyNumberFormat="0" applyAlignment="0" applyProtection="0"/>
    <xf numFmtId="0" fontId="203" fillId="81" borderId="405" applyNumberFormat="0" applyFont="0" applyAlignment="0" applyProtection="0"/>
    <xf numFmtId="0" fontId="153" fillId="0" borderId="366">
      <alignment horizontal="left" vertical="center"/>
    </xf>
    <xf numFmtId="0" fontId="213" fillId="65" borderId="548" applyNumberFormat="0" applyAlignment="0" applyProtection="0"/>
    <xf numFmtId="0" fontId="238" fillId="59" borderId="458" applyNumberFormat="0" applyAlignment="0" applyProtection="0"/>
    <xf numFmtId="0" fontId="213" fillId="65" borderId="431" applyNumberFormat="0" applyAlignment="0" applyProtection="0"/>
    <xf numFmtId="0" fontId="203" fillId="81" borderId="414" applyNumberFormat="0" applyFont="0" applyAlignment="0" applyProtection="0"/>
    <xf numFmtId="0" fontId="213" fillId="65" borderId="368" applyNumberFormat="0" applyAlignment="0" applyProtection="0"/>
    <xf numFmtId="0" fontId="174" fillId="0" borderId="616" applyNumberFormat="0" applyFill="0" applyAlignment="0" applyProtection="0"/>
    <xf numFmtId="0" fontId="203" fillId="81" borderId="324" applyNumberFormat="0" applyFont="0" applyAlignment="0" applyProtection="0"/>
    <xf numFmtId="182" fontId="225" fillId="0" borderId="466" applyFill="0" applyProtection="0"/>
    <xf numFmtId="0" fontId="213" fillId="65" borderId="548" applyNumberFormat="0" applyAlignment="0" applyProtection="0"/>
    <xf numFmtId="0" fontId="213" fillId="65" borderId="512" applyNumberFormat="0" applyAlignment="0" applyProtection="0"/>
    <xf numFmtId="0" fontId="213" fillId="65" borderId="557" applyNumberFormat="0" applyAlignment="0" applyProtection="0"/>
    <xf numFmtId="0" fontId="213" fillId="65" borderId="332" applyNumberFormat="0" applyAlignment="0" applyProtection="0"/>
    <xf numFmtId="0" fontId="213" fillId="65" borderId="323" applyNumberFormat="0" applyAlignment="0" applyProtection="0"/>
    <xf numFmtId="0" fontId="244" fillId="0" borderId="331" applyNumberFormat="0" applyFont="0" applyFill="0" applyAlignment="0" applyProtection="0"/>
    <xf numFmtId="0" fontId="176" fillId="81" borderId="369" applyNumberFormat="0" applyFont="0" applyAlignment="0" applyProtection="0"/>
    <xf numFmtId="0" fontId="213" fillId="65" borderId="413" applyNumberFormat="0" applyAlignment="0" applyProtection="0"/>
    <xf numFmtId="0" fontId="238" fillId="59" borderId="521" applyNumberFormat="0" applyAlignment="0" applyProtection="0"/>
    <xf numFmtId="0" fontId="203" fillId="0" borderId="0"/>
    <xf numFmtId="0" fontId="229" fillId="83" borderId="463" applyAlignment="0">
      <alignment horizontal="center"/>
    </xf>
    <xf numFmtId="200" fontId="225" fillId="0" borderId="511" applyFill="0" applyProtection="0"/>
    <xf numFmtId="0" fontId="229" fillId="83" borderId="435" applyAlignment="0">
      <alignment horizontal="center"/>
    </xf>
    <xf numFmtId="0" fontId="8" fillId="81" borderId="288" applyNumberFormat="0" applyFont="0" applyAlignment="0" applyProtection="0"/>
    <xf numFmtId="0" fontId="203" fillId="81" borderId="279" applyNumberFormat="0" applyFont="0" applyAlignment="0" applyProtection="0"/>
    <xf numFmtId="0" fontId="203" fillId="81" borderId="279" applyNumberFormat="0" applyFont="0" applyAlignment="0" applyProtection="0"/>
    <xf numFmtId="0" fontId="203" fillId="81" borderId="288" applyNumberFormat="0" applyFont="0" applyAlignment="0" applyProtection="0"/>
    <xf numFmtId="0" fontId="203" fillId="81" borderId="288" applyNumberFormat="0" applyFont="0" applyAlignment="0" applyProtection="0"/>
    <xf numFmtId="0" fontId="244" fillId="0" borderId="286" applyNumberFormat="0" applyFont="0" applyFill="0" applyAlignment="0" applyProtection="0"/>
    <xf numFmtId="0" fontId="216" fillId="78" borderId="289" applyNumberFormat="0" applyAlignment="0" applyProtection="0"/>
    <xf numFmtId="0" fontId="203" fillId="81" borderId="288"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87" applyNumberFormat="0" applyAlignment="0" applyProtection="0"/>
    <xf numFmtId="0" fontId="203" fillId="81" borderId="288" applyNumberFormat="0" applyFont="0" applyAlignment="0" applyProtection="0"/>
    <xf numFmtId="0" fontId="229" fillId="83" borderId="291" applyAlignment="0">
      <alignment horizontal="center"/>
    </xf>
    <xf numFmtId="182" fontId="225" fillId="0" borderId="286" applyFill="0" applyProtection="0"/>
    <xf numFmtId="0" fontId="203" fillId="81" borderId="288" applyNumberFormat="0" applyFont="0" applyAlignment="0" applyProtection="0"/>
    <xf numFmtId="0" fontId="213" fillId="65" borderId="287" applyNumberFormat="0" applyAlignment="0" applyProtection="0"/>
    <xf numFmtId="0" fontId="176" fillId="81" borderId="414" applyNumberFormat="0" applyFont="0" applyAlignment="0" applyProtection="0"/>
    <xf numFmtId="200" fontId="225" fillId="0" borderId="322" applyFill="0" applyProtection="0"/>
    <xf numFmtId="0" fontId="213" fillId="65" borderId="557" applyNumberFormat="0" applyAlignment="0" applyProtection="0"/>
    <xf numFmtId="0" fontId="174" fillId="0" borderId="391" applyNumberFormat="0" applyFill="0" applyAlignment="0" applyProtection="0"/>
    <xf numFmtId="0" fontId="213" fillId="65" borderId="368" applyNumberFormat="0" applyAlignment="0" applyProtection="0"/>
    <xf numFmtId="0" fontId="213" fillId="65" borderId="548" applyNumberFormat="0" applyAlignment="0" applyProtection="0"/>
    <xf numFmtId="0" fontId="213" fillId="65" borderId="593" applyNumberFormat="0" applyAlignment="0" applyProtection="0"/>
    <xf numFmtId="200" fontId="225" fillId="0" borderId="412" applyFill="0" applyProtection="0"/>
    <xf numFmtId="0" fontId="213" fillId="65" borderId="467" applyNumberFormat="0" applyAlignment="0" applyProtection="0"/>
    <xf numFmtId="200" fontId="225" fillId="0" borderId="592" applyFill="0" applyProtection="0"/>
    <xf numFmtId="0" fontId="257" fillId="59" borderId="550" applyNumberFormat="0" applyAlignment="0" applyProtection="0"/>
    <xf numFmtId="0" fontId="213" fillId="65" borderId="503" applyNumberFormat="0" applyAlignment="0" applyProtection="0"/>
    <xf numFmtId="200" fontId="225" fillId="0" borderId="430" applyFill="0" applyProtection="0"/>
    <xf numFmtId="0" fontId="213" fillId="65" borderId="377" applyNumberFormat="0" applyAlignment="0" applyProtection="0"/>
    <xf numFmtId="0" fontId="203" fillId="81" borderId="432" applyNumberFormat="0" applyFont="0" applyAlignment="0" applyProtection="0"/>
    <xf numFmtId="0" fontId="213" fillId="65" borderId="413" applyNumberFormat="0" applyAlignment="0" applyProtection="0"/>
    <xf numFmtId="0" fontId="203" fillId="81" borderId="423" applyNumberFormat="0" applyFont="0" applyAlignment="0" applyProtection="0"/>
    <xf numFmtId="0" fontId="206" fillId="78" borderId="368" applyNumberFormat="0" applyAlignment="0" applyProtection="0"/>
    <xf numFmtId="0" fontId="213" fillId="65" borderId="368" applyNumberFormat="0" applyAlignment="0" applyProtection="0"/>
    <xf numFmtId="0" fontId="174" fillId="0" borderId="326" applyNumberFormat="0" applyFill="0" applyAlignment="0" applyProtection="0"/>
    <xf numFmtId="0" fontId="213" fillId="65" borderId="602" applyNumberFormat="0" applyAlignment="0" applyProtection="0"/>
    <xf numFmtId="0" fontId="213" fillId="80" borderId="332" applyNumberFormat="0" applyAlignment="0" applyProtection="0"/>
    <xf numFmtId="0" fontId="213" fillId="65" borderId="323" applyNumberFormat="0" applyAlignment="0" applyProtection="0"/>
    <xf numFmtId="0" fontId="254" fillId="80" borderId="413" applyNumberFormat="0" applyAlignment="0" applyProtection="0"/>
    <xf numFmtId="0" fontId="216" fillId="59" borderId="505" applyNumberFormat="0" applyAlignment="0" applyProtection="0"/>
    <xf numFmtId="0" fontId="213" fillId="65" borderId="602" applyNumberFormat="0" applyAlignment="0" applyProtection="0"/>
    <xf numFmtId="0" fontId="213" fillId="65" borderId="521" applyNumberFormat="0" applyAlignment="0" applyProtection="0"/>
    <xf numFmtId="0" fontId="203" fillId="81" borderId="360" applyNumberFormat="0" applyFont="0" applyAlignment="0" applyProtection="0"/>
    <xf numFmtId="0" fontId="213" fillId="65" borderId="377" applyNumberFormat="0" applyAlignment="0" applyProtection="0"/>
    <xf numFmtId="0" fontId="203" fillId="81" borderId="477" applyNumberFormat="0" applyFont="0" applyAlignment="0" applyProtection="0"/>
    <xf numFmtId="0" fontId="203" fillId="81" borderId="387" applyNumberFormat="0" applyFont="0" applyAlignment="0" applyProtection="0"/>
    <xf numFmtId="0" fontId="203" fillId="81" borderId="504" applyNumberFormat="0" applyFont="0" applyAlignment="0" applyProtection="0"/>
    <xf numFmtId="0" fontId="229" fillId="83" borderId="463" applyAlignment="0">
      <alignment horizontal="center"/>
    </xf>
    <xf numFmtId="0" fontId="213" fillId="80" borderId="458" applyNumberFormat="0" applyAlignment="0" applyProtection="0"/>
    <xf numFmtId="0" fontId="174" fillId="0" borderId="416" applyNumberFormat="0" applyFill="0" applyAlignment="0" applyProtection="0"/>
    <xf numFmtId="0" fontId="8" fillId="81" borderId="414" applyNumberFormat="0" applyFont="0" applyAlignment="0" applyProtection="0"/>
    <xf numFmtId="0" fontId="216" fillId="78" borderId="379" applyNumberFormat="0" applyAlignment="0" applyProtection="0"/>
    <xf numFmtId="0" fontId="213" fillId="65" borderId="323" applyNumberFormat="0" applyAlignment="0" applyProtection="0"/>
    <xf numFmtId="0" fontId="203" fillId="81" borderId="594" applyNumberFormat="0" applyFont="0" applyAlignment="0" applyProtection="0"/>
    <xf numFmtId="0" fontId="213" fillId="65" borderId="368" applyNumberFormat="0" applyAlignment="0" applyProtection="0"/>
    <xf numFmtId="0" fontId="213" fillId="65" borderId="458" applyNumberFormat="0" applyAlignment="0" applyProtection="0"/>
    <xf numFmtId="43" fontId="203" fillId="0" borderId="0" applyFont="0" applyFill="0" applyBorder="0" applyAlignment="0" applyProtection="0"/>
    <xf numFmtId="0" fontId="176" fillId="81" borderId="558" applyNumberFormat="0" applyFont="0" applyAlignment="0" applyProtection="0"/>
    <xf numFmtId="182" fontId="225" fillId="0" borderId="466" applyFill="0" applyProtection="0"/>
    <xf numFmtId="0" fontId="203" fillId="81" borderId="567" applyNumberFormat="0" applyFont="0" applyAlignment="0" applyProtection="0"/>
    <xf numFmtId="0" fontId="213" fillId="65" borderId="368" applyNumberFormat="0" applyAlignment="0" applyProtection="0"/>
    <xf numFmtId="0" fontId="213" fillId="65" borderId="548" applyNumberFormat="0" applyAlignment="0" applyProtection="0"/>
    <xf numFmtId="0" fontId="257" fillId="59" borderId="568" applyNumberFormat="0" applyAlignment="0" applyProtection="0"/>
    <xf numFmtId="0" fontId="213" fillId="80" borderId="278" applyNumberFormat="0" applyAlignment="0" applyProtection="0"/>
    <xf numFmtId="0" fontId="203" fillId="81" borderId="414" applyNumberFormat="0" applyFont="0" applyAlignment="0" applyProtection="0"/>
    <xf numFmtId="0" fontId="213" fillId="65" borderId="323" applyNumberFormat="0" applyAlignment="0" applyProtection="0"/>
    <xf numFmtId="0" fontId="213" fillId="65" borderId="458" applyNumberFormat="0" applyAlignment="0" applyProtection="0"/>
    <xf numFmtId="0" fontId="203" fillId="81" borderId="522" applyNumberFormat="0" applyFont="0" applyAlignment="0" applyProtection="0"/>
    <xf numFmtId="0" fontId="254" fillId="80" borderId="503" applyNumberFormat="0" applyAlignment="0" applyProtection="0"/>
    <xf numFmtId="0" fontId="213" fillId="65" borderId="341" applyNumberFormat="0" applyAlignment="0" applyProtection="0"/>
    <xf numFmtId="182" fontId="225" fillId="0" borderId="385" applyFill="0" applyProtection="0"/>
    <xf numFmtId="200" fontId="225" fillId="0" borderId="502" applyFill="0" applyProtection="0"/>
    <xf numFmtId="0" fontId="213" fillId="65" borderId="278" applyNumberFormat="0" applyAlignment="0" applyProtection="0"/>
    <xf numFmtId="0" fontId="8" fillId="81" borderId="279" applyNumberFormat="0" applyFont="0" applyAlignment="0" applyProtection="0"/>
    <xf numFmtId="0" fontId="213" fillId="65" borderId="521" applyNumberFormat="0" applyAlignment="0" applyProtection="0"/>
    <xf numFmtId="0" fontId="213" fillId="65" borderId="467" applyNumberFormat="0" applyAlignment="0" applyProtection="0"/>
    <xf numFmtId="200" fontId="225" fillId="0" borderId="520" applyFill="0" applyProtection="0"/>
    <xf numFmtId="0" fontId="174" fillId="0" borderId="481" applyNumberFormat="0" applyFill="0" applyAlignment="0" applyProtection="0"/>
    <xf numFmtId="200" fontId="225" fillId="0" borderId="520" applyFill="0" applyProtection="0"/>
    <xf numFmtId="0" fontId="203" fillId="81" borderId="504" applyNumberFormat="0" applyFont="0" applyAlignment="0" applyProtection="0"/>
    <xf numFmtId="0" fontId="229" fillId="83" borderId="508" applyAlignment="0">
      <alignment horizontal="center"/>
    </xf>
    <xf numFmtId="0" fontId="213" fillId="65" borderId="368" applyNumberFormat="0" applyAlignment="0" applyProtection="0"/>
    <xf numFmtId="0" fontId="203" fillId="81" borderId="567" applyNumberFormat="0" applyFont="0" applyAlignment="0" applyProtection="0"/>
    <xf numFmtId="0" fontId="206" fillId="78" borderId="458" applyNumberFormat="0" applyAlignment="0" applyProtection="0"/>
    <xf numFmtId="0" fontId="213" fillId="65" borderId="422" applyNumberFormat="0" applyAlignment="0" applyProtection="0"/>
    <xf numFmtId="0" fontId="229" fillId="83" borderId="418" applyAlignment="0">
      <alignment horizontal="center"/>
    </xf>
    <xf numFmtId="0" fontId="174" fillId="0" borderId="326" applyNumberFormat="0" applyFill="0" applyAlignment="0" applyProtection="0"/>
    <xf numFmtId="0" fontId="176" fillId="81" borderId="324" applyNumberFormat="0" applyFont="0" applyAlignment="0" applyProtection="0"/>
    <xf numFmtId="0" fontId="229" fillId="83" borderId="525" applyAlignment="0">
      <alignment horizontal="center"/>
    </xf>
    <xf numFmtId="0" fontId="213" fillId="65" borderId="602" applyNumberFormat="0" applyAlignment="0" applyProtection="0"/>
    <xf numFmtId="0" fontId="206" fillId="78" borderId="332" applyNumberFormat="0" applyAlignment="0" applyProtection="0"/>
    <xf numFmtId="0" fontId="203" fillId="81" borderId="324" applyNumberFormat="0" applyFont="0" applyAlignment="0" applyProtection="0"/>
    <xf numFmtId="0" fontId="249" fillId="59" borderId="458" applyNumberFormat="0" applyAlignment="0" applyProtection="0"/>
    <xf numFmtId="0" fontId="213" fillId="65" borderId="377" applyNumberFormat="0" applyAlignment="0" applyProtection="0"/>
    <xf numFmtId="0" fontId="203" fillId="81" borderId="558" applyNumberFormat="0" applyFont="0" applyAlignment="0" applyProtection="0"/>
    <xf numFmtId="0" fontId="203" fillId="81" borderId="423"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65" borderId="224" applyNumberFormat="0" applyAlignment="0" applyProtection="0"/>
    <xf numFmtId="0" fontId="213" fillId="80" borderId="224" applyNumberFormat="0" applyAlignment="0" applyProtection="0"/>
    <xf numFmtId="0" fontId="213" fillId="80" borderId="611" applyNumberFormat="0" applyAlignment="0" applyProtection="0"/>
    <xf numFmtId="0" fontId="174" fillId="0" borderId="507" applyNumberFormat="0" applyFill="0" applyAlignment="0" applyProtection="0"/>
    <xf numFmtId="0" fontId="176" fillId="81" borderId="423" applyNumberFormat="0" applyFont="0" applyAlignment="0" applyProtection="0"/>
    <xf numFmtId="0" fontId="213" fillId="65" borderId="476" applyNumberFormat="0" applyAlignment="0" applyProtection="0"/>
    <xf numFmtId="0" fontId="213" fillId="65" borderId="557" applyNumberFormat="0" applyAlignment="0" applyProtection="0"/>
    <xf numFmtId="0" fontId="229" fillId="83" borderId="418" applyAlignment="0">
      <alignment horizontal="center"/>
    </xf>
    <xf numFmtId="0" fontId="213" fillId="65" borderId="323" applyNumberFormat="0" applyAlignment="0" applyProtection="0"/>
    <xf numFmtId="0" fontId="213" fillId="65" borderId="377" applyNumberFormat="0" applyAlignment="0" applyProtection="0"/>
    <xf numFmtId="0" fontId="213" fillId="65" borderId="548" applyNumberFormat="0" applyAlignment="0" applyProtection="0"/>
    <xf numFmtId="0" fontId="213" fillId="65" borderId="503" applyNumberFormat="0" applyAlignment="0" applyProtection="0"/>
    <xf numFmtId="0" fontId="213" fillId="65" borderId="602" applyNumberFormat="0" applyAlignment="0" applyProtection="0"/>
    <xf numFmtId="0" fontId="203" fillId="81" borderId="468" applyNumberFormat="0" applyFont="0" applyAlignment="0" applyProtection="0"/>
    <xf numFmtId="182" fontId="225" fillId="0" borderId="520" applyFill="0" applyProtection="0"/>
    <xf numFmtId="0" fontId="153" fillId="0" borderId="591">
      <alignment horizontal="left" vertical="center"/>
    </xf>
    <xf numFmtId="0" fontId="8" fillId="81" borderId="378" applyNumberFormat="0" applyFont="0" applyAlignment="0" applyProtection="0"/>
    <xf numFmtId="0" fontId="229" fillId="83" borderId="516" applyAlignment="0">
      <alignment horizontal="center"/>
    </xf>
    <xf numFmtId="0" fontId="229" fillId="83" borderId="553" applyAlignment="0">
      <alignment horizontal="center"/>
    </xf>
    <xf numFmtId="0" fontId="206" fillId="78" borderId="413" applyNumberFormat="0" applyAlignment="0" applyProtection="0"/>
    <xf numFmtId="0" fontId="203" fillId="81" borderId="504" applyNumberFormat="0" applyFont="0" applyAlignment="0" applyProtection="0"/>
    <xf numFmtId="0" fontId="229" fillId="83" borderId="508" applyAlignment="0">
      <alignment horizontal="center"/>
    </xf>
    <xf numFmtId="0" fontId="213" fillId="65" borderId="602" applyNumberFormat="0" applyAlignment="0" applyProtection="0"/>
    <xf numFmtId="200" fontId="225" fillId="0" borderId="511" applyFill="0" applyProtection="0"/>
    <xf numFmtId="0" fontId="203" fillId="81" borderId="369" applyNumberFormat="0" applyFont="0" applyAlignment="0" applyProtection="0"/>
    <xf numFmtId="0" fontId="203" fillId="81" borderId="558" applyNumberFormat="0" applyFont="0" applyAlignment="0" applyProtection="0"/>
    <xf numFmtId="0" fontId="176" fillId="81" borderId="504" applyNumberFormat="0" applyFont="0" applyAlignment="0" applyProtection="0"/>
    <xf numFmtId="0" fontId="213" fillId="65" borderId="548" applyNumberFormat="0" applyAlignment="0" applyProtection="0"/>
    <xf numFmtId="0" fontId="213" fillId="65" borderId="566" applyNumberFormat="0" applyAlignment="0" applyProtection="0"/>
    <xf numFmtId="0" fontId="213" fillId="65" borderId="548" applyNumberFormat="0" applyAlignment="0" applyProtection="0"/>
    <xf numFmtId="0" fontId="238" fillId="59" borderId="593" applyNumberFormat="0" applyAlignment="0" applyProtection="0"/>
    <xf numFmtId="0" fontId="203" fillId="81" borderId="459" applyNumberFormat="0" applyFont="0" applyAlignment="0" applyProtection="0"/>
    <xf numFmtId="0" fontId="257" fillId="59" borderId="424" applyNumberFormat="0" applyAlignment="0" applyProtection="0"/>
    <xf numFmtId="0" fontId="213" fillId="65" borderId="566" applyNumberFormat="0" applyAlignment="0" applyProtection="0"/>
    <xf numFmtId="182" fontId="225" fillId="0" borderId="322" applyFill="0" applyProtection="0"/>
    <xf numFmtId="0" fontId="213" fillId="65" borderId="413" applyNumberFormat="0" applyAlignment="0" applyProtection="0"/>
    <xf numFmtId="0" fontId="176" fillId="81" borderId="495" applyNumberFormat="0" applyFont="0" applyAlignment="0" applyProtection="0"/>
    <xf numFmtId="0" fontId="213" fillId="80" borderId="548" applyNumberFormat="0" applyAlignment="0" applyProtection="0"/>
    <xf numFmtId="0" fontId="213" fillId="65" borderId="458" applyNumberFormat="0" applyAlignment="0" applyProtection="0"/>
    <xf numFmtId="0" fontId="176" fillId="81" borderId="513" applyNumberFormat="0" applyFont="0" applyAlignment="0" applyProtection="0"/>
    <xf numFmtId="0" fontId="213" fillId="65" borderId="548" applyNumberFormat="0" applyAlignment="0" applyProtection="0"/>
    <xf numFmtId="0" fontId="213" fillId="80" borderId="593" applyNumberFormat="0" applyAlignment="0" applyProtection="0"/>
    <xf numFmtId="0" fontId="213" fillId="65" borderId="512" applyNumberFormat="0" applyAlignment="0" applyProtection="0"/>
    <xf numFmtId="0" fontId="203" fillId="81" borderId="558" applyNumberFormat="0" applyFont="0" applyAlignment="0" applyProtection="0"/>
    <xf numFmtId="0" fontId="203" fillId="81" borderId="360" applyNumberFormat="0" applyFont="0" applyAlignment="0" applyProtection="0"/>
    <xf numFmtId="200" fontId="225" fillId="0" borderId="277" applyFill="0" applyProtection="0"/>
    <xf numFmtId="182" fontId="225" fillId="0" borderId="277" applyFill="0" applyProtection="0"/>
    <xf numFmtId="0" fontId="153" fillId="0" borderId="276">
      <alignment horizontal="left" vertical="center"/>
    </xf>
    <xf numFmtId="0" fontId="213" fillId="65" borderId="593" applyNumberFormat="0" applyAlignment="0" applyProtection="0"/>
    <xf numFmtId="0" fontId="213" fillId="65" borderId="377" applyNumberFormat="0" applyAlignment="0" applyProtection="0"/>
    <xf numFmtId="0" fontId="153" fillId="0" borderId="546">
      <alignment horizontal="left" vertical="center"/>
    </xf>
    <xf numFmtId="200" fontId="225" fillId="0" borderId="565" applyFill="0" applyProtection="0"/>
    <xf numFmtId="0" fontId="213" fillId="65" borderId="512" applyNumberFormat="0" applyAlignment="0" applyProtection="0"/>
    <xf numFmtId="0" fontId="213" fillId="65" borderId="503" applyNumberFormat="0" applyAlignment="0" applyProtection="0"/>
    <xf numFmtId="0" fontId="174" fillId="0" borderId="434" applyNumberFormat="0" applyFill="0" applyAlignment="0" applyProtection="0"/>
    <xf numFmtId="0" fontId="213" fillId="65" borderId="611" applyNumberFormat="0" applyAlignment="0" applyProtection="0"/>
    <xf numFmtId="0" fontId="213" fillId="80" borderId="602" applyNumberFormat="0" applyAlignment="0" applyProtection="0"/>
    <xf numFmtId="0" fontId="216" fillId="78" borderId="325" applyNumberFormat="0" applyAlignment="0" applyProtection="0"/>
    <xf numFmtId="0" fontId="213" fillId="65" borderId="503" applyNumberFormat="0" applyAlignment="0" applyProtection="0"/>
    <xf numFmtId="0" fontId="203" fillId="81" borderId="549" applyNumberFormat="0" applyFont="0" applyAlignment="0" applyProtection="0"/>
    <xf numFmtId="0" fontId="229" fillId="83" borderId="615" applyAlignment="0">
      <alignment horizontal="center"/>
    </xf>
    <xf numFmtId="0" fontId="203" fillId="81" borderId="549" applyNumberFormat="0" applyFont="0" applyAlignment="0" applyProtection="0"/>
    <xf numFmtId="0" fontId="213" fillId="65" borderId="593" applyNumberFormat="0" applyAlignment="0" applyProtection="0"/>
    <xf numFmtId="0" fontId="213" fillId="65" borderId="431" applyNumberFormat="0" applyAlignment="0" applyProtection="0"/>
    <xf numFmtId="0" fontId="216" fillId="59" borderId="397" applyNumberFormat="0" applyAlignment="0" applyProtection="0"/>
    <xf numFmtId="0" fontId="213" fillId="80" borderId="593" applyNumberFormat="0" applyAlignment="0" applyProtection="0"/>
    <xf numFmtId="0" fontId="176" fillId="81" borderId="432" applyNumberFormat="0" applyFont="0" applyAlignment="0" applyProtection="0"/>
    <xf numFmtId="0" fontId="203" fillId="81" borderId="567" applyNumberFormat="0" applyFont="0" applyAlignment="0" applyProtection="0"/>
    <xf numFmtId="0" fontId="213" fillId="65" borderId="323" applyNumberFormat="0" applyAlignment="0" applyProtection="0"/>
    <xf numFmtId="0" fontId="213" fillId="65" borderId="458" applyNumberFormat="0" applyAlignment="0" applyProtection="0"/>
    <xf numFmtId="0" fontId="213" fillId="65" borderId="413" applyNumberFormat="0" applyAlignment="0" applyProtection="0"/>
    <xf numFmtId="0" fontId="213" fillId="65" borderId="377" applyNumberFormat="0" applyAlignment="0" applyProtection="0"/>
    <xf numFmtId="0" fontId="213" fillId="65" borderId="368" applyNumberFormat="0" applyAlignment="0" applyProtection="0"/>
    <xf numFmtId="0" fontId="229" fillId="83" borderId="373" applyAlignment="0">
      <alignment horizontal="center"/>
    </xf>
    <xf numFmtId="0" fontId="153" fillId="0" borderId="555">
      <alignment horizontal="left" vertical="center"/>
    </xf>
    <xf numFmtId="0" fontId="203" fillId="81" borderId="405" applyNumberFormat="0" applyFont="0" applyAlignment="0" applyProtection="0"/>
    <xf numFmtId="200" fontId="225" fillId="0" borderId="601" applyFill="0" applyProtection="0"/>
    <xf numFmtId="0" fontId="203" fillId="81" borderId="432" applyNumberFormat="0" applyFont="0" applyAlignment="0" applyProtection="0"/>
    <xf numFmtId="0" fontId="203" fillId="81" borderId="549" applyNumberFormat="0" applyFont="0" applyAlignment="0" applyProtection="0"/>
    <xf numFmtId="0" fontId="203" fillId="81" borderId="324" applyNumberFormat="0" applyFont="0" applyAlignment="0" applyProtection="0"/>
    <xf numFmtId="0" fontId="229" fillId="83" borderId="606" applyAlignment="0">
      <alignment horizontal="center"/>
    </xf>
    <xf numFmtId="0" fontId="213" fillId="65" borderId="458" applyNumberFormat="0" applyAlignment="0" applyProtection="0"/>
    <xf numFmtId="0" fontId="174" fillId="0" borderId="301" applyNumberFormat="0" applyFill="0" applyAlignment="0" applyProtection="0"/>
    <xf numFmtId="0" fontId="213" fillId="65" borderId="368" applyNumberFormat="0" applyAlignment="0" applyProtection="0"/>
    <xf numFmtId="0" fontId="203" fillId="81" borderId="594" applyNumberFormat="0" applyFont="0" applyAlignment="0" applyProtection="0"/>
    <xf numFmtId="0" fontId="213" fillId="65" borderId="377" applyNumberFormat="0" applyAlignment="0" applyProtection="0"/>
    <xf numFmtId="0" fontId="203" fillId="81" borderId="459" applyNumberFormat="0" applyFont="0" applyAlignment="0" applyProtection="0"/>
    <xf numFmtId="0" fontId="153" fillId="0" borderId="366">
      <alignment horizontal="left" vertical="center"/>
    </xf>
    <xf numFmtId="0" fontId="213" fillId="65" borderId="512" applyNumberFormat="0" applyAlignment="0" applyProtection="0"/>
    <xf numFmtId="0" fontId="213" fillId="65" borderId="503" applyNumberFormat="0" applyAlignment="0" applyProtection="0"/>
    <xf numFmtId="0" fontId="174" fillId="0" borderId="371" applyNumberFormat="0" applyFill="0" applyAlignment="0" applyProtection="0"/>
    <xf numFmtId="182" fontId="225" fillId="0" borderId="592" applyFill="0" applyProtection="0"/>
    <xf numFmtId="0" fontId="216" fillId="78" borderId="415" applyNumberFormat="0" applyAlignment="0" applyProtection="0"/>
    <xf numFmtId="0" fontId="203" fillId="81" borderId="513" applyNumberFormat="0" applyFont="0" applyAlignment="0" applyProtection="0"/>
    <xf numFmtId="0" fontId="203" fillId="81" borderId="279" applyNumberFormat="0" applyFont="0" applyAlignment="0" applyProtection="0"/>
    <xf numFmtId="182" fontId="225" fillId="0" borderId="277" applyFill="0" applyProtection="0"/>
    <xf numFmtId="0" fontId="8" fillId="81" borderId="261" applyNumberFormat="0" applyFont="0" applyAlignment="0" applyProtection="0"/>
    <xf numFmtId="0" fontId="153" fillId="0" borderId="384">
      <alignment horizontal="left" vertical="center"/>
    </xf>
    <xf numFmtId="0" fontId="203" fillId="81" borderId="261" applyNumberFormat="0" applyFont="0" applyAlignment="0" applyProtection="0"/>
    <xf numFmtId="200" fontId="225" fillId="0" borderId="322" applyFill="0" applyProtection="0"/>
    <xf numFmtId="0" fontId="203" fillId="81" borderId="603" applyNumberFormat="0" applyFont="0" applyAlignment="0" applyProtection="0"/>
    <xf numFmtId="0" fontId="216" fillId="78" borderId="568" applyNumberFormat="0" applyAlignment="0" applyProtection="0"/>
    <xf numFmtId="182" fontId="225" fillId="0" borderId="376" applyFill="0" applyProtection="0"/>
    <xf numFmtId="0" fontId="203" fillId="81" borderId="468" applyNumberFormat="0" applyFont="0" applyAlignment="0" applyProtection="0"/>
    <xf numFmtId="0" fontId="213" fillId="65" borderId="512" applyNumberFormat="0" applyAlignment="0" applyProtection="0"/>
    <xf numFmtId="0" fontId="8" fillId="81" borderId="549" applyNumberFormat="0" applyFont="0" applyAlignment="0" applyProtection="0"/>
    <xf numFmtId="0" fontId="213" fillId="65" borderId="278" applyNumberFormat="0" applyAlignment="0" applyProtection="0"/>
    <xf numFmtId="0" fontId="213" fillId="65" borderId="278"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0" fontId="213" fillId="80" borderId="521" applyNumberFormat="0" applyAlignment="0" applyProtection="0"/>
    <xf numFmtId="0" fontId="213" fillId="65" borderId="503" applyNumberFormat="0" applyAlignment="0" applyProtection="0"/>
    <xf numFmtId="0" fontId="8" fillId="81" borderId="603" applyNumberFormat="0" applyFont="0" applyAlignment="0" applyProtection="0"/>
    <xf numFmtId="0" fontId="203" fillId="81" borderId="504" applyNumberFormat="0" applyFont="0" applyAlignment="0" applyProtection="0"/>
    <xf numFmtId="0" fontId="203" fillId="81" borderId="414" applyNumberFormat="0" applyFont="0" applyAlignment="0" applyProtection="0"/>
    <xf numFmtId="0" fontId="203" fillId="81" borderId="477" applyNumberFormat="0" applyFont="0" applyAlignment="0" applyProtection="0"/>
    <xf numFmtId="0" fontId="203" fillId="81" borderId="432" applyNumberFormat="0" applyFont="0" applyAlignment="0" applyProtection="0"/>
    <xf numFmtId="0" fontId="213" fillId="65" borderId="521" applyNumberFormat="0" applyAlignment="0" applyProtection="0"/>
    <xf numFmtId="0" fontId="229" fillId="83" borderId="463" applyAlignment="0">
      <alignment horizontal="center"/>
    </xf>
    <xf numFmtId="0" fontId="213" fillId="65" borderId="557" applyNumberFormat="0" applyAlignment="0" applyProtection="0"/>
    <xf numFmtId="182" fontId="225" fillId="0" borderId="475" applyFill="0" applyProtection="0"/>
    <xf numFmtId="0" fontId="174" fillId="0" borderId="499" applyNumberFormat="0" applyFill="0" applyAlignment="0" applyProtection="0"/>
    <xf numFmtId="200" fontId="225" fillId="0" borderId="457" applyFill="0" applyProtection="0"/>
    <xf numFmtId="0" fontId="213" fillId="65" borderId="593" applyNumberFormat="0" applyAlignment="0" applyProtection="0"/>
    <xf numFmtId="0" fontId="203" fillId="81" borderId="540" applyNumberFormat="0" applyFont="0" applyAlignment="0" applyProtection="0"/>
    <xf numFmtId="0" fontId="8" fillId="81" borderId="414" applyNumberFormat="0" applyFont="0" applyAlignment="0" applyProtection="0"/>
    <xf numFmtId="0" fontId="213" fillId="65" borderId="368" applyNumberFormat="0" applyAlignment="0" applyProtection="0"/>
    <xf numFmtId="200" fontId="225" fillId="0" borderId="457" applyFill="0" applyProtection="0"/>
    <xf numFmtId="0" fontId="213" fillId="65" borderId="521" applyNumberFormat="0" applyAlignment="0" applyProtection="0"/>
    <xf numFmtId="0" fontId="174" fillId="0" borderId="472" applyNumberFormat="0" applyFill="0" applyAlignment="0" applyProtection="0"/>
    <xf numFmtId="0" fontId="213" fillId="65" borderId="521" applyNumberFormat="0" applyAlignment="0" applyProtection="0"/>
    <xf numFmtId="0" fontId="213" fillId="65" borderId="593"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593" applyNumberFormat="0" applyAlignment="0" applyProtection="0"/>
    <xf numFmtId="0" fontId="213" fillId="65" borderId="602" applyNumberFormat="0" applyAlignment="0" applyProtection="0"/>
    <xf numFmtId="0" fontId="203" fillId="81" borderId="369" applyNumberFormat="0" applyFont="0" applyAlignment="0" applyProtection="0"/>
    <xf numFmtId="182" fontId="225" fillId="0" borderId="547" applyFill="0" applyProtection="0"/>
    <xf numFmtId="0" fontId="203" fillId="81" borderId="504" applyNumberFormat="0" applyFont="0" applyAlignment="0" applyProtection="0"/>
    <xf numFmtId="0" fontId="229" fillId="83" borderId="570" applyAlignment="0">
      <alignment horizontal="center"/>
    </xf>
    <xf numFmtId="0" fontId="213" fillId="65" borderId="467" applyNumberFormat="0" applyAlignment="0" applyProtection="0"/>
    <xf numFmtId="0" fontId="153" fillId="0" borderId="501">
      <alignment horizontal="left" vertical="center"/>
    </xf>
    <xf numFmtId="0" fontId="213" fillId="65" borderId="548" applyNumberFormat="0" applyAlignment="0" applyProtection="0"/>
    <xf numFmtId="0" fontId="213" fillId="65" borderId="503" applyNumberFormat="0" applyAlignment="0" applyProtection="0"/>
    <xf numFmtId="0" fontId="174" fillId="0" borderId="337" applyNumberFormat="0" applyFill="0" applyAlignment="0" applyProtection="0"/>
    <xf numFmtId="0" fontId="206" fillId="78" borderId="377" applyNumberFormat="0" applyAlignment="0" applyProtection="0"/>
    <xf numFmtId="0" fontId="213" fillId="65" borderId="458" applyNumberFormat="0" applyAlignment="0" applyProtection="0"/>
    <xf numFmtId="182" fontId="225" fillId="0" borderId="466" applyFill="0" applyProtection="0"/>
    <xf numFmtId="0" fontId="203" fillId="81" borderId="522" applyNumberFormat="0" applyFont="0" applyAlignment="0" applyProtection="0"/>
    <xf numFmtId="0" fontId="203" fillId="81" borderId="459" applyNumberFormat="0" applyFont="0" applyAlignment="0" applyProtection="0"/>
    <xf numFmtId="0" fontId="174" fillId="0" borderId="526" applyNumberFormat="0" applyFill="0" applyAlignment="0" applyProtection="0"/>
    <xf numFmtId="0" fontId="203" fillId="81" borderId="567" applyNumberFormat="0" applyFont="0" applyAlignment="0" applyProtection="0"/>
    <xf numFmtId="0" fontId="203" fillId="81" borderId="603" applyNumberFormat="0" applyFont="0" applyAlignment="0" applyProtection="0"/>
    <xf numFmtId="0" fontId="203" fillId="81" borderId="504" applyNumberFormat="0" applyFont="0" applyAlignment="0" applyProtection="0"/>
    <xf numFmtId="0" fontId="213" fillId="65" borderId="458" applyNumberFormat="0" applyAlignment="0" applyProtection="0"/>
    <xf numFmtId="182" fontId="225" fillId="0" borderId="421" applyFill="0" applyProtection="0"/>
    <xf numFmtId="0" fontId="203" fillId="81" borderId="612" applyNumberFormat="0" applyFont="0" applyAlignment="0" applyProtection="0"/>
    <xf numFmtId="0" fontId="176" fillId="81" borderId="342"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13" fillId="65" borderId="341" applyNumberFormat="0" applyAlignment="0" applyProtection="0"/>
    <xf numFmtId="0" fontId="8" fillId="81" borderId="342" applyNumberFormat="0" applyFont="0" applyAlignment="0" applyProtection="0"/>
    <xf numFmtId="0" fontId="203" fillId="81" borderId="342" applyNumberFormat="0" applyFont="0" applyAlignment="0" applyProtection="0"/>
    <xf numFmtId="0" fontId="213" fillId="65" borderId="512" applyNumberFormat="0" applyAlignment="0" applyProtection="0"/>
    <xf numFmtId="0" fontId="213" fillId="65" borderId="278" applyNumberFormat="0" applyAlignment="0" applyProtection="0"/>
    <xf numFmtId="0" fontId="213" fillId="65" borderId="341" applyNumberFormat="0" applyAlignment="0" applyProtection="0"/>
    <xf numFmtId="0" fontId="203" fillId="81" borderId="558" applyNumberFormat="0" applyFont="0" applyAlignment="0" applyProtection="0"/>
    <xf numFmtId="0" fontId="213" fillId="65" borderId="413" applyNumberFormat="0" applyAlignment="0" applyProtection="0"/>
    <xf numFmtId="0" fontId="153" fillId="0" borderId="276">
      <alignment horizontal="left" vertical="center"/>
    </xf>
    <xf numFmtId="0" fontId="213" fillId="65" borderId="593" applyNumberFormat="0" applyAlignment="0" applyProtection="0"/>
    <xf numFmtId="0" fontId="203" fillId="81" borderId="594" applyNumberFormat="0" applyFont="0" applyAlignment="0" applyProtection="0"/>
    <xf numFmtId="0" fontId="213" fillId="80" borderId="377" applyNumberFormat="0" applyAlignment="0" applyProtection="0"/>
    <xf numFmtId="0" fontId="176" fillId="81" borderId="567" applyNumberFormat="0" applyFont="0" applyAlignment="0" applyProtection="0"/>
    <xf numFmtId="0" fontId="174" fillId="0" borderId="372" applyNumberFormat="0" applyFill="0" applyAlignment="0" applyProtection="0"/>
    <xf numFmtId="200" fontId="225" fillId="0" borderId="385" applyFill="0" applyProtection="0"/>
    <xf numFmtId="0" fontId="203" fillId="81" borderId="387" applyNumberFormat="0" applyFont="0" applyAlignment="0" applyProtection="0"/>
    <xf numFmtId="0" fontId="213" fillId="65" borderId="431" applyNumberFormat="0" applyAlignment="0" applyProtection="0"/>
    <xf numFmtId="0" fontId="229" fillId="83" borderId="390" applyAlignment="0">
      <alignment horizontal="center"/>
    </xf>
    <xf numFmtId="0" fontId="8" fillId="81" borderId="225" applyNumberFormat="0" applyFont="0" applyAlignment="0" applyProtection="0"/>
    <xf numFmtId="0" fontId="176"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176" fillId="81" borderId="225" applyNumberFormat="0" applyFont="0" applyAlignment="0" applyProtection="0"/>
    <xf numFmtId="0" fontId="216" fillId="59" borderId="226" applyNumberFormat="0" applyAlignment="0" applyProtection="0"/>
    <xf numFmtId="0" fontId="213" fillId="65" borderId="413" applyNumberFormat="0" applyAlignment="0" applyProtection="0"/>
    <xf numFmtId="0" fontId="153" fillId="0" borderId="546">
      <alignment horizontal="left" vertical="center"/>
    </xf>
    <xf numFmtId="0" fontId="203" fillId="81" borderId="369" applyNumberFormat="0" applyFont="0" applyAlignment="0" applyProtection="0"/>
    <xf numFmtId="0" fontId="213" fillId="65" borderId="467" applyNumberFormat="0" applyAlignment="0" applyProtection="0"/>
    <xf numFmtId="0" fontId="213" fillId="65" borderId="521" applyNumberFormat="0" applyAlignment="0" applyProtection="0"/>
    <xf numFmtId="0" fontId="174" fillId="0" borderId="227" applyNumberFormat="0" applyFill="0" applyAlignment="0" applyProtection="0"/>
    <xf numFmtId="0" fontId="213" fillId="65" borderId="503" applyNumberFormat="0" applyAlignment="0" applyProtection="0"/>
    <xf numFmtId="0" fontId="216" fillId="78" borderId="226" applyNumberFormat="0" applyAlignment="0" applyProtection="0"/>
    <xf numFmtId="0" fontId="174" fillId="0" borderId="229" applyNumberFormat="0" applyFill="0" applyAlignment="0" applyProtection="0"/>
    <xf numFmtId="0" fontId="203" fillId="81" borderId="378" applyNumberFormat="0" applyFon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03" fillId="81" borderId="225" applyNumberFormat="0" applyFont="0" applyAlignment="0" applyProtection="0"/>
    <xf numFmtId="182" fontId="225" fillId="0" borderId="367" applyFill="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54" fillId="80" borderId="323" applyNumberFormat="0" applyAlignment="0" applyProtection="0"/>
    <xf numFmtId="0" fontId="213" fillId="65" borderId="503" applyNumberFormat="0" applyAlignment="0" applyProtection="0"/>
    <xf numFmtId="0" fontId="203" fillId="81" borderId="549" applyNumberFormat="0" applyFont="0" applyAlignment="0" applyProtection="0"/>
    <xf numFmtId="0" fontId="213" fillId="80" borderId="278" applyNumberFormat="0" applyAlignment="0" applyProtection="0"/>
    <xf numFmtId="0" fontId="213" fillId="65" borderId="287" applyNumberFormat="0" applyAlignment="0" applyProtection="0"/>
    <xf numFmtId="0" fontId="203" fillId="81" borderId="432" applyNumberFormat="0" applyFont="0" applyAlignment="0" applyProtection="0"/>
    <xf numFmtId="0" fontId="216" fillId="78" borderId="505" applyNumberFormat="0" applyAlignment="0" applyProtection="0"/>
    <xf numFmtId="0" fontId="213" fillId="65" borderId="368" applyNumberFormat="0" applyAlignment="0" applyProtection="0"/>
    <xf numFmtId="0" fontId="213" fillId="80" borderId="413" applyNumberFormat="0" applyAlignment="0" applyProtection="0"/>
    <xf numFmtId="0" fontId="203" fillId="81" borderId="333" applyNumberFormat="0" applyFont="0" applyAlignment="0" applyProtection="0"/>
    <xf numFmtId="0" fontId="203" fillId="81" borderId="549" applyNumberFormat="0" applyFont="0" applyAlignment="0" applyProtection="0"/>
    <xf numFmtId="0" fontId="153" fillId="0" borderId="420">
      <alignment horizontal="left" vertical="center"/>
    </xf>
    <xf numFmtId="0" fontId="213" fillId="65" borderId="278" applyNumberFormat="0" applyAlignment="0" applyProtection="0"/>
    <xf numFmtId="0" fontId="213" fillId="65" borderId="467" applyNumberFormat="0" applyAlignment="0" applyProtection="0"/>
    <xf numFmtId="0" fontId="176" fillId="81" borderId="324" applyNumberFormat="0" applyFont="0" applyAlignment="0" applyProtection="0"/>
    <xf numFmtId="0" fontId="153" fillId="0" borderId="375">
      <alignment horizontal="left" vertical="center"/>
    </xf>
    <xf numFmtId="0" fontId="206" fillId="78" borderId="278" applyNumberFormat="0" applyAlignment="0" applyProtection="0"/>
    <xf numFmtId="0" fontId="8" fillId="81" borderId="279" applyNumberFormat="0" applyFont="0" applyAlignment="0" applyProtection="0"/>
    <xf numFmtId="0" fontId="213" fillId="65" borderId="593" applyNumberFormat="0" applyAlignment="0" applyProtection="0"/>
    <xf numFmtId="182" fontId="225" fillId="0" borderId="592" applyFill="0" applyProtection="0"/>
    <xf numFmtId="0" fontId="213" fillId="65" borderId="593" applyNumberFormat="0" applyAlignment="0" applyProtection="0"/>
    <xf numFmtId="182" fontId="225" fillId="0" borderId="556" applyFill="0" applyProtection="0"/>
    <xf numFmtId="0" fontId="238" fillId="59" borderId="467" applyNumberFormat="0" applyAlignment="0" applyProtection="0"/>
    <xf numFmtId="0" fontId="213" fillId="65" borderId="557" applyNumberFormat="0" applyAlignment="0" applyProtection="0"/>
    <xf numFmtId="0" fontId="203" fillId="81" borderId="477" applyNumberFormat="0" applyFont="0" applyAlignment="0" applyProtection="0"/>
    <xf numFmtId="0" fontId="213" fillId="80" borderId="368" applyNumberFormat="0" applyAlignment="0" applyProtection="0"/>
    <xf numFmtId="0" fontId="213" fillId="65" borderId="548" applyNumberFormat="0" applyAlignment="0" applyProtection="0"/>
    <xf numFmtId="0" fontId="229" fillId="83" borderId="373" applyAlignment="0">
      <alignment horizontal="center"/>
    </xf>
    <xf numFmtId="0" fontId="229" fillId="83" borderId="373" applyAlignment="0">
      <alignment horizontal="center"/>
    </xf>
    <xf numFmtId="0" fontId="203" fillId="81" borderId="612" applyNumberFormat="0" applyFont="0" applyAlignment="0" applyProtection="0"/>
    <xf numFmtId="0" fontId="213" fillId="65" borderId="512" applyNumberFormat="0" applyAlignment="0" applyProtection="0"/>
    <xf numFmtId="0" fontId="249" fillId="59" borderId="332" applyNumberFormat="0" applyAlignment="0" applyProtection="0"/>
    <xf numFmtId="182" fontId="225" fillId="0" borderId="322" applyFill="0" applyProtection="0"/>
    <xf numFmtId="182" fontId="225" fillId="0" borderId="565" applyFill="0" applyProtection="0"/>
    <xf numFmtId="0" fontId="203" fillId="81" borderId="414" applyNumberFormat="0" applyFont="0" applyAlignment="0" applyProtection="0"/>
    <xf numFmtId="0" fontId="178" fillId="0" borderId="437" applyProtection="0"/>
    <xf numFmtId="0" fontId="203" fillId="81" borderId="369" applyNumberFormat="0" applyFont="0" applyAlignment="0" applyProtection="0"/>
    <xf numFmtId="182" fontId="225" fillId="0" borderId="421" applyFill="0" applyProtection="0"/>
    <xf numFmtId="0" fontId="153" fillId="0" borderId="519">
      <alignment horizontal="left" vertical="center"/>
    </xf>
    <xf numFmtId="0" fontId="213" fillId="65" borderId="521" applyNumberFormat="0" applyAlignment="0" applyProtection="0"/>
    <xf numFmtId="182" fontId="225" fillId="0" borderId="340" applyFill="0" applyProtection="0"/>
    <xf numFmtId="0" fontId="174" fillId="0" borderId="462" applyNumberFormat="0" applyFill="0" applyAlignment="0" applyProtection="0"/>
    <xf numFmtId="0" fontId="176" fillId="81" borderId="378" applyNumberFormat="0" applyFont="0" applyAlignment="0" applyProtection="0"/>
    <xf numFmtId="0" fontId="203" fillId="81" borderId="513" applyNumberFormat="0" applyFont="0" applyAlignment="0" applyProtection="0"/>
    <xf numFmtId="0" fontId="216" fillId="78" borderId="388" applyNumberFormat="0" applyAlignment="0" applyProtection="0"/>
    <xf numFmtId="0" fontId="203" fillId="81" borderId="225" applyNumberFormat="0" applyFont="0" applyAlignment="0" applyProtection="0"/>
    <xf numFmtId="0" fontId="213" fillId="65" borderId="287" applyNumberFormat="0" applyAlignment="0" applyProtection="0"/>
    <xf numFmtId="0" fontId="213" fillId="65" borderId="413" applyNumberFormat="0" applyAlignment="0" applyProtection="0"/>
    <xf numFmtId="0" fontId="229" fillId="83" borderId="328" applyAlignment="0">
      <alignment horizontal="center"/>
    </xf>
    <xf numFmtId="200" fontId="225" fillId="0" borderId="385" applyFill="0" applyProtection="0"/>
    <xf numFmtId="0" fontId="176" fillId="81" borderId="333" applyNumberFormat="0" applyFont="0" applyAlignment="0" applyProtection="0"/>
    <xf numFmtId="200" fontId="225" fillId="0" borderId="385" applyFill="0" applyProtection="0"/>
    <xf numFmtId="0" fontId="206" fillId="78" borderId="224" applyNumberFormat="0" applyAlignment="0" applyProtection="0"/>
    <xf numFmtId="0" fontId="176" fillId="81" borderId="504" applyNumberFormat="0" applyFont="0" applyAlignment="0" applyProtection="0"/>
    <xf numFmtId="0" fontId="176" fillId="81" borderId="225" applyNumberFormat="0" applyFont="0" applyAlignment="0" applyProtection="0"/>
    <xf numFmtId="0" fontId="238" fillId="59"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216" fillId="59" borderId="226" applyNumberFormat="0" applyAlignment="0" applyProtection="0"/>
    <xf numFmtId="0" fontId="213" fillId="80" borderId="224" applyNumberFormat="0" applyAlignment="0" applyProtection="0"/>
    <xf numFmtId="0" fontId="213" fillId="65" borderId="368" applyNumberFormat="0" applyAlignment="0" applyProtection="0"/>
    <xf numFmtId="0" fontId="174" fillId="0" borderId="380" applyNumberFormat="0" applyFill="0" applyAlignment="0" applyProtection="0"/>
    <xf numFmtId="0" fontId="176" fillId="81" borderId="225" applyNumberFormat="0" applyFont="0" applyAlignment="0" applyProtection="0"/>
    <xf numFmtId="0" fontId="213" fillId="65" borderId="593" applyNumberFormat="0" applyAlignment="0" applyProtection="0"/>
    <xf numFmtId="0" fontId="213" fillId="65" borderId="377" applyNumberFormat="0" applyAlignment="0" applyProtection="0"/>
    <xf numFmtId="0" fontId="8" fillId="81" borderId="603" applyNumberFormat="0" applyFont="0" applyAlignment="0" applyProtection="0"/>
    <xf numFmtId="0" fontId="203" fillId="81" borderId="594" applyNumberFormat="0" applyFont="0" applyAlignment="0" applyProtection="0"/>
    <xf numFmtId="0" fontId="213" fillId="65" borderId="332" applyNumberFormat="0" applyAlignment="0" applyProtection="0"/>
    <xf numFmtId="0" fontId="213" fillId="80" borderId="422" applyNumberFormat="0" applyAlignment="0" applyProtection="0"/>
    <xf numFmtId="0" fontId="238" fillId="59" borderId="386" applyNumberFormat="0" applyAlignment="0" applyProtection="0"/>
    <xf numFmtId="0" fontId="213" fillId="65" borderId="278" applyNumberFormat="0" applyAlignment="0" applyProtection="0"/>
    <xf numFmtId="0" fontId="257" fillId="59" borderId="595" applyNumberFormat="0" applyAlignment="0" applyProtection="0"/>
    <xf numFmtId="182" fontId="225" fillId="0" borderId="430" applyFill="0" applyProtection="0"/>
    <xf numFmtId="0" fontId="213" fillId="65" borderId="386" applyNumberFormat="0" applyAlignment="0" applyProtection="0"/>
    <xf numFmtId="0" fontId="203" fillId="81" borderId="423" applyNumberFormat="0" applyFont="0" applyAlignment="0" applyProtection="0"/>
    <xf numFmtId="0" fontId="203" fillId="81" borderId="549" applyNumberFormat="0" applyFont="0" applyAlignment="0" applyProtection="0"/>
    <xf numFmtId="0" fontId="176" fillId="81" borderId="549" applyNumberFormat="0" applyFont="0" applyAlignment="0" applyProtection="0"/>
    <xf numFmtId="200" fontId="225" fillId="0" borderId="376" applyFill="0" applyProtection="0"/>
    <xf numFmtId="0" fontId="213" fillId="65" borderId="278" applyNumberFormat="0" applyAlignment="0" applyProtection="0"/>
    <xf numFmtId="0" fontId="8" fillId="81" borderId="477" applyNumberFormat="0" applyFont="0" applyAlignment="0" applyProtection="0"/>
    <xf numFmtId="0" fontId="203" fillId="81" borderId="261" applyNumberFormat="0" applyFont="0" applyAlignment="0" applyProtection="0"/>
    <xf numFmtId="0" fontId="203" fillId="81" borderId="513" applyNumberFormat="0" applyFont="0" applyAlignment="0" applyProtection="0"/>
    <xf numFmtId="200" fontId="225" fillId="0" borderId="322" applyFill="0" applyProtection="0"/>
    <xf numFmtId="0" fontId="203" fillId="81" borderId="459" applyNumberFormat="0" applyFont="0" applyAlignment="0" applyProtection="0"/>
    <xf numFmtId="0" fontId="203" fillId="81" borderId="513" applyNumberFormat="0" applyFont="0" applyAlignment="0" applyProtection="0"/>
    <xf numFmtId="182" fontId="225" fillId="0" borderId="547" applyFill="0" applyProtection="0"/>
    <xf numFmtId="0" fontId="203" fillId="81" borderId="279" applyNumberFormat="0" applyFont="0" applyAlignment="0" applyProtection="0"/>
    <xf numFmtId="0" fontId="213" fillId="65" borderId="368" applyNumberFormat="0" applyAlignment="0" applyProtection="0"/>
    <xf numFmtId="0" fontId="213" fillId="65" borderId="278" applyNumberFormat="0" applyAlignment="0" applyProtection="0"/>
    <xf numFmtId="0" fontId="213" fillId="65" borderId="593" applyNumberFormat="0" applyAlignment="0" applyProtection="0"/>
    <xf numFmtId="0" fontId="213" fillId="65" borderId="503" applyNumberFormat="0" applyAlignment="0" applyProtection="0"/>
    <xf numFmtId="0" fontId="8" fillId="81" borderId="324" applyNumberFormat="0" applyFont="0" applyAlignment="0" applyProtection="0"/>
    <xf numFmtId="0" fontId="229" fillId="83" borderId="598" applyAlignment="0">
      <alignment horizontal="center"/>
    </xf>
    <xf numFmtId="0" fontId="153" fillId="0" borderId="609">
      <alignment horizontal="left" vertical="center"/>
    </xf>
    <xf numFmtId="0" fontId="203" fillId="81" borderId="369" applyNumberFormat="0" applyFont="0" applyAlignment="0" applyProtection="0"/>
    <xf numFmtId="0" fontId="213" fillId="65" borderId="548" applyNumberFormat="0" applyAlignment="0" applyProtection="0"/>
    <xf numFmtId="182" fontId="225" fillId="0" borderId="286" applyFill="0" applyProtection="0"/>
    <xf numFmtId="0" fontId="206" fillId="78" borderId="593" applyNumberFormat="0" applyAlignment="0" applyProtection="0"/>
    <xf numFmtId="0" fontId="213" fillId="80" borderId="548" applyNumberFormat="0" applyAlignment="0" applyProtection="0"/>
    <xf numFmtId="0" fontId="213" fillId="65" borderId="323" applyNumberFormat="0" applyAlignment="0" applyProtection="0"/>
    <xf numFmtId="0" fontId="203" fillId="81" borderId="549" applyNumberFormat="0" applyFont="0" applyAlignment="0" applyProtection="0"/>
    <xf numFmtId="0" fontId="213" fillId="65" borderId="521" applyNumberFormat="0" applyAlignment="0" applyProtection="0"/>
    <xf numFmtId="0" fontId="213" fillId="65" borderId="503" applyNumberFormat="0" applyAlignment="0" applyProtection="0"/>
    <xf numFmtId="0" fontId="203" fillId="81" borderId="261" applyNumberFormat="0" applyFont="0" applyAlignment="0" applyProtection="0"/>
    <xf numFmtId="0" fontId="213" fillId="80" borderId="287" applyNumberFormat="0" applyAlignment="0" applyProtection="0"/>
    <xf numFmtId="0" fontId="229" fillId="83" borderId="633" applyAlignment="0">
      <alignment horizontal="center"/>
    </xf>
    <xf numFmtId="0" fontId="213" fillId="65" borderId="278" applyNumberFormat="0" applyAlignment="0" applyProtection="0"/>
    <xf numFmtId="0" fontId="176" fillId="81" borderId="549" applyNumberFormat="0" applyFont="0" applyAlignment="0" applyProtection="0"/>
    <xf numFmtId="0" fontId="229" fillId="83" borderId="390" applyAlignment="0">
      <alignment horizontal="center"/>
    </xf>
    <xf numFmtId="0" fontId="203" fillId="81" borderId="324" applyNumberFormat="0" applyFont="0" applyAlignment="0" applyProtection="0"/>
    <xf numFmtId="0" fontId="213" fillId="65" borderId="512" applyNumberFormat="0" applyAlignment="0" applyProtection="0"/>
    <xf numFmtId="0" fontId="213" fillId="65" borderId="557" applyNumberFormat="0" applyAlignment="0" applyProtection="0"/>
    <xf numFmtId="0" fontId="213" fillId="65" borderId="332" applyNumberFormat="0" applyAlignment="0" applyProtection="0"/>
    <xf numFmtId="0" fontId="203" fillId="81" borderId="279" applyNumberFormat="0" applyFont="0" applyAlignment="0" applyProtection="0"/>
    <xf numFmtId="0" fontId="213" fillId="65" borderId="278" applyNumberFormat="0" applyAlignment="0" applyProtection="0"/>
    <xf numFmtId="0" fontId="206" fillId="78" borderId="458" applyNumberFormat="0" applyAlignment="0" applyProtection="0"/>
    <xf numFmtId="0" fontId="216" fillId="78" borderId="334" applyNumberFormat="0" applyAlignment="0" applyProtection="0"/>
    <xf numFmtId="0" fontId="176" fillId="81" borderId="423" applyNumberFormat="0" applyFont="0" applyAlignment="0" applyProtection="0"/>
    <xf numFmtId="0" fontId="213" fillId="65" borderId="278" applyNumberFormat="0" applyAlignment="0" applyProtection="0"/>
    <xf numFmtId="0" fontId="213" fillId="65" borderId="341" applyNumberFormat="0" applyAlignment="0" applyProtection="0"/>
    <xf numFmtId="182" fontId="225" fillId="0" borderId="412" applyFill="0" applyProtection="0"/>
    <xf numFmtId="0" fontId="203" fillId="81" borderId="333" applyNumberFormat="0" applyFont="0" applyAlignment="0" applyProtection="0"/>
    <xf numFmtId="0" fontId="206" fillId="78" borderId="386" applyNumberFormat="0" applyAlignment="0" applyProtection="0"/>
    <xf numFmtId="0" fontId="213" fillId="65" borderId="377" applyNumberFormat="0" applyAlignment="0" applyProtection="0"/>
    <xf numFmtId="0" fontId="213" fillId="65" borderId="557" applyNumberFormat="0" applyAlignment="0" applyProtection="0"/>
    <xf numFmtId="0" fontId="176" fillId="81" borderId="423" applyNumberFormat="0" applyFont="0" applyAlignment="0" applyProtection="0"/>
    <xf numFmtId="0" fontId="213" fillId="65" borderId="548" applyNumberFormat="0" applyAlignment="0" applyProtection="0"/>
    <xf numFmtId="200" fontId="225" fillId="0" borderId="511" applyFill="0" applyProtection="0"/>
    <xf numFmtId="0" fontId="203" fillId="81" borderId="513" applyNumberFormat="0" applyFont="0" applyAlignment="0" applyProtection="0"/>
    <xf numFmtId="0" fontId="213" fillId="80" borderId="377" applyNumberFormat="0" applyAlignment="0" applyProtection="0"/>
    <xf numFmtId="0" fontId="213" fillId="65" borderId="377" applyNumberFormat="0" applyAlignment="0" applyProtection="0"/>
    <xf numFmtId="0" fontId="213" fillId="65" borderId="278" applyNumberFormat="0" applyAlignment="0" applyProtection="0"/>
    <xf numFmtId="0" fontId="213" fillId="65" borderId="593" applyNumberFormat="0" applyAlignment="0" applyProtection="0"/>
    <xf numFmtId="0" fontId="203" fillId="81" borderId="378" applyNumberFormat="0" applyFont="0" applyAlignment="0" applyProtection="0"/>
    <xf numFmtId="200" fontId="225" fillId="0" borderId="547" applyFill="0" applyProtection="0"/>
    <xf numFmtId="0" fontId="213" fillId="65" borderId="548" applyNumberFormat="0" applyAlignment="0" applyProtection="0"/>
    <xf numFmtId="0" fontId="213" fillId="65" borderId="413" applyNumberFormat="0" applyAlignment="0" applyProtection="0"/>
    <xf numFmtId="200" fontId="225" fillId="0" borderId="601" applyFill="0" applyProtection="0"/>
    <xf numFmtId="0" fontId="213" fillId="65" borderId="593" applyNumberFormat="0" applyAlignment="0" applyProtection="0"/>
    <xf numFmtId="0" fontId="213" fillId="65" borderId="548" applyNumberFormat="0" applyAlignment="0" applyProtection="0"/>
    <xf numFmtId="0" fontId="213" fillId="65" borderId="377" applyNumberFormat="0" applyAlignment="0" applyProtection="0"/>
    <xf numFmtId="0" fontId="213" fillId="65" borderId="413" applyNumberFormat="0" applyAlignment="0" applyProtection="0"/>
    <xf numFmtId="0" fontId="244" fillId="0" borderId="520" applyNumberFormat="0" applyFont="0" applyFill="0" applyAlignment="0" applyProtection="0"/>
    <xf numFmtId="0" fontId="213" fillId="65" borderId="422" applyNumberFormat="0" applyAlignment="0" applyProtection="0"/>
    <xf numFmtId="0" fontId="216" fillId="78" borderId="460" applyNumberFormat="0" applyAlignment="0" applyProtection="0"/>
    <xf numFmtId="0" fontId="203" fillId="81" borderId="432" applyNumberFormat="0" applyFont="0" applyAlignment="0" applyProtection="0"/>
    <xf numFmtId="0" fontId="213" fillId="65" borderId="467" applyNumberFormat="0" applyAlignment="0" applyProtection="0"/>
    <xf numFmtId="0" fontId="203" fillId="81" borderId="612" applyNumberFormat="0" applyFont="0" applyAlignment="0" applyProtection="0"/>
    <xf numFmtId="0" fontId="213" fillId="65" borderId="431" applyNumberFormat="0" applyAlignment="0" applyProtection="0"/>
    <xf numFmtId="0" fontId="213" fillId="65" borderId="413" applyNumberFormat="0" applyAlignment="0" applyProtection="0"/>
    <xf numFmtId="0" fontId="216" fillId="78" borderId="289" applyNumberFormat="0" applyAlignment="0" applyProtection="0"/>
    <xf numFmtId="0" fontId="213" fillId="65" borderId="512" applyNumberFormat="0" applyAlignment="0" applyProtection="0"/>
    <xf numFmtId="0" fontId="216" fillId="78" borderId="550" applyNumberFormat="0" applyAlignment="0" applyProtection="0"/>
    <xf numFmtId="0" fontId="213" fillId="65" borderId="413" applyNumberFormat="0" applyAlignment="0" applyProtection="0"/>
    <xf numFmtId="0" fontId="203" fillId="81" borderId="414" applyNumberFormat="0" applyFont="0" applyAlignment="0" applyProtection="0"/>
    <xf numFmtId="0" fontId="213" fillId="80" borderId="602" applyNumberFormat="0" applyAlignment="0" applyProtection="0"/>
    <xf numFmtId="0" fontId="216" fillId="59" borderId="487" applyNumberFormat="0" applyAlignment="0" applyProtection="0"/>
    <xf numFmtId="0" fontId="213" fillId="65" borderId="593" applyNumberFormat="0" applyAlignment="0" applyProtection="0"/>
    <xf numFmtId="0" fontId="213" fillId="65" borderId="548" applyNumberFormat="0" applyAlignment="0" applyProtection="0"/>
    <xf numFmtId="0" fontId="176" fillId="81" borderId="405" applyNumberFormat="0" applyFont="0" applyAlignment="0" applyProtection="0"/>
    <xf numFmtId="0" fontId="213" fillId="65" borderId="323" applyNumberFormat="0" applyAlignment="0" applyProtection="0"/>
    <xf numFmtId="0" fontId="203" fillId="81" borderId="459" applyNumberFormat="0" applyFont="0" applyAlignment="0" applyProtection="0"/>
    <xf numFmtId="182" fontId="225" fillId="0" borderId="367" applyFill="0" applyProtection="0"/>
    <xf numFmtId="0" fontId="174" fillId="0" borderId="507" applyNumberFormat="0" applyFill="0" applyAlignment="0" applyProtection="0"/>
    <xf numFmtId="0" fontId="213" fillId="65" borderId="557" applyNumberFormat="0" applyAlignment="0" applyProtection="0"/>
    <xf numFmtId="0" fontId="203" fillId="81" borderId="513" applyNumberFormat="0" applyFont="0" applyAlignment="0" applyProtection="0"/>
    <xf numFmtId="200" fontId="225" fillId="0" borderId="457" applyFill="0" applyProtection="0"/>
    <xf numFmtId="182" fontId="225" fillId="0" borderId="277" applyFill="0" applyProtection="0"/>
    <xf numFmtId="0" fontId="203" fillId="81" borderId="585" applyNumberFormat="0" applyFont="0" applyAlignment="0" applyProtection="0"/>
    <xf numFmtId="0" fontId="213" fillId="65" borderId="458" applyNumberFormat="0" applyAlignment="0" applyProtection="0"/>
    <xf numFmtId="0" fontId="213" fillId="65" borderId="377" applyNumberFormat="0" applyAlignment="0" applyProtection="0"/>
    <xf numFmtId="0" fontId="203" fillId="81" borderId="306" applyNumberFormat="0" applyFont="0" applyAlignment="0" applyProtection="0"/>
    <xf numFmtId="0" fontId="213" fillId="80" borderId="413" applyNumberFormat="0" applyAlignment="0" applyProtection="0"/>
    <xf numFmtId="0" fontId="203" fillId="81" borderId="567" applyNumberFormat="0" applyFont="0" applyAlignment="0" applyProtection="0"/>
    <xf numFmtId="0" fontId="213" fillId="65" borderId="503" applyNumberFormat="0" applyAlignment="0" applyProtection="0"/>
    <xf numFmtId="182" fontId="225" fillId="0" borderId="556" applyFill="0" applyProtection="0"/>
    <xf numFmtId="0" fontId="229" fillId="83" borderId="498" applyAlignment="0">
      <alignment horizontal="center"/>
    </xf>
    <xf numFmtId="0" fontId="203" fillId="81" borderId="333" applyNumberFormat="0" applyFont="0" applyAlignment="0" applyProtection="0"/>
    <xf numFmtId="0" fontId="203" fillId="81" borderId="342" applyNumberFormat="0" applyFont="0" applyAlignment="0" applyProtection="0"/>
    <xf numFmtId="0" fontId="213" fillId="65" borderId="566" applyNumberFormat="0" applyAlignment="0" applyProtection="0"/>
    <xf numFmtId="0" fontId="203" fillId="81" borderId="342" applyNumberFormat="0" applyFont="0" applyAlignment="0" applyProtection="0"/>
    <xf numFmtId="0" fontId="249" fillId="59" borderId="593" applyNumberFormat="0" applyAlignment="0" applyProtection="0"/>
    <xf numFmtId="0" fontId="216" fillId="59" borderId="244" applyNumberFormat="0" applyAlignment="0" applyProtection="0"/>
    <xf numFmtId="0" fontId="174" fillId="0" borderId="372" applyNumberFormat="0" applyFill="0" applyAlignment="0" applyProtection="0"/>
    <xf numFmtId="0" fontId="213" fillId="80" borderId="413" applyNumberFormat="0" applyAlignment="0" applyProtection="0"/>
    <xf numFmtId="0" fontId="203" fillId="81" borderId="459" applyNumberFormat="0" applyFont="0" applyAlignment="0" applyProtection="0"/>
    <xf numFmtId="0" fontId="203" fillId="81" borderId="504" applyNumberFormat="0" applyFont="0" applyAlignment="0" applyProtection="0"/>
    <xf numFmtId="0" fontId="203" fillId="81" borderId="459" applyNumberFormat="0" applyFont="0" applyAlignment="0" applyProtection="0"/>
    <xf numFmtId="0" fontId="213" fillId="65" borderId="593" applyNumberFormat="0" applyAlignment="0" applyProtection="0"/>
    <xf numFmtId="0" fontId="203" fillId="81" borderId="549" applyNumberFormat="0" applyFont="0" applyAlignment="0" applyProtection="0"/>
    <xf numFmtId="0" fontId="229" fillId="83" borderId="480" applyAlignment="0">
      <alignment horizontal="center"/>
    </xf>
    <xf numFmtId="200" fontId="225" fillId="0" borderId="385" applyFill="0" applyProtection="0"/>
    <xf numFmtId="0" fontId="213" fillId="65" borderId="287" applyNumberFormat="0" applyAlignment="0" applyProtection="0"/>
    <xf numFmtId="0" fontId="176" fillId="81" borderId="432" applyNumberFormat="0" applyFont="0" applyAlignment="0" applyProtection="0"/>
    <xf numFmtId="0" fontId="213" fillId="65" borderId="458" applyNumberFormat="0" applyAlignment="0" applyProtection="0"/>
    <xf numFmtId="0" fontId="213" fillId="65" borderId="602" applyNumberFormat="0" applyAlignment="0" applyProtection="0"/>
    <xf numFmtId="0" fontId="213" fillId="65" borderId="476" applyNumberFormat="0" applyAlignment="0" applyProtection="0"/>
    <xf numFmtId="182" fontId="225" fillId="0" borderId="385" applyFill="0" applyProtection="0"/>
    <xf numFmtId="0" fontId="203" fillId="81" borderId="594" applyNumberFormat="0" applyFont="0" applyAlignment="0" applyProtection="0"/>
    <xf numFmtId="0" fontId="174" fillId="0" borderId="292" applyNumberFormat="0" applyFill="0" applyAlignment="0" applyProtection="0"/>
    <xf numFmtId="0" fontId="213" fillId="65" borderId="287" applyNumberFormat="0" applyAlignment="0" applyProtection="0"/>
    <xf numFmtId="0" fontId="213" fillId="65" borderId="413" applyNumberFormat="0" applyAlignment="0" applyProtection="0"/>
    <xf numFmtId="0" fontId="213" fillId="65" borderId="368" applyNumberFormat="0" applyAlignment="0" applyProtection="0"/>
    <xf numFmtId="0" fontId="213" fillId="65" borderId="593" applyNumberFormat="0" applyAlignment="0" applyProtection="0"/>
    <xf numFmtId="0" fontId="213" fillId="65" borderId="323" applyNumberFormat="0" applyAlignment="0" applyProtection="0"/>
    <xf numFmtId="0" fontId="216" fillId="78" borderId="478" applyNumberFormat="0" applyAlignment="0" applyProtection="0"/>
    <xf numFmtId="0" fontId="213" fillId="80" borderId="323" applyNumberFormat="0" applyAlignment="0" applyProtection="0"/>
    <xf numFmtId="0" fontId="213" fillId="65" borderId="602" applyNumberFormat="0" applyAlignment="0" applyProtection="0"/>
    <xf numFmtId="0" fontId="174" fillId="0" borderId="326" applyNumberFormat="0" applyFill="0" applyAlignment="0" applyProtection="0"/>
    <xf numFmtId="0" fontId="213" fillId="65" borderId="368" applyNumberFormat="0" applyAlignment="0" applyProtection="0"/>
    <xf numFmtId="0" fontId="229" fillId="83" borderId="328" applyAlignment="0">
      <alignment horizontal="center"/>
    </xf>
    <xf numFmtId="0" fontId="174" fillId="0" borderId="326" applyNumberFormat="0" applyFill="0" applyAlignment="0" applyProtection="0"/>
    <xf numFmtId="0" fontId="213" fillId="65" borderId="503" applyNumberFormat="0" applyAlignment="0" applyProtection="0"/>
    <xf numFmtId="0" fontId="254" fillId="80" borderId="548" applyNumberFormat="0" applyAlignment="0" applyProtection="0"/>
    <xf numFmtId="0" fontId="203" fillId="81" borderId="423" applyNumberFormat="0" applyFont="0" applyAlignment="0" applyProtection="0"/>
    <xf numFmtId="0" fontId="203" fillId="81" borderId="423" applyNumberFormat="0" applyFont="0" applyAlignment="0" applyProtection="0"/>
    <xf numFmtId="0" fontId="213" fillId="65" borderId="593" applyNumberFormat="0" applyAlignment="0" applyProtection="0"/>
    <xf numFmtId="0" fontId="176" fillId="81" borderId="306" applyNumberFormat="0" applyFont="0" applyAlignment="0" applyProtection="0"/>
    <xf numFmtId="0" fontId="153" fillId="0" borderId="456">
      <alignment horizontal="left" vertical="center"/>
    </xf>
    <xf numFmtId="0" fontId="229" fillId="83" borderId="336" applyAlignment="0">
      <alignment horizontal="center"/>
    </xf>
    <xf numFmtId="182" fontId="225" fillId="0" borderId="601" applyFill="0" applyProtection="0"/>
    <xf numFmtId="200" fontId="225" fillId="0" borderId="340" applyFill="0" applyProtection="0"/>
    <xf numFmtId="0" fontId="213" fillId="65" borderId="593" applyNumberFormat="0" applyAlignment="0" applyProtection="0"/>
    <xf numFmtId="0" fontId="213" fillId="65" borderId="332" applyNumberFormat="0" applyAlignment="0" applyProtection="0"/>
    <xf numFmtId="0" fontId="203" fillId="81" borderId="594" applyNumberFormat="0" applyFont="0" applyAlignment="0" applyProtection="0"/>
    <xf numFmtId="182" fontId="225" fillId="0" borderId="520" applyFill="0" applyProtection="0"/>
    <xf numFmtId="0" fontId="213" fillId="65" borderId="323" applyNumberFormat="0" applyAlignment="0" applyProtection="0"/>
    <xf numFmtId="0" fontId="213" fillId="65" borderId="413" applyNumberFormat="0" applyAlignment="0" applyProtection="0"/>
    <xf numFmtId="0" fontId="8" fillId="81" borderId="369" applyNumberFormat="0" applyFont="0" applyAlignment="0" applyProtection="0"/>
    <xf numFmtId="0" fontId="213" fillId="65" borderId="332" applyNumberFormat="0" applyAlignment="0" applyProtection="0"/>
    <xf numFmtId="0" fontId="213" fillId="65" borderId="413" applyNumberFormat="0" applyAlignment="0" applyProtection="0"/>
    <xf numFmtId="182" fontId="225" fillId="0" borderId="376" applyFill="0" applyProtection="0"/>
    <xf numFmtId="0" fontId="213" fillId="65" borderId="593" applyNumberFormat="0" applyAlignment="0" applyProtection="0"/>
    <xf numFmtId="0" fontId="229" fillId="83" borderId="291" applyAlignment="0">
      <alignment horizontal="center"/>
    </xf>
    <xf numFmtId="0" fontId="213" fillId="80" borderId="458" applyNumberFormat="0" applyAlignment="0" applyProtection="0"/>
    <xf numFmtId="0" fontId="203" fillId="81" borderId="567" applyNumberFormat="0" applyFont="0" applyAlignment="0" applyProtection="0"/>
    <xf numFmtId="200" fontId="225" fillId="0" borderId="502" applyFill="0" applyProtection="0"/>
    <xf numFmtId="0" fontId="213" fillId="65" borderId="278" applyNumberFormat="0" applyAlignment="0" applyProtection="0"/>
    <xf numFmtId="0" fontId="213" fillId="65" borderId="467" applyNumberFormat="0" applyAlignment="0" applyProtection="0"/>
    <xf numFmtId="0" fontId="213" fillId="65" borderId="512" applyNumberFormat="0" applyAlignment="0" applyProtection="0"/>
    <xf numFmtId="0" fontId="203" fillId="81" borderId="423" applyNumberFormat="0" applyFont="0" applyAlignment="0" applyProtection="0"/>
    <xf numFmtId="0" fontId="213" fillId="65" borderId="467" applyNumberFormat="0" applyAlignment="0" applyProtection="0"/>
    <xf numFmtId="0" fontId="216" fillId="78" borderId="442" applyNumberFormat="0" applyAlignment="0" applyProtection="0"/>
    <xf numFmtId="0" fontId="213" fillId="65" borderId="278" applyNumberFormat="0" applyAlignment="0" applyProtection="0"/>
    <xf numFmtId="182" fontId="225" fillId="0" borderId="331" applyFill="0" applyProtection="0"/>
    <xf numFmtId="200" fontId="225" fillId="0" borderId="376" applyFill="0" applyProtection="0"/>
    <xf numFmtId="0" fontId="213" fillId="65" borderId="413" applyNumberFormat="0" applyAlignment="0" applyProtection="0"/>
    <xf numFmtId="0" fontId="238" fillId="59" borderId="503" applyNumberFormat="0" applyAlignment="0" applyProtection="0"/>
    <xf numFmtId="200" fontId="225" fillId="0" borderId="376" applyFill="0" applyProtection="0"/>
    <xf numFmtId="0" fontId="213" fillId="65" borderId="368" applyNumberFormat="0" applyAlignment="0" applyProtection="0"/>
    <xf numFmtId="200" fontId="225" fillId="0" borderId="340" applyFill="0" applyProtection="0"/>
    <xf numFmtId="0" fontId="213" fillId="65" borderId="278" applyNumberFormat="0" applyAlignment="0" applyProtection="0"/>
    <xf numFmtId="0" fontId="213" fillId="65" borderId="431" applyNumberFormat="0" applyAlignment="0" applyProtection="0"/>
    <xf numFmtId="0" fontId="216" fillId="78" borderId="523" applyNumberFormat="0" applyAlignment="0" applyProtection="0"/>
    <xf numFmtId="0" fontId="213" fillId="65" borderId="386" applyNumberFormat="0" applyAlignment="0" applyProtection="0"/>
    <xf numFmtId="0" fontId="203" fillId="81" borderId="558" applyNumberFormat="0" applyFont="0" applyAlignment="0" applyProtection="0"/>
    <xf numFmtId="0" fontId="203" fillId="81" borderId="324" applyNumberFormat="0" applyFont="0" applyAlignment="0" applyProtection="0"/>
    <xf numFmtId="182" fontId="225" fillId="0" borderId="286" applyFill="0" applyProtection="0"/>
    <xf numFmtId="0" fontId="153" fillId="0" borderId="600">
      <alignment horizontal="left" vertical="center"/>
    </xf>
    <xf numFmtId="200" fontId="225" fillId="0" borderId="367" applyFill="0" applyProtection="0"/>
    <xf numFmtId="0" fontId="203" fillId="81" borderId="333" applyNumberFormat="0" applyFont="0" applyAlignment="0" applyProtection="0"/>
    <xf numFmtId="0" fontId="203" fillId="81" borderId="279" applyNumberFormat="0" applyFont="0" applyAlignment="0" applyProtection="0"/>
    <xf numFmtId="0" fontId="203" fillId="81" borderId="378" applyNumberFormat="0" applyFont="0" applyAlignment="0" applyProtection="0"/>
    <xf numFmtId="182" fontId="225" fillId="0" borderId="547" applyFill="0" applyProtection="0"/>
    <xf numFmtId="0" fontId="203" fillId="81" borderId="324" applyNumberFormat="0" applyFont="0" applyAlignment="0" applyProtection="0"/>
    <xf numFmtId="0" fontId="153" fillId="0" borderId="609">
      <alignment horizontal="left" vertical="center"/>
    </xf>
    <xf numFmtId="0" fontId="174" fillId="0" borderId="382" applyNumberFormat="0" applyFill="0" applyAlignment="0" applyProtection="0"/>
    <xf numFmtId="0" fontId="213" fillId="65" borderId="278" applyNumberFormat="0" applyAlignment="0" applyProtection="0"/>
    <xf numFmtId="182" fontId="225" fillId="0" borderId="475" applyFill="0" applyProtection="0"/>
    <xf numFmtId="0" fontId="206" fillId="78" borderId="548" applyNumberFormat="0" applyAlignment="0" applyProtection="0"/>
    <xf numFmtId="0" fontId="213" fillId="65" borderId="458" applyNumberFormat="0" applyAlignment="0" applyProtection="0"/>
    <xf numFmtId="0" fontId="213" fillId="65" borderId="467" applyNumberFormat="0" applyAlignment="0" applyProtection="0"/>
    <xf numFmtId="0" fontId="213" fillId="65" borderId="368" applyNumberFormat="0" applyAlignment="0" applyProtection="0"/>
    <xf numFmtId="0" fontId="213" fillId="65" borderId="557" applyNumberFormat="0" applyAlignment="0" applyProtection="0"/>
    <xf numFmtId="0" fontId="216" fillId="78" borderId="550" applyNumberFormat="0" applyAlignment="0" applyProtection="0"/>
    <xf numFmtId="0" fontId="213" fillId="65" borderId="458" applyNumberFormat="0" applyAlignment="0" applyProtection="0"/>
    <xf numFmtId="0" fontId="203" fillId="81" borderId="504" applyNumberFormat="0" applyFont="0" applyAlignment="0" applyProtection="0"/>
    <xf numFmtId="0" fontId="213" fillId="65" borderId="368" applyNumberFormat="0" applyAlignment="0" applyProtection="0"/>
    <xf numFmtId="0" fontId="203" fillId="81" borderId="468" applyNumberFormat="0" applyFont="0" applyAlignment="0" applyProtection="0"/>
    <xf numFmtId="0" fontId="213" fillId="65" borderId="431" applyNumberFormat="0" applyAlignment="0" applyProtection="0"/>
    <xf numFmtId="0" fontId="254" fillId="80" borderId="521" applyNumberFormat="0" applyAlignment="0" applyProtection="0"/>
    <xf numFmtId="0" fontId="213" fillId="80" borderId="278" applyNumberFormat="0" applyAlignment="0" applyProtection="0"/>
    <xf numFmtId="0" fontId="176" fillId="81" borderId="522" applyNumberFormat="0" applyFont="0" applyAlignment="0" applyProtection="0"/>
    <xf numFmtId="0" fontId="213" fillId="65" borderId="422" applyNumberFormat="0" applyAlignment="0" applyProtection="0"/>
    <xf numFmtId="0" fontId="213" fillId="80" borderId="503" applyNumberFormat="0" applyAlignment="0" applyProtection="0"/>
    <xf numFmtId="0" fontId="203" fillId="81" borderId="288" applyNumberFormat="0" applyFont="0" applyAlignment="0" applyProtection="0"/>
    <xf numFmtId="0" fontId="213" fillId="65" borderId="593" applyNumberFormat="0" applyAlignment="0" applyProtection="0"/>
    <xf numFmtId="0" fontId="203" fillId="81" borderId="432" applyNumberFormat="0" applyFont="0" applyAlignment="0" applyProtection="0"/>
    <xf numFmtId="0" fontId="213" fillId="65" borderId="287" applyNumberFormat="0" applyAlignment="0" applyProtection="0"/>
    <xf numFmtId="0" fontId="213" fillId="65" borderId="278" applyNumberFormat="0" applyAlignment="0" applyProtection="0"/>
    <xf numFmtId="200" fontId="225" fillId="0" borderId="592" applyFill="0" applyProtection="0"/>
    <xf numFmtId="0" fontId="174" fillId="0" borderId="417" applyNumberFormat="0" applyFill="0" applyAlignment="0" applyProtection="0"/>
    <xf numFmtId="0" fontId="213" fillId="65" borderId="503" applyNumberFormat="0" applyAlignment="0" applyProtection="0"/>
    <xf numFmtId="0" fontId="176" fillId="81" borderId="279" applyNumberFormat="0" applyFont="0" applyAlignment="0" applyProtection="0"/>
    <xf numFmtId="0" fontId="238" fillId="59" borderId="512" applyNumberFormat="0" applyAlignment="0" applyProtection="0"/>
    <xf numFmtId="0" fontId="229" fillId="83" borderId="598" applyAlignment="0">
      <alignment horizontal="center"/>
    </xf>
    <xf numFmtId="0" fontId="213" fillId="65" borderId="458" applyNumberFormat="0" applyAlignment="0" applyProtection="0"/>
    <xf numFmtId="0" fontId="174" fillId="0" borderId="436" applyNumberFormat="0" applyFill="0" applyAlignment="0" applyProtection="0"/>
    <xf numFmtId="0" fontId="213" fillId="65" borderId="548" applyNumberFormat="0" applyAlignment="0" applyProtection="0"/>
    <xf numFmtId="0" fontId="213" fillId="65" borderId="368" applyNumberFormat="0" applyAlignment="0" applyProtection="0"/>
    <xf numFmtId="200" fontId="225" fillId="0" borderId="556" applyFill="0" applyProtection="0"/>
    <xf numFmtId="0" fontId="203" fillId="81" borderId="504" applyNumberFormat="0" applyFont="0" applyAlignment="0" applyProtection="0"/>
    <xf numFmtId="0" fontId="176" fillId="81" borderId="594" applyNumberFormat="0" applyFont="0" applyAlignment="0" applyProtection="0"/>
    <xf numFmtId="0" fontId="206" fillId="78" borderId="602" applyNumberFormat="0" applyAlignment="0" applyProtection="0"/>
    <xf numFmtId="0" fontId="213" fillId="65" borderId="503" applyNumberFormat="0" applyAlignment="0" applyProtection="0"/>
    <xf numFmtId="0" fontId="213" fillId="65" borderId="593" applyNumberFormat="0" applyAlignment="0" applyProtection="0"/>
    <xf numFmtId="0" fontId="203" fillId="81" borderId="504" applyNumberFormat="0" applyFont="0" applyAlignment="0" applyProtection="0"/>
    <xf numFmtId="182" fontId="225" fillId="0" borderId="520" applyFill="0" applyProtection="0"/>
    <xf numFmtId="0" fontId="203" fillId="81" borderId="549" applyNumberFormat="0" applyFont="0" applyAlignment="0" applyProtection="0"/>
    <xf numFmtId="0" fontId="213" fillId="65" borderId="593" applyNumberFormat="0" applyAlignment="0" applyProtection="0"/>
    <xf numFmtId="0" fontId="176" fillId="81" borderId="513" applyNumberFormat="0" applyFont="0" applyAlignment="0" applyProtection="0"/>
    <xf numFmtId="0" fontId="174" fillId="0" borderId="605" applyNumberFormat="0" applyFill="0" applyAlignment="0" applyProtection="0"/>
    <xf numFmtId="200" fontId="225" fillId="0" borderId="385" applyFill="0" applyProtection="0"/>
    <xf numFmtId="0" fontId="203" fillId="81" borderId="549" applyNumberFormat="0" applyFont="0" applyAlignment="0" applyProtection="0"/>
    <xf numFmtId="0" fontId="213" fillId="65" borderId="458" applyNumberFormat="0" applyAlignment="0" applyProtection="0"/>
    <xf numFmtId="200" fontId="225" fillId="0" borderId="367" applyFill="0" applyProtection="0"/>
    <xf numFmtId="0" fontId="216" fillId="78" borderId="370" applyNumberFormat="0" applyAlignment="0" applyProtection="0"/>
    <xf numFmtId="182" fontId="225" fillId="0" borderId="286" applyFill="0" applyProtection="0"/>
    <xf numFmtId="0" fontId="213" fillId="65" borderId="278" applyNumberFormat="0" applyAlignment="0" applyProtection="0"/>
    <xf numFmtId="0" fontId="176" fillId="81" borderId="612" applyNumberFormat="0" applyFont="0" applyAlignment="0" applyProtection="0"/>
    <xf numFmtId="0" fontId="213" fillId="65" borderId="557" applyNumberFormat="0" applyAlignment="0" applyProtection="0"/>
    <xf numFmtId="0" fontId="203" fillId="81" borderId="450" applyNumberFormat="0" applyFont="0" applyAlignment="0" applyProtection="0"/>
    <xf numFmtId="0" fontId="178" fillId="0" borderId="374" applyProtection="0"/>
    <xf numFmtId="0" fontId="203" fillId="81" borderId="288" applyNumberFormat="0" applyFont="0" applyAlignment="0" applyProtection="0"/>
    <xf numFmtId="0" fontId="249" fillId="59" borderId="278" applyNumberFormat="0" applyAlignment="0" applyProtection="0"/>
    <xf numFmtId="0" fontId="213" fillId="65" borderId="368" applyNumberFormat="0" applyAlignment="0" applyProtection="0"/>
    <xf numFmtId="0" fontId="213" fillId="65" borderId="332" applyNumberFormat="0" applyAlignment="0" applyProtection="0"/>
    <xf numFmtId="0" fontId="213" fillId="65" borderId="611" applyNumberFormat="0" applyAlignment="0" applyProtection="0"/>
    <xf numFmtId="0" fontId="153" fillId="0" borderId="330">
      <alignment horizontal="left" vertical="center"/>
    </xf>
    <xf numFmtId="0" fontId="213" fillId="65" borderId="458" applyNumberFormat="0" applyAlignment="0" applyProtection="0"/>
    <xf numFmtId="0" fontId="213" fillId="65" borderId="368" applyNumberFormat="0" applyAlignment="0" applyProtection="0"/>
    <xf numFmtId="0" fontId="213" fillId="65" borderId="593" applyNumberFormat="0" applyAlignment="0" applyProtection="0"/>
    <xf numFmtId="0" fontId="216" fillId="78" borderId="244" applyNumberFormat="0" applyAlignment="0" applyProtection="0"/>
    <xf numFmtId="0" fontId="238" fillId="59" borderId="503" applyNumberFormat="0" applyAlignment="0" applyProtection="0"/>
    <xf numFmtId="0" fontId="153" fillId="0" borderId="411">
      <alignment horizontal="left" vertical="center"/>
    </xf>
    <xf numFmtId="182" fontId="225" fillId="0" borderId="610" applyFill="0" applyProtection="0"/>
    <xf numFmtId="0" fontId="203" fillId="81" borderId="540" applyNumberFormat="0" applyFont="0" applyAlignment="0" applyProtection="0"/>
    <xf numFmtId="0" fontId="213" fillId="65" borderId="413" applyNumberFormat="0" applyAlignment="0" applyProtection="0"/>
    <xf numFmtId="0" fontId="213" fillId="65" borderId="413" applyNumberFormat="0" applyAlignment="0" applyProtection="0"/>
    <xf numFmtId="0" fontId="203" fillId="81" borderId="279" applyNumberFormat="0" applyFont="0" applyAlignment="0" applyProtection="0"/>
    <xf numFmtId="0" fontId="203" fillId="81" borderId="522" applyNumberFormat="0" applyFont="0" applyAlignment="0" applyProtection="0"/>
    <xf numFmtId="0" fontId="216" fillId="78" borderId="433" applyNumberFormat="0" applyAlignment="0" applyProtection="0"/>
    <xf numFmtId="0" fontId="238" fillId="59" borderId="422" applyNumberFormat="0" applyAlignment="0" applyProtection="0"/>
    <xf numFmtId="0" fontId="203" fillId="81" borderId="558" applyNumberFormat="0" applyFont="0" applyAlignment="0" applyProtection="0"/>
    <xf numFmtId="0" fontId="176" fillId="81" borderId="279" applyNumberFormat="0" applyFont="0" applyAlignment="0" applyProtection="0"/>
    <xf numFmtId="0" fontId="213" fillId="65" borderId="341" applyNumberFormat="0" applyAlignment="0" applyProtection="0"/>
    <xf numFmtId="0" fontId="203" fillId="81" borderId="342" applyNumberFormat="0" applyFont="0" applyAlignment="0" applyProtection="0"/>
    <xf numFmtId="0" fontId="213" fillId="80" borderId="413" applyNumberFormat="0" applyAlignment="0" applyProtection="0"/>
    <xf numFmtId="0" fontId="174" fillId="0" borderId="427" applyNumberFormat="0" applyFill="0" applyAlignment="0" applyProtection="0"/>
    <xf numFmtId="0" fontId="213" fillId="65" borderId="386" applyNumberFormat="0" applyAlignment="0" applyProtection="0"/>
    <xf numFmtId="0" fontId="176" fillId="81" borderId="405" applyNumberFormat="0" applyFont="0" applyAlignment="0" applyProtection="0"/>
    <xf numFmtId="0" fontId="213" fillId="65" borderId="602" applyNumberFormat="0" applyAlignment="0" applyProtection="0"/>
    <xf numFmtId="0" fontId="174" fillId="0" borderId="517" applyNumberFormat="0" applyFill="0" applyAlignment="0" applyProtection="0"/>
    <xf numFmtId="0" fontId="254" fillId="80" borderId="512" applyNumberFormat="0" applyAlignment="0" applyProtection="0"/>
    <xf numFmtId="0" fontId="174" fillId="0" borderId="364" applyNumberFormat="0" applyFill="0" applyAlignment="0" applyProtection="0"/>
    <xf numFmtId="0" fontId="203" fillId="81" borderId="369" applyNumberFormat="0" applyFont="0" applyAlignment="0" applyProtection="0"/>
    <xf numFmtId="0" fontId="8" fillId="81" borderId="369" applyNumberFormat="0" applyFont="0" applyAlignment="0" applyProtection="0"/>
    <xf numFmtId="0" fontId="213" fillId="65" borderId="557" applyNumberFormat="0" applyAlignment="0" applyProtection="0"/>
    <xf numFmtId="0" fontId="213" fillId="80" borderId="377" applyNumberFormat="0" applyAlignment="0" applyProtection="0"/>
    <xf numFmtId="0" fontId="213" fillId="80" borderId="467" applyNumberFormat="0" applyAlignment="0" applyProtection="0"/>
    <xf numFmtId="0" fontId="203" fillId="81" borderId="522" applyNumberFormat="0" applyFont="0" applyAlignment="0" applyProtection="0"/>
    <xf numFmtId="0" fontId="213" fillId="65" borderId="548" applyNumberFormat="0" applyAlignment="0" applyProtection="0"/>
    <xf numFmtId="0" fontId="203" fillId="81" borderId="549" applyNumberFormat="0" applyFont="0" applyAlignment="0" applyProtection="0"/>
    <xf numFmtId="0" fontId="213" fillId="65" borderId="323" applyNumberFormat="0" applyAlignment="0" applyProtection="0"/>
    <xf numFmtId="0" fontId="203" fillId="81" borderId="288" applyNumberFormat="0" applyFont="0" applyAlignment="0" applyProtection="0"/>
    <xf numFmtId="0" fontId="153" fillId="0" borderId="321">
      <alignment horizontal="left" vertical="center"/>
    </xf>
    <xf numFmtId="0" fontId="203" fillId="81" borderId="387" applyNumberFormat="0" applyFont="0" applyAlignment="0" applyProtection="0"/>
    <xf numFmtId="0" fontId="206" fillId="78" borderId="278" applyNumberFormat="0" applyAlignment="0" applyProtection="0"/>
    <xf numFmtId="0" fontId="203" fillId="81" borderId="459" applyNumberFormat="0" applyFont="0" applyAlignment="0" applyProtection="0"/>
    <xf numFmtId="0" fontId="213" fillId="65" borderId="431" applyNumberFormat="0" applyAlignment="0" applyProtection="0"/>
    <xf numFmtId="0" fontId="206" fillId="78" borderId="287" applyNumberFormat="0" applyAlignment="0" applyProtection="0"/>
    <xf numFmtId="0" fontId="203" fillId="81" borderId="468" applyNumberFormat="0" applyFont="0" applyAlignment="0" applyProtection="0"/>
    <xf numFmtId="0" fontId="8" fillId="81" borderId="279" applyNumberFormat="0" applyFont="0" applyAlignment="0" applyProtection="0"/>
    <xf numFmtId="0" fontId="203" fillId="81" borderId="414" applyNumberFormat="0" applyFont="0" applyAlignment="0" applyProtection="0"/>
    <xf numFmtId="0" fontId="213" fillId="65" borderId="503" applyNumberFormat="0" applyAlignment="0" applyProtection="0"/>
    <xf numFmtId="0" fontId="213" fillId="65" borderId="287" applyNumberFormat="0" applyAlignment="0" applyProtection="0"/>
    <xf numFmtId="0" fontId="203" fillId="81" borderId="612" applyNumberFormat="0" applyFont="0" applyAlignment="0" applyProtection="0"/>
    <xf numFmtId="0" fontId="203" fillId="81" borderId="504" applyNumberFormat="0" applyFont="0" applyAlignment="0" applyProtection="0"/>
    <xf numFmtId="0" fontId="213" fillId="65" borderId="467" applyNumberFormat="0" applyAlignment="0" applyProtection="0"/>
    <xf numFmtId="0" fontId="213" fillId="65" borderId="512" applyNumberFormat="0" applyAlignment="0" applyProtection="0"/>
    <xf numFmtId="0" fontId="216" fillId="78" borderId="568" applyNumberFormat="0" applyAlignment="0" applyProtection="0"/>
    <xf numFmtId="0" fontId="213" fillId="65" borderId="332" applyNumberFormat="0" applyAlignment="0" applyProtection="0"/>
    <xf numFmtId="0" fontId="203" fillId="81" borderId="468" applyNumberFormat="0" applyFont="0" applyAlignment="0" applyProtection="0"/>
    <xf numFmtId="0" fontId="213" fillId="65" borderId="332" applyNumberFormat="0" applyAlignment="0" applyProtection="0"/>
    <xf numFmtId="0" fontId="213" fillId="65" borderId="278" applyNumberFormat="0" applyAlignment="0" applyProtection="0"/>
    <xf numFmtId="0" fontId="203" fillId="81" borderId="603" applyNumberFormat="0" applyFont="0" applyAlignment="0" applyProtection="0"/>
    <xf numFmtId="0" fontId="213" fillId="65" borderId="278" applyNumberFormat="0" applyAlignment="0" applyProtection="0"/>
    <xf numFmtId="0" fontId="8" fillId="81" borderId="459" applyNumberFormat="0" applyFont="0" applyAlignment="0" applyProtection="0"/>
    <xf numFmtId="0" fontId="238" fillId="59" borderId="323" applyNumberFormat="0" applyAlignment="0" applyProtection="0"/>
    <xf numFmtId="0" fontId="213" fillId="65" borderId="503" applyNumberFormat="0" applyAlignment="0" applyProtection="0"/>
    <xf numFmtId="0" fontId="203" fillId="81" borderId="324" applyNumberFormat="0" applyFont="0" applyAlignment="0" applyProtection="0"/>
    <xf numFmtId="0" fontId="213" fillId="65" borderId="368" applyNumberFormat="0" applyAlignment="0" applyProtection="0"/>
    <xf numFmtId="0" fontId="213" fillId="65" borderId="503" applyNumberFormat="0" applyAlignment="0" applyProtection="0"/>
    <xf numFmtId="0" fontId="213" fillId="65" borderId="467" applyNumberFormat="0" applyAlignment="0" applyProtection="0"/>
    <xf numFmtId="200" fontId="225" fillId="0" borderId="556" applyFill="0" applyProtection="0"/>
    <xf numFmtId="0" fontId="213" fillId="65" borderId="593" applyNumberFormat="0" applyAlignment="0" applyProtection="0"/>
    <xf numFmtId="0" fontId="216" fillId="78" borderId="514" applyNumberFormat="0" applyAlignment="0" applyProtection="0"/>
    <xf numFmtId="0" fontId="216" fillId="78" borderId="352" applyNumberFormat="0" applyAlignment="0" applyProtection="0"/>
    <xf numFmtId="0" fontId="174" fillId="0" borderId="461" applyNumberFormat="0" applyFill="0" applyAlignment="0" applyProtection="0"/>
    <xf numFmtId="200" fontId="225" fillId="0" borderId="610" applyFill="0" applyProtection="0"/>
    <xf numFmtId="0" fontId="213" fillId="80" borderId="611" applyNumberFormat="0" applyAlignment="0" applyProtection="0"/>
    <xf numFmtId="0" fontId="203" fillId="81" borderId="369" applyNumberFormat="0" applyFont="0" applyAlignment="0" applyProtection="0"/>
    <xf numFmtId="0" fontId="203" fillId="81" borderId="513" applyNumberFormat="0" applyFont="0" applyAlignment="0" applyProtection="0"/>
    <xf numFmtId="182" fontId="225" fillId="0" borderId="457" applyFill="0" applyProtection="0"/>
    <xf numFmtId="0" fontId="203" fillId="81" borderId="432" applyNumberFormat="0" applyFont="0" applyAlignment="0" applyProtection="0"/>
    <xf numFmtId="0" fontId="153" fillId="0" borderId="339">
      <alignment horizontal="left" vertical="center"/>
    </xf>
    <xf numFmtId="0" fontId="203" fillId="81" borderId="594" applyNumberFormat="0" applyFont="0" applyAlignment="0" applyProtection="0"/>
    <xf numFmtId="0" fontId="213" fillId="65" borderId="377" applyNumberFormat="0" applyAlignment="0" applyProtection="0"/>
    <xf numFmtId="0" fontId="203" fillId="81" borderId="504" applyNumberFormat="0" applyFont="0" applyAlignment="0" applyProtection="0"/>
    <xf numFmtId="0" fontId="178" fillId="0" borderId="293" applyProtection="0"/>
    <xf numFmtId="200" fontId="225" fillId="0" borderId="565" applyFill="0" applyProtection="0"/>
    <xf numFmtId="0" fontId="213" fillId="65" borderId="422" applyNumberFormat="0" applyAlignment="0" applyProtection="0"/>
    <xf numFmtId="0" fontId="203" fillId="81" borderId="549" applyNumberFormat="0" applyFont="0" applyAlignment="0" applyProtection="0"/>
    <xf numFmtId="0" fontId="216" fillId="78" borderId="523" applyNumberFormat="0" applyAlignment="0" applyProtection="0"/>
    <xf numFmtId="0" fontId="203" fillId="81" borderId="279" applyNumberFormat="0" applyFont="0" applyAlignment="0" applyProtection="0"/>
    <xf numFmtId="0" fontId="238" fillId="59" borderId="323" applyNumberFormat="0" applyAlignment="0" applyProtection="0"/>
    <xf numFmtId="0" fontId="174" fillId="0" borderId="427" applyNumberFormat="0" applyFill="0" applyAlignment="0" applyProtection="0"/>
    <xf numFmtId="0" fontId="176" fillId="81" borderId="459" applyNumberFormat="0" applyFont="0" applyAlignment="0" applyProtection="0"/>
    <xf numFmtId="0" fontId="206" fillId="78" borderId="503" applyNumberFormat="0" applyAlignment="0" applyProtection="0"/>
    <xf numFmtId="0" fontId="216" fillId="59" borderId="460" applyNumberFormat="0" applyAlignment="0" applyProtection="0"/>
    <xf numFmtId="0" fontId="206" fillId="78" borderId="332" applyNumberFormat="0" applyAlignment="0" applyProtection="0"/>
    <xf numFmtId="0" fontId="213" fillId="65" borderId="593" applyNumberFormat="0" applyAlignment="0" applyProtection="0"/>
    <xf numFmtId="0" fontId="244" fillId="0" borderId="547" applyNumberFormat="0" applyFont="0" applyFill="0" applyAlignment="0" applyProtection="0"/>
    <xf numFmtId="0" fontId="213" fillId="65" borderId="593" applyNumberFormat="0" applyAlignment="0" applyProtection="0"/>
    <xf numFmtId="0" fontId="203" fillId="81" borderId="369" applyNumberFormat="0" applyFont="0" applyAlignment="0" applyProtection="0"/>
    <xf numFmtId="200" fontId="225" fillId="0" borderId="277" applyFill="0" applyProtection="0"/>
    <xf numFmtId="0" fontId="213" fillId="65" borderId="368" applyNumberFormat="0" applyAlignment="0" applyProtection="0"/>
    <xf numFmtId="0" fontId="213" fillId="65" borderId="458" applyNumberFormat="0" applyAlignment="0" applyProtection="0"/>
    <xf numFmtId="0" fontId="176" fillId="81" borderId="558" applyNumberFormat="0" applyFont="0" applyAlignment="0" applyProtection="0"/>
    <xf numFmtId="0" fontId="213" fillId="65" borderId="593" applyNumberFormat="0" applyAlignment="0" applyProtection="0"/>
    <xf numFmtId="0" fontId="8" fillId="81" borderId="549" applyNumberFormat="0" applyFont="0" applyAlignment="0" applyProtection="0"/>
    <xf numFmtId="0" fontId="213" fillId="65" borderId="341" applyNumberFormat="0" applyAlignment="0" applyProtection="0"/>
    <xf numFmtId="0" fontId="213" fillId="65" borderId="413" applyNumberFormat="0" applyAlignment="0" applyProtection="0"/>
    <xf numFmtId="0" fontId="203" fillId="81" borderId="306" applyNumberFormat="0" applyFont="0" applyAlignment="0" applyProtection="0"/>
    <xf numFmtId="0" fontId="216" fillId="78" borderId="280" applyNumberFormat="0" applyAlignment="0" applyProtection="0"/>
    <xf numFmtId="0" fontId="213" fillId="65" borderId="548" applyNumberFormat="0" applyAlignment="0" applyProtection="0"/>
    <xf numFmtId="0" fontId="203" fillId="81" borderId="423" applyNumberFormat="0" applyFont="0" applyAlignment="0" applyProtection="0"/>
    <xf numFmtId="0" fontId="213" fillId="65" borderId="548" applyNumberFormat="0" applyAlignment="0" applyProtection="0"/>
    <xf numFmtId="0" fontId="213" fillId="65" borderId="287" applyNumberFormat="0" applyAlignment="0" applyProtection="0"/>
    <xf numFmtId="0" fontId="213" fillId="65" borderId="602" applyNumberFormat="0" applyAlignment="0" applyProtection="0"/>
    <xf numFmtId="0" fontId="206" fillId="78" borderId="377" applyNumberFormat="0" applyAlignment="0" applyProtection="0"/>
    <xf numFmtId="0" fontId="213" fillId="65" borderId="431" applyNumberFormat="0" applyAlignment="0" applyProtection="0"/>
    <xf numFmtId="0" fontId="203" fillId="81" borderId="549" applyNumberFormat="0" applyFont="0" applyAlignment="0" applyProtection="0"/>
    <xf numFmtId="0" fontId="213" fillId="65" borderId="323" applyNumberFormat="0" applyAlignment="0" applyProtection="0"/>
    <xf numFmtId="0" fontId="203" fillId="81" borderId="333" applyNumberFormat="0" applyFont="0" applyAlignment="0" applyProtection="0"/>
    <xf numFmtId="0" fontId="213" fillId="65" borderId="548" applyNumberFormat="0" applyAlignment="0" applyProtection="0"/>
    <xf numFmtId="0" fontId="206" fillId="78" borderId="323" applyNumberFormat="0" applyAlignment="0" applyProtection="0"/>
    <xf numFmtId="0" fontId="206" fillId="78" borderId="458" applyNumberFormat="0" applyAlignment="0" applyProtection="0"/>
    <xf numFmtId="0" fontId="203" fillId="81" borderId="594" applyNumberFormat="0" applyFont="0" applyAlignment="0" applyProtection="0"/>
    <xf numFmtId="0" fontId="213" fillId="65" borderId="332" applyNumberFormat="0" applyAlignment="0" applyProtection="0"/>
    <xf numFmtId="0" fontId="213" fillId="65" borderId="368" applyNumberFormat="0" applyAlignment="0" applyProtection="0"/>
    <xf numFmtId="200" fontId="225" fillId="0" borderId="457" applyFill="0" applyProtection="0"/>
    <xf numFmtId="0" fontId="203" fillId="81" borderId="324" applyNumberFormat="0" applyFont="0" applyAlignment="0" applyProtection="0"/>
    <xf numFmtId="0" fontId="213" fillId="65" borderId="458" applyNumberFormat="0" applyAlignment="0" applyProtection="0"/>
    <xf numFmtId="0" fontId="213" fillId="65" borderId="368" applyNumberFormat="0" applyAlignment="0" applyProtection="0"/>
    <xf numFmtId="0" fontId="8" fillId="81" borderId="612" applyNumberFormat="0" applyFont="0" applyAlignment="0" applyProtection="0"/>
    <xf numFmtId="0" fontId="203" fillId="81" borderId="306" applyNumberFormat="0" applyFont="0" applyAlignment="0" applyProtection="0"/>
    <xf numFmtId="0" fontId="213" fillId="65" borderId="593" applyNumberFormat="0" applyAlignment="0" applyProtection="0"/>
    <xf numFmtId="0" fontId="174" fillId="0" borderId="571" applyNumberFormat="0" applyFill="0" applyAlignment="0" applyProtection="0"/>
    <xf numFmtId="0" fontId="213" fillId="65" borderId="611" applyNumberFormat="0" applyAlignment="0" applyProtection="0"/>
    <xf numFmtId="0" fontId="176" fillId="81" borderId="567" applyNumberFormat="0" applyFont="0" applyAlignment="0" applyProtection="0"/>
    <xf numFmtId="0" fontId="213" fillId="65" borderId="521" applyNumberFormat="0" applyAlignment="0" applyProtection="0"/>
    <xf numFmtId="0" fontId="203" fillId="81" borderId="468" applyNumberFormat="0" applyFont="0" applyAlignment="0" applyProtection="0"/>
    <xf numFmtId="0" fontId="203" fillId="81" borderId="549" applyNumberFormat="0" applyFont="0" applyAlignment="0" applyProtection="0"/>
    <xf numFmtId="0" fontId="203" fillId="81" borderId="567" applyNumberFormat="0" applyFont="0" applyAlignment="0" applyProtection="0"/>
    <xf numFmtId="0" fontId="213" fillId="65" borderId="413" applyNumberFormat="0" applyAlignment="0" applyProtection="0"/>
    <xf numFmtId="0" fontId="229" fillId="83" borderId="553" applyAlignment="0">
      <alignment horizontal="center"/>
    </xf>
    <xf numFmtId="0" fontId="203" fillId="81" borderId="585" applyNumberFormat="0" applyFont="0" applyAlignment="0" applyProtection="0"/>
    <xf numFmtId="0" fontId="213" fillId="65" borderId="332" applyNumberFormat="0" applyAlignment="0" applyProtection="0"/>
    <xf numFmtId="200" fontId="225" fillId="0" borderId="277" applyFill="0" applyProtection="0"/>
    <xf numFmtId="0" fontId="203" fillId="81" borderId="567" applyNumberFormat="0" applyFont="0" applyAlignment="0" applyProtection="0"/>
    <xf numFmtId="0" fontId="213" fillId="65" borderId="494" applyNumberFormat="0" applyAlignment="0" applyProtection="0"/>
    <xf numFmtId="0" fontId="206" fillId="78" borderId="413" applyNumberFormat="0" applyAlignment="0" applyProtection="0"/>
    <xf numFmtId="182" fontId="225" fillId="0" borderId="322" applyFill="0" applyProtection="0"/>
    <xf numFmtId="0" fontId="203" fillId="81" borderId="423" applyNumberFormat="0" applyFont="0" applyAlignment="0" applyProtection="0"/>
    <xf numFmtId="0" fontId="203" fillId="81" borderId="333" applyNumberFormat="0" applyFont="0" applyAlignment="0" applyProtection="0"/>
    <xf numFmtId="200" fontId="225" fillId="0" borderId="502" applyFill="0" applyProtection="0"/>
    <xf numFmtId="0" fontId="213" fillId="65" borderId="278" applyNumberFormat="0" applyAlignment="0" applyProtection="0"/>
    <xf numFmtId="0" fontId="213" fillId="65" borderId="269" applyNumberFormat="0" applyAlignment="0" applyProtection="0"/>
    <xf numFmtId="0" fontId="203" fillId="81" borderId="225" applyNumberFormat="0" applyFont="0" applyAlignment="0" applyProtection="0"/>
    <xf numFmtId="0" fontId="203" fillId="81" borderId="513" applyNumberFormat="0" applyFont="0" applyAlignment="0" applyProtection="0"/>
    <xf numFmtId="0" fontId="213" fillId="65" borderId="368" applyNumberFormat="0" applyAlignment="0" applyProtection="0"/>
    <xf numFmtId="182" fontId="225" fillId="0" borderId="367" applyFill="0" applyProtection="0"/>
    <xf numFmtId="0" fontId="213" fillId="65" borderId="476" applyNumberFormat="0" applyAlignment="0" applyProtection="0"/>
    <xf numFmtId="0" fontId="203" fillId="81" borderId="288" applyNumberFormat="0" applyFont="0" applyAlignment="0" applyProtection="0"/>
    <xf numFmtId="0" fontId="213" fillId="65" borderId="503" applyNumberFormat="0" applyAlignment="0" applyProtection="0"/>
    <xf numFmtId="0" fontId="203" fillId="81" borderId="360" applyNumberFormat="0" applyFont="0" applyAlignment="0" applyProtection="0"/>
    <xf numFmtId="0" fontId="203" fillId="81" borderId="513"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03" fillId="81" borderId="387" applyNumberFormat="0" applyFont="0" applyAlignment="0" applyProtection="0"/>
    <xf numFmtId="0" fontId="178" fillId="0" borderId="473" applyProtection="0"/>
    <xf numFmtId="200" fontId="225" fillId="0" borderId="610" applyFill="0" applyProtection="0"/>
    <xf numFmtId="0" fontId="203" fillId="81" borderId="225" applyNumberFormat="0" applyFont="0" applyAlignment="0" applyProtection="0"/>
    <xf numFmtId="0" fontId="229" fillId="83" borderId="300" applyAlignment="0">
      <alignment horizontal="center"/>
    </xf>
    <xf numFmtId="0" fontId="203" fillId="81" borderId="225" applyNumberFormat="0" applyFont="0" applyAlignment="0" applyProtection="0"/>
    <xf numFmtId="0" fontId="203" fillId="81" borderId="225" applyNumberFormat="0" applyFon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80" borderId="242" applyNumberFormat="0" applyAlignment="0" applyProtection="0"/>
    <xf numFmtId="0" fontId="213" fillId="65" borderId="242" applyNumberFormat="0" applyAlignment="0" applyProtection="0"/>
    <xf numFmtId="0" fontId="213" fillId="80" borderId="242" applyNumberFormat="0" applyAlignment="0" applyProtection="0"/>
    <xf numFmtId="0" fontId="8" fillId="81" borderId="243" applyNumberFormat="0" applyFont="0" applyAlignment="0" applyProtection="0"/>
    <xf numFmtId="0" fontId="176"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176" fillId="81" borderId="243" applyNumberFormat="0" applyFont="0" applyAlignment="0" applyProtection="0"/>
    <xf numFmtId="0" fontId="216" fillId="59" borderId="244" applyNumberFormat="0" applyAlignment="0" applyProtection="0"/>
    <xf numFmtId="0" fontId="174" fillId="0" borderId="246" applyNumberFormat="0" applyFill="0" applyAlignment="0" applyProtection="0"/>
    <xf numFmtId="0" fontId="206" fillId="78" borderId="242" applyNumberFormat="0" applyAlignment="0" applyProtection="0"/>
    <xf numFmtId="0" fontId="206" fillId="78" borderId="242" applyNumberFormat="0" applyAlignment="0" applyProtection="0"/>
    <xf numFmtId="182" fontId="225" fillId="0" borderId="241" applyFill="0" applyProtection="0"/>
    <xf numFmtId="182" fontId="225" fillId="0" borderId="241" applyFill="0" applyProtection="0"/>
    <xf numFmtId="182" fontId="225" fillId="0" borderId="241" applyFill="0" applyProtection="0"/>
    <xf numFmtId="200" fontId="225" fillId="0" borderId="241" applyFill="0" applyProtection="0"/>
    <xf numFmtId="200" fontId="225" fillId="0" borderId="241" applyFill="0" applyProtection="0"/>
    <xf numFmtId="200" fontId="225" fillId="0" borderId="241" applyFill="0" applyProtection="0"/>
    <xf numFmtId="0" fontId="153" fillId="0" borderId="240">
      <alignment horizontal="left" vertical="center"/>
    </xf>
    <xf numFmtId="0" fontId="229" fillId="83" borderId="247" applyAlignment="0">
      <alignment horizontal="center"/>
    </xf>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29" fillId="83" borderId="247" applyAlignment="0">
      <alignment horizontal="center"/>
    </xf>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16" fillId="78" borderId="226" applyNumberFormat="0" applyAlignment="0" applyProtection="0"/>
    <xf numFmtId="0" fontId="174" fillId="0" borderId="229" applyNumberFormat="0" applyFill="0" applyAlignment="0" applyProtection="0"/>
    <xf numFmtId="0" fontId="229" fillId="83" borderId="247" applyAlignment="0">
      <alignment horizontal="center"/>
    </xf>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13" fillId="65" borderId="224" applyNumberForma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6" fillId="78" borderId="224" applyNumberFormat="0" applyAlignment="0" applyProtection="0"/>
    <xf numFmtId="0" fontId="176" fillId="81" borderId="225" applyNumberFormat="0" applyFont="0" applyAlignment="0" applyProtection="0"/>
    <xf numFmtId="0" fontId="238" fillId="59" borderId="224" applyNumberFormat="0" applyAlignment="0" applyProtection="0"/>
    <xf numFmtId="0" fontId="213" fillId="80" borderId="224" applyNumberFormat="0" applyAlignment="0" applyProtection="0"/>
    <xf numFmtId="0" fontId="8" fillId="81" borderId="225" applyNumberFormat="0" applyFont="0" applyAlignment="0" applyProtection="0"/>
    <xf numFmtId="0" fontId="216" fillId="59" borderId="226" applyNumberFormat="0" applyAlignment="0" applyProtection="0"/>
    <xf numFmtId="0" fontId="174" fillId="0" borderId="227" applyNumberFormat="0" applyFill="0" applyAlignment="0" applyProtection="0"/>
    <xf numFmtId="0" fontId="213" fillId="80" borderId="224" applyNumberFormat="0" applyAlignment="0" applyProtection="0"/>
    <xf numFmtId="0" fontId="229" fillId="83" borderId="247" applyAlignment="0">
      <alignment horizontal="center"/>
    </xf>
    <xf numFmtId="0" fontId="176" fillId="81" borderId="225" applyNumberFormat="0" applyFont="0" applyAlignment="0" applyProtection="0"/>
    <xf numFmtId="0" fontId="213" fillId="65" borderId="242" applyNumberFormat="0" applyAlignment="0" applyProtection="0"/>
    <xf numFmtId="0" fontId="216" fillId="78" borderId="244" applyNumberFormat="0" applyAlignment="0" applyProtection="0"/>
    <xf numFmtId="0" fontId="174" fillId="0" borderId="245" applyNumberFormat="0" applyFill="0" applyAlignment="0" applyProtection="0"/>
    <xf numFmtId="0" fontId="216" fillId="78" borderId="244" applyNumberFormat="0" applyAlignment="0" applyProtection="0"/>
    <xf numFmtId="0" fontId="174" fillId="0" borderId="245" applyNumberFormat="0" applyFill="0" applyAlignment="0" applyProtection="0"/>
    <xf numFmtId="182" fontId="225" fillId="0" borderId="241" applyFill="0" applyProtection="0"/>
    <xf numFmtId="200" fontId="225" fillId="0" borderId="241" applyFill="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03" fillId="81" borderId="243" applyNumberFormat="0" applyFont="0" applyAlignment="0" applyProtection="0"/>
    <xf numFmtId="0" fontId="213" fillId="65" borderId="242" applyNumberFormat="0" applyAlignment="0" applyProtection="0"/>
    <xf numFmtId="0" fontId="203" fillId="81" borderId="243" applyNumberFormat="0" applyFont="0" applyAlignment="0" applyProtection="0"/>
    <xf numFmtId="0" fontId="216" fillId="78" borderId="244" applyNumberFormat="0" applyAlignment="0" applyProtection="0"/>
    <xf numFmtId="0" fontId="174" fillId="0" borderId="245" applyNumberFormat="0" applyFill="0" applyAlignment="0" applyProtection="0"/>
    <xf numFmtId="0" fontId="249" fillId="59" borderId="242" applyNumberFormat="0" applyAlignment="0" applyProtection="0"/>
    <xf numFmtId="0" fontId="254" fillId="80" borderId="242" applyNumberFormat="0" applyAlignment="0" applyProtection="0"/>
    <xf numFmtId="0" fontId="257" fillId="59" borderId="244" applyNumberFormat="0" applyAlignment="0" applyProtection="0"/>
    <xf numFmtId="0" fontId="244" fillId="0" borderId="241" applyNumberFormat="0" applyFont="0" applyFill="0" applyAlignment="0" applyProtection="0"/>
    <xf numFmtId="0" fontId="178" fillId="0" borderId="248" applyProtection="0"/>
    <xf numFmtId="0" fontId="176" fillId="81" borderId="243" applyNumberFormat="0" applyFont="0" applyAlignment="0" applyProtection="0"/>
    <xf numFmtId="0" fontId="8" fillId="81" borderId="243" applyNumberFormat="0" applyFont="0" applyAlignment="0" applyProtection="0"/>
    <xf numFmtId="182" fontId="225" fillId="0" borderId="241" applyFill="0" applyProtection="0"/>
    <xf numFmtId="200" fontId="225" fillId="0" borderId="241" applyFill="0" applyProtection="0"/>
    <xf numFmtId="0" fontId="213" fillId="65" borderId="242" applyNumberFormat="0" applyAlignment="0" applyProtection="0"/>
    <xf numFmtId="0" fontId="203" fillId="81" borderId="243" applyNumberFormat="0" applyFont="0" applyAlignment="0" applyProtection="0"/>
    <xf numFmtId="0" fontId="203" fillId="81" borderId="243" applyNumberFormat="0" applyFont="0" applyAlignment="0" applyProtection="0"/>
    <xf numFmtId="182" fontId="225" fillId="0" borderId="241" applyFill="0" applyProtection="0"/>
    <xf numFmtId="200" fontId="225" fillId="0" borderId="241" applyFill="0" applyProtection="0"/>
    <xf numFmtId="0" fontId="153" fillId="0" borderId="240">
      <alignment horizontal="left" vertical="center"/>
    </xf>
    <xf numFmtId="0" fontId="203" fillId="81" borderId="243" applyNumberFormat="0" applyFont="0" applyAlignment="0" applyProtection="0"/>
    <xf numFmtId="0" fontId="153" fillId="0" borderId="240">
      <alignment horizontal="left" vertical="center"/>
    </xf>
    <xf numFmtId="0" fontId="213" fillId="80" borderId="242" applyNumberFormat="0" applyAlignment="0" applyProtection="0"/>
    <xf numFmtId="0" fontId="8" fillId="81" borderId="243" applyNumberFormat="0" applyFont="0" applyAlignment="0" applyProtection="0"/>
    <xf numFmtId="182" fontId="225" fillId="0" borderId="241" applyFill="0" applyProtection="0"/>
    <xf numFmtId="200" fontId="225" fillId="0" borderId="241" applyFill="0" applyProtection="0"/>
    <xf numFmtId="182" fontId="225" fillId="0" borderId="241" applyFill="0" applyProtection="0"/>
    <xf numFmtId="200" fontId="225" fillId="0" borderId="241" applyFill="0" applyProtection="0"/>
    <xf numFmtId="0" fontId="153" fillId="0" borderId="240">
      <alignment horizontal="left" vertical="center"/>
    </xf>
    <xf numFmtId="0" fontId="203" fillId="81" borderId="225" applyNumberFormat="0" applyFont="0" applyAlignment="0" applyProtection="0"/>
    <xf numFmtId="182" fontId="225" fillId="0" borderId="241" applyFill="0" applyProtection="0"/>
    <xf numFmtId="200" fontId="225" fillId="0" borderId="241" applyFill="0" applyProtection="0"/>
    <xf numFmtId="0" fontId="176" fillId="81" borderId="243" applyNumberFormat="0" applyFont="0" applyAlignment="0" applyProtection="0"/>
    <xf numFmtId="0" fontId="203" fillId="81" borderId="243"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03" fillId="81" borderId="225" applyNumberFormat="0" applyFont="0" applyAlignment="0" applyProtection="0"/>
    <xf numFmtId="0" fontId="213" fillId="65" borderId="242" applyNumberFormat="0" applyAlignment="0" applyProtection="0"/>
    <xf numFmtId="0" fontId="254" fillId="80" borderId="566" applyNumberFormat="0" applyAlignment="0" applyProtection="0"/>
    <xf numFmtId="0" fontId="203" fillId="81" borderId="594" applyNumberFormat="0" applyFont="0" applyAlignment="0" applyProtection="0"/>
    <xf numFmtId="0" fontId="174" fillId="0" borderId="409" applyNumberFormat="0" applyFill="0" applyAlignment="0" applyProtection="0"/>
    <xf numFmtId="0" fontId="216" fillId="59" borderId="460" applyNumberFormat="0" applyAlignment="0" applyProtection="0"/>
    <xf numFmtId="0" fontId="213" fillId="80" borderId="476" applyNumberFormat="0" applyAlignment="0" applyProtection="0"/>
    <xf numFmtId="0" fontId="213" fillId="65" borderId="467" applyNumberFormat="0" applyAlignment="0" applyProtection="0"/>
    <xf numFmtId="0" fontId="213" fillId="65" borderId="323" applyNumberFormat="0" applyAlignment="0" applyProtection="0"/>
    <xf numFmtId="0" fontId="213" fillId="65" borderId="377" applyNumberFormat="0" applyAlignment="0" applyProtection="0"/>
    <xf numFmtId="0" fontId="213" fillId="65" borderId="593" applyNumberFormat="0" applyAlignment="0" applyProtection="0"/>
    <xf numFmtId="0" fontId="238" fillId="59" borderId="251" applyNumberFormat="0" applyAlignment="0" applyProtection="0"/>
    <xf numFmtId="0" fontId="213" fillId="65" borderId="413" applyNumberFormat="0" applyAlignment="0" applyProtection="0"/>
    <xf numFmtId="0" fontId="213" fillId="65" borderId="503" applyNumberFormat="0" applyAlignment="0" applyProtection="0"/>
    <xf numFmtId="0" fontId="203" fillId="81" borderId="495" applyNumberFormat="0" applyFont="0" applyAlignment="0" applyProtection="0"/>
    <xf numFmtId="182" fontId="225" fillId="0" borderId="457" applyFill="0" applyProtection="0"/>
    <xf numFmtId="0" fontId="229" fillId="83" borderId="291" applyAlignment="0">
      <alignment horizontal="center"/>
    </xf>
    <xf numFmtId="0" fontId="153" fillId="0" borderId="555">
      <alignment horizontal="left" vertical="center"/>
    </xf>
    <xf numFmtId="0" fontId="203" fillId="81" borderId="468" applyNumberFormat="0" applyFont="0" applyAlignment="0" applyProtection="0"/>
    <xf numFmtId="0" fontId="213" fillId="65" borderId="602" applyNumberFormat="0" applyAlignment="0" applyProtection="0"/>
    <xf numFmtId="0" fontId="206" fillId="78" borderId="323" applyNumberFormat="0" applyAlignment="0" applyProtection="0"/>
    <xf numFmtId="0" fontId="213" fillId="65" borderId="368" applyNumberFormat="0" applyAlignment="0" applyProtection="0"/>
    <xf numFmtId="182" fontId="225" fillId="0" borderId="520" applyFill="0" applyProtection="0"/>
    <xf numFmtId="0" fontId="213" fillId="65" borderId="278" applyNumberFormat="0" applyAlignment="0" applyProtection="0"/>
    <xf numFmtId="0" fontId="213" fillId="65" borderId="611" applyNumberFormat="0" applyAlignment="0" applyProtection="0"/>
    <xf numFmtId="0" fontId="238" fillId="59" borderId="458" applyNumberFormat="0" applyAlignment="0" applyProtection="0"/>
    <xf numFmtId="0" fontId="213" fillId="65" borderId="332" applyNumberFormat="0" applyAlignment="0" applyProtection="0"/>
    <xf numFmtId="0" fontId="213" fillId="65" borderId="323" applyNumberFormat="0" applyAlignment="0" applyProtection="0"/>
    <xf numFmtId="0" fontId="213" fillId="65" borderId="386" applyNumberFormat="0" applyAlignment="0" applyProtection="0"/>
    <xf numFmtId="0" fontId="213" fillId="65" borderId="323" applyNumberFormat="0" applyAlignment="0" applyProtection="0"/>
    <xf numFmtId="0" fontId="213" fillId="65" borderId="287" applyNumberFormat="0" applyAlignment="0" applyProtection="0"/>
    <xf numFmtId="0" fontId="216" fillId="78" borderId="613" applyNumberFormat="0" applyAlignment="0" applyProtection="0"/>
    <xf numFmtId="0" fontId="213" fillId="65" borderId="242" applyNumberFormat="0" applyAlignment="0" applyProtection="0"/>
    <xf numFmtId="0" fontId="229" fillId="83" borderId="471" applyAlignment="0">
      <alignment horizontal="center"/>
    </xf>
    <xf numFmtId="0" fontId="8" fillId="81" borderId="369" applyNumberFormat="0" applyFont="0" applyAlignment="0" applyProtection="0"/>
    <xf numFmtId="0" fontId="229" fillId="83" borderId="508" applyAlignment="0">
      <alignment horizontal="center"/>
    </xf>
    <xf numFmtId="0" fontId="203" fillId="81" borderId="279" applyNumberFormat="0" applyFont="0" applyAlignment="0" applyProtection="0"/>
    <xf numFmtId="0" fontId="213" fillId="65" borderId="413" applyNumberFormat="0" applyAlignment="0" applyProtection="0"/>
    <xf numFmtId="0" fontId="244" fillId="0" borderId="592" applyNumberFormat="0" applyFont="0" applyFill="0" applyAlignment="0" applyProtection="0"/>
    <xf numFmtId="0" fontId="254" fillId="80" borderId="593" applyNumberFormat="0" applyAlignment="0" applyProtection="0"/>
    <xf numFmtId="0" fontId="203" fillId="81" borderId="387" applyNumberFormat="0" applyFont="0" applyAlignment="0" applyProtection="0"/>
    <xf numFmtId="0" fontId="213" fillId="65" borderId="521" applyNumberFormat="0" applyAlignment="0" applyProtection="0"/>
    <xf numFmtId="0" fontId="216" fillId="59" borderId="424" applyNumberFormat="0" applyAlignment="0" applyProtection="0"/>
    <xf numFmtId="0" fontId="153" fillId="0" borderId="411">
      <alignment horizontal="left" vertical="center"/>
    </xf>
    <xf numFmtId="0" fontId="213" fillId="65" borderId="377" applyNumberFormat="0" applyAlignment="0" applyProtection="0"/>
    <xf numFmtId="0" fontId="216" fillId="59" borderId="460" applyNumberFormat="0" applyAlignment="0" applyProtection="0"/>
    <xf numFmtId="0" fontId="213" fillId="65" borderId="413" applyNumberFormat="0" applyAlignment="0" applyProtection="0"/>
    <xf numFmtId="0" fontId="203" fillId="81" borderId="378" applyNumberFormat="0" applyFont="0" applyAlignment="0" applyProtection="0"/>
    <xf numFmtId="0" fontId="213" fillId="65" borderId="512" applyNumberFormat="0" applyAlignment="0" applyProtection="0"/>
    <xf numFmtId="0" fontId="244" fillId="0" borderId="592" applyNumberFormat="0" applyFont="0" applyFill="0" applyAlignment="0" applyProtection="0"/>
    <xf numFmtId="200" fontId="225" fillId="0" borderId="511" applyFill="0" applyProtection="0"/>
    <xf numFmtId="0" fontId="213" fillId="80" borderId="548" applyNumberFormat="0" applyAlignment="0" applyProtection="0"/>
    <xf numFmtId="0" fontId="213" fillId="65" borderId="593" applyNumberFormat="0" applyAlignment="0" applyProtection="0"/>
    <xf numFmtId="0" fontId="213" fillId="65" borderId="422" applyNumberFormat="0" applyAlignment="0" applyProtection="0"/>
    <xf numFmtId="182" fontId="225" fillId="0" borderId="322" applyFill="0" applyProtection="0"/>
    <xf numFmtId="0" fontId="203" fillId="81" borderId="459" applyNumberFormat="0" applyFont="0" applyAlignment="0" applyProtection="0"/>
    <xf numFmtId="0" fontId="203" fillId="81" borderId="333" applyNumberFormat="0" applyFont="0" applyAlignment="0" applyProtection="0"/>
    <xf numFmtId="0" fontId="213" fillId="65" borderId="422" applyNumberFormat="0" applyAlignment="0" applyProtection="0"/>
    <xf numFmtId="0" fontId="216" fillId="59" borderId="595" applyNumberFormat="0" applyAlignment="0" applyProtection="0"/>
    <xf numFmtId="0" fontId="238" fillId="59" borderId="368" applyNumberFormat="0" applyAlignment="0" applyProtection="0"/>
    <xf numFmtId="0" fontId="257" fillId="59" borderId="559" applyNumberFormat="0" applyAlignment="0" applyProtection="0"/>
    <xf numFmtId="0" fontId="213" fillId="65" borderId="602" applyNumberFormat="0" applyAlignment="0" applyProtection="0"/>
    <xf numFmtId="0" fontId="153" fillId="0" borderId="501">
      <alignment horizontal="left" vertical="center"/>
    </xf>
    <xf numFmtId="0" fontId="213" fillId="65" borderId="332" applyNumberFormat="0" applyAlignment="0" applyProtection="0"/>
    <xf numFmtId="0" fontId="203" fillId="81" borderId="540" applyNumberFormat="0" applyFont="0" applyAlignment="0" applyProtection="0"/>
    <xf numFmtId="200" fontId="225" fillId="0" borderId="610" applyFill="0" applyProtection="0"/>
    <xf numFmtId="0" fontId="238" fillId="59" borderId="548" applyNumberFormat="0" applyAlignment="0" applyProtection="0"/>
    <xf numFmtId="0" fontId="229" fillId="83" borderId="373" applyAlignment="0">
      <alignment horizontal="center"/>
    </xf>
    <xf numFmtId="0" fontId="213" fillId="65" borderId="368" applyNumberFormat="0" applyAlignment="0" applyProtection="0"/>
    <xf numFmtId="0" fontId="203" fillId="81" borderId="414" applyNumberFormat="0" applyFont="0" applyAlignment="0" applyProtection="0"/>
    <xf numFmtId="0" fontId="203" fillId="81" borderId="306" applyNumberFormat="0" applyFont="0" applyAlignment="0" applyProtection="0"/>
    <xf numFmtId="0" fontId="213" fillId="65" borderId="512" applyNumberFormat="0" applyAlignment="0" applyProtection="0"/>
    <xf numFmtId="0" fontId="203" fillId="81" borderId="369" applyNumberFormat="0" applyFont="0" applyAlignment="0" applyProtection="0"/>
    <xf numFmtId="0" fontId="206" fillId="78" borderId="368" applyNumberFormat="0" applyAlignment="0" applyProtection="0"/>
    <xf numFmtId="0" fontId="203" fillId="81" borderId="459" applyNumberFormat="0" applyFont="0" applyAlignment="0" applyProtection="0"/>
    <xf numFmtId="0" fontId="213" fillId="65" borderId="422" applyNumberFormat="0" applyAlignment="0" applyProtection="0"/>
    <xf numFmtId="0" fontId="176" fillId="81" borderId="594" applyNumberFormat="0" applyFont="0" applyAlignment="0" applyProtection="0"/>
    <xf numFmtId="0" fontId="203" fillId="81" borderId="522" applyNumberFormat="0" applyFont="0" applyAlignment="0" applyProtection="0"/>
    <xf numFmtId="0" fontId="213" fillId="65" borderId="431" applyNumberFormat="0" applyAlignment="0" applyProtection="0"/>
    <xf numFmtId="0" fontId="213" fillId="80" borderId="593" applyNumberFormat="0" applyAlignment="0" applyProtection="0"/>
    <xf numFmtId="0" fontId="174" fillId="0" borderId="571" applyNumberFormat="0" applyFill="0" applyAlignment="0" applyProtection="0"/>
    <xf numFmtId="0" fontId="203" fillId="81" borderId="567"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13" fillId="80" borderId="287" applyNumberFormat="0" applyAlignment="0" applyProtection="0"/>
    <xf numFmtId="200" fontId="225" fillId="0" borderId="421" applyFill="0" applyProtection="0"/>
    <xf numFmtId="0" fontId="174" fillId="0" borderId="409" applyNumberFormat="0" applyFill="0" applyAlignment="0" applyProtection="0"/>
    <xf numFmtId="0" fontId="176" fillId="81" borderId="567" applyNumberFormat="0" applyFont="0" applyAlignment="0" applyProtection="0"/>
    <xf numFmtId="200" fontId="225" fillId="0" borderId="376" applyFill="0" applyProtection="0"/>
    <xf numFmtId="0" fontId="203" fillId="81" borderId="333" applyNumberFormat="0" applyFont="0" applyAlignment="0" applyProtection="0"/>
    <xf numFmtId="0" fontId="203" fillId="81" borderId="504" applyNumberFormat="0" applyFont="0" applyAlignment="0" applyProtection="0"/>
    <xf numFmtId="0" fontId="213" fillId="65" borderId="287" applyNumberFormat="0" applyAlignment="0" applyProtection="0"/>
    <xf numFmtId="0" fontId="213" fillId="65" borderId="287" applyNumberFormat="0" applyAlignment="0" applyProtection="0"/>
    <xf numFmtId="0" fontId="203" fillId="81" borderId="414" applyNumberFormat="0" applyFont="0" applyAlignment="0" applyProtection="0"/>
    <xf numFmtId="0" fontId="249" fillId="59" borderId="386" applyNumberFormat="0" applyAlignment="0" applyProtection="0"/>
    <xf numFmtId="0" fontId="213" fillId="65" borderId="323" applyNumberFormat="0" applyAlignment="0" applyProtection="0"/>
    <xf numFmtId="0" fontId="216" fillId="59" borderId="550" applyNumberFormat="0" applyAlignment="0" applyProtection="0"/>
    <xf numFmtId="0" fontId="216" fillId="59" borderId="433" applyNumberFormat="0" applyAlignment="0" applyProtection="0"/>
    <xf numFmtId="0" fontId="216" fillId="78" borderId="514" applyNumberFormat="0" applyAlignment="0" applyProtection="0"/>
    <xf numFmtId="0" fontId="216" fillId="78" borderId="559" applyNumberFormat="0" applyAlignment="0" applyProtection="0"/>
    <xf numFmtId="0" fontId="213" fillId="65" borderId="503" applyNumberFormat="0" applyAlignment="0" applyProtection="0"/>
    <xf numFmtId="0" fontId="203" fillId="81" borderId="549" applyNumberFormat="0" applyFont="0" applyAlignment="0" applyProtection="0"/>
    <xf numFmtId="0" fontId="244" fillId="0" borderId="412" applyNumberFormat="0" applyFont="0" applyFill="0" applyAlignment="0" applyProtection="0"/>
    <xf numFmtId="0" fontId="213" fillId="65" borderId="422" applyNumberFormat="0" applyAlignment="0" applyProtection="0"/>
    <xf numFmtId="0" fontId="203" fillId="81" borderId="324" applyNumberFormat="0" applyFont="0" applyAlignment="0" applyProtection="0"/>
    <xf numFmtId="0" fontId="213" fillId="65" borderId="512" applyNumberFormat="0" applyAlignment="0" applyProtection="0"/>
    <xf numFmtId="0" fontId="153" fillId="0" borderId="384">
      <alignment horizontal="left" vertical="center"/>
    </xf>
    <xf numFmtId="182" fontId="225" fillId="0" borderId="466" applyFill="0" applyProtection="0"/>
    <xf numFmtId="0" fontId="213" fillId="65" borderId="377" applyNumberFormat="0" applyAlignment="0" applyProtection="0"/>
    <xf numFmtId="0" fontId="213" fillId="65" borderId="368" applyNumberFormat="0" applyAlignment="0" applyProtection="0"/>
    <xf numFmtId="0" fontId="153" fillId="0" borderId="375">
      <alignment horizontal="left" vertical="center"/>
    </xf>
    <xf numFmtId="0" fontId="229" fillId="83" borderId="453" applyAlignment="0">
      <alignment horizontal="center"/>
    </xf>
    <xf numFmtId="0" fontId="174" fillId="0" borderId="596" applyNumberFormat="0" applyFill="0" applyAlignment="0" applyProtection="0"/>
    <xf numFmtId="0" fontId="229" fillId="83" borderId="381" applyAlignment="0">
      <alignment horizontal="center"/>
    </xf>
    <xf numFmtId="0" fontId="203" fillId="81" borderId="414" applyNumberFormat="0" applyFont="0" applyAlignment="0" applyProtection="0"/>
    <xf numFmtId="0" fontId="213" fillId="65" borderId="422" applyNumberFormat="0" applyAlignment="0" applyProtection="0"/>
    <xf numFmtId="0" fontId="213" fillId="65" borderId="332" applyNumberFormat="0" applyAlignment="0" applyProtection="0"/>
    <xf numFmtId="0" fontId="213" fillId="65" borderId="323" applyNumberFormat="0" applyAlignment="0" applyProtection="0"/>
    <xf numFmtId="0" fontId="203" fillId="81" borderId="333" applyNumberFormat="0" applyFont="0" applyAlignment="0" applyProtection="0"/>
    <xf numFmtId="0" fontId="203" fillId="81" borderId="522" applyNumberFormat="0" applyFont="0" applyAlignment="0" applyProtection="0"/>
    <xf numFmtId="0" fontId="213" fillId="65" borderId="503" applyNumberFormat="0" applyAlignment="0" applyProtection="0"/>
    <xf numFmtId="0" fontId="203" fillId="81" borderId="378" applyNumberFormat="0" applyFont="0" applyAlignment="0" applyProtection="0"/>
    <xf numFmtId="0" fontId="213" fillId="65" borderId="593" applyNumberFormat="0" applyAlignment="0" applyProtection="0"/>
    <xf numFmtId="0" fontId="213" fillId="65" borderId="503" applyNumberFormat="0" applyAlignment="0" applyProtection="0"/>
    <xf numFmtId="0" fontId="153" fillId="0" borderId="456">
      <alignment horizontal="left" vertical="center"/>
    </xf>
    <xf numFmtId="0" fontId="203" fillId="81" borderId="549" applyNumberFormat="0" applyFont="0" applyAlignment="0" applyProtection="0"/>
    <xf numFmtId="0" fontId="206" fillId="78" borderId="593" applyNumberFormat="0" applyAlignment="0" applyProtection="0"/>
    <xf numFmtId="0" fontId="213" fillId="65" borderId="467" applyNumberFormat="0" applyAlignment="0" applyProtection="0"/>
    <xf numFmtId="0" fontId="238" fillId="59" borderId="548" applyNumberFormat="0" applyAlignment="0" applyProtection="0"/>
    <xf numFmtId="0" fontId="176" fillId="81" borderId="369" applyNumberFormat="0" applyFont="0" applyAlignment="0" applyProtection="0"/>
    <xf numFmtId="0" fontId="203" fillId="81" borderId="594" applyNumberFormat="0" applyFont="0" applyAlignment="0" applyProtection="0"/>
    <xf numFmtId="0" fontId="213" fillId="65" borderId="548" applyNumberFormat="0" applyAlignment="0" applyProtection="0"/>
    <xf numFmtId="0" fontId="213" fillId="65" borderId="422" applyNumberFormat="0" applyAlignment="0" applyProtection="0"/>
    <xf numFmtId="0" fontId="213" fillId="65" borderId="287" applyNumberFormat="0" applyAlignment="0" applyProtection="0"/>
    <xf numFmtId="0" fontId="203" fillId="81" borderId="360" applyNumberFormat="0" applyFont="0" applyAlignment="0" applyProtection="0"/>
    <xf numFmtId="0" fontId="213" fillId="80" borderId="287" applyNumberFormat="0" applyAlignment="0" applyProtection="0"/>
    <xf numFmtId="0" fontId="203" fillId="81" borderId="279" applyNumberFormat="0" applyFont="0" applyAlignment="0" applyProtection="0"/>
    <xf numFmtId="0" fontId="153" fillId="0" borderId="285">
      <alignment horizontal="left" vertical="center"/>
    </xf>
    <xf numFmtId="0" fontId="213" fillId="65" borderId="287" applyNumberFormat="0" applyAlignment="0" applyProtection="0"/>
    <xf numFmtId="0" fontId="213" fillId="65" borderId="287" applyNumberFormat="0" applyAlignment="0" applyProtection="0"/>
    <xf numFmtId="0" fontId="257" fillId="59" borderId="289" applyNumberFormat="0" applyAlignment="0" applyProtection="0"/>
    <xf numFmtId="0" fontId="213" fillId="65" borderId="287" applyNumberFormat="0" applyAlignment="0" applyProtection="0"/>
    <xf numFmtId="200" fontId="225" fillId="0" borderId="286" applyFill="0" applyProtection="0"/>
    <xf numFmtId="0" fontId="203" fillId="81" borderId="279" applyNumberFormat="0" applyFont="0" applyAlignment="0" applyProtection="0"/>
    <xf numFmtId="0" fontId="213" fillId="65" borderId="278" applyNumberFormat="0" applyAlignment="0" applyProtection="0"/>
    <xf numFmtId="0" fontId="213" fillId="65" borderId="287" applyNumberFormat="0" applyAlignment="0" applyProtection="0"/>
    <xf numFmtId="0" fontId="203" fillId="81" borderId="288" applyNumberFormat="0" applyFont="0" applyAlignment="0" applyProtection="0"/>
    <xf numFmtId="0" fontId="153" fillId="0" borderId="285">
      <alignment horizontal="left" vertical="center"/>
    </xf>
    <xf numFmtId="0" fontId="206" fillId="78" borderId="287" applyNumberFormat="0" applyAlignment="0" applyProtection="0"/>
    <xf numFmtId="0" fontId="203" fillId="81" borderId="288" applyNumberFormat="0" applyFont="0" applyAlignment="0" applyProtection="0"/>
    <xf numFmtId="0" fontId="213" fillId="65" borderId="287" applyNumberFormat="0" applyAlignment="0" applyProtection="0"/>
    <xf numFmtId="0" fontId="203" fillId="81" borderId="279" applyNumberFormat="0" applyFont="0" applyAlignment="0" applyProtection="0"/>
    <xf numFmtId="0" fontId="176" fillId="81" borderId="522" applyNumberFormat="0" applyFont="0" applyAlignment="0" applyProtection="0"/>
    <xf numFmtId="0" fontId="213" fillId="65" borderId="413" applyNumberFormat="0" applyAlignment="0" applyProtection="0"/>
    <xf numFmtId="0" fontId="176" fillId="81" borderId="459" applyNumberFormat="0" applyFont="0" applyAlignment="0" applyProtection="0"/>
    <xf numFmtId="0" fontId="8" fillId="81" borderId="594" applyNumberFormat="0" applyFont="0" applyAlignment="0" applyProtection="0"/>
    <xf numFmtId="0" fontId="213" fillId="65" borderId="611" applyNumberFormat="0" applyAlignment="0" applyProtection="0"/>
    <xf numFmtId="0" fontId="213" fillId="80" borderId="548" applyNumberFormat="0" applyAlignment="0" applyProtection="0"/>
    <xf numFmtId="182" fontId="225" fillId="0" borderId="430" applyFill="0" applyProtection="0"/>
    <xf numFmtId="0" fontId="254" fillId="80" borderId="368" applyNumberFormat="0" applyAlignment="0" applyProtection="0"/>
    <xf numFmtId="0" fontId="213" fillId="65" borderId="386" applyNumberFormat="0" applyAlignment="0" applyProtection="0"/>
    <xf numFmtId="0" fontId="203" fillId="81" borderId="450" applyNumberFormat="0" applyFont="0" applyAlignment="0" applyProtection="0"/>
    <xf numFmtId="0" fontId="203" fillId="81" borderId="594" applyNumberFormat="0" applyFont="0" applyAlignment="0" applyProtection="0"/>
    <xf numFmtId="0" fontId="213" fillId="65" borderId="566" applyNumberFormat="0" applyAlignment="0" applyProtection="0"/>
    <xf numFmtId="0" fontId="213" fillId="65" borderId="467" applyNumberFormat="0" applyAlignment="0" applyProtection="0"/>
    <xf numFmtId="0" fontId="206" fillId="78" borderId="386" applyNumberFormat="0" applyAlignment="0" applyProtection="0"/>
    <xf numFmtId="0" fontId="213" fillId="65" borderId="458" applyNumberFormat="0" applyAlignment="0" applyProtection="0"/>
    <xf numFmtId="0" fontId="213" fillId="65" borderId="512" applyNumberFormat="0" applyAlignment="0" applyProtection="0"/>
    <xf numFmtId="0" fontId="213" fillId="80" borderId="503" applyNumberFormat="0" applyAlignment="0" applyProtection="0"/>
    <xf numFmtId="0" fontId="8" fillId="81" borderId="468" applyNumberFormat="0" applyFont="0" applyAlignment="0" applyProtection="0"/>
    <xf numFmtId="200" fontId="225" fillId="0" borderId="547" applyFill="0" applyProtection="0"/>
    <xf numFmtId="0" fontId="213" fillId="65" borderId="422" applyNumberFormat="0" applyAlignment="0" applyProtection="0"/>
    <xf numFmtId="0" fontId="213" fillId="65" borderId="332" applyNumberFormat="0" applyAlignment="0" applyProtection="0"/>
    <xf numFmtId="0" fontId="203" fillId="81" borderId="594" applyNumberFormat="0" applyFont="0" applyAlignment="0" applyProtection="0"/>
    <xf numFmtId="200" fontId="225" fillId="0" borderId="367" applyFill="0" applyProtection="0"/>
    <xf numFmtId="0" fontId="213" fillId="65" borderId="458" applyNumberFormat="0" applyAlignment="0" applyProtection="0"/>
    <xf numFmtId="182" fontId="225" fillId="0" borderId="385" applyFill="0" applyProtection="0"/>
    <xf numFmtId="0" fontId="229" fillId="83" borderId="561" applyAlignment="0">
      <alignment horizontal="center"/>
    </xf>
    <xf numFmtId="0" fontId="153" fillId="0" borderId="510">
      <alignment horizontal="left" vertical="center"/>
    </xf>
    <xf numFmtId="0" fontId="203" fillId="81" borderId="477" applyNumberFormat="0" applyFont="0" applyAlignment="0" applyProtection="0"/>
    <xf numFmtId="0" fontId="8" fillId="81" borderId="414" applyNumberFormat="0" applyFont="0" applyAlignment="0" applyProtection="0"/>
    <xf numFmtId="0" fontId="203" fillId="81" borderId="387" applyNumberFormat="0" applyFont="0" applyAlignment="0" applyProtection="0"/>
    <xf numFmtId="200" fontId="225" fillId="0" borderId="331" applyFill="0" applyProtection="0"/>
    <xf numFmtId="0" fontId="213" fillId="65" borderId="512" applyNumberFormat="0" applyAlignment="0" applyProtection="0"/>
    <xf numFmtId="0" fontId="203" fillId="81" borderId="324" applyNumberFormat="0" applyFont="0" applyAlignment="0" applyProtection="0"/>
    <xf numFmtId="0" fontId="244" fillId="0" borderId="502" applyNumberFormat="0" applyFont="0" applyFill="0" applyAlignment="0" applyProtection="0"/>
    <xf numFmtId="0" fontId="213" fillId="65" borderId="368" applyNumberFormat="0" applyAlignment="0" applyProtection="0"/>
    <xf numFmtId="0" fontId="203" fillId="81" borderId="324" applyNumberFormat="0" applyFont="0" applyAlignment="0" applyProtection="0"/>
    <xf numFmtId="0" fontId="213" fillId="65" borderId="413" applyNumberFormat="0" applyAlignment="0" applyProtection="0"/>
    <xf numFmtId="0" fontId="203" fillId="81" borderId="369" applyNumberFormat="0" applyFont="0" applyAlignment="0" applyProtection="0"/>
    <xf numFmtId="0" fontId="213" fillId="65" borderId="458" applyNumberFormat="0" applyAlignment="0" applyProtection="0"/>
    <xf numFmtId="0" fontId="203" fillId="81" borderId="324" applyNumberFormat="0" applyFont="0" applyAlignment="0" applyProtection="0"/>
    <xf numFmtId="0" fontId="203" fillId="81" borderId="603" applyNumberFormat="0" applyFont="0" applyAlignment="0" applyProtection="0"/>
    <xf numFmtId="0" fontId="213" fillId="65" borderId="602" applyNumberFormat="0" applyAlignment="0" applyProtection="0"/>
    <xf numFmtId="0" fontId="213" fillId="65" borderId="386" applyNumberFormat="0" applyAlignment="0" applyProtection="0"/>
    <xf numFmtId="0" fontId="213" fillId="65" borderId="548" applyNumberFormat="0" applyAlignment="0" applyProtection="0"/>
    <xf numFmtId="0" fontId="216" fillId="59" borderId="505" applyNumberFormat="0" applyAlignment="0" applyProtection="0"/>
    <xf numFmtId="0" fontId="213" fillId="65" borderId="602" applyNumberFormat="0" applyAlignment="0" applyProtection="0"/>
    <xf numFmtId="0" fontId="213" fillId="80" borderId="548" applyNumberFormat="0" applyAlignment="0" applyProtection="0"/>
    <xf numFmtId="0" fontId="213" fillId="65" borderId="386" applyNumberFormat="0" applyAlignment="0" applyProtection="0"/>
    <xf numFmtId="0" fontId="203" fillId="81" borderId="513" applyNumberFormat="0" applyFont="0" applyAlignment="0" applyProtection="0"/>
    <xf numFmtId="0" fontId="216" fillId="59" borderId="280" applyNumberFormat="0" applyAlignment="0" applyProtection="0"/>
    <xf numFmtId="0" fontId="238" fillId="59" borderId="323" applyNumberFormat="0" applyAlignment="0" applyProtection="0"/>
    <xf numFmtId="0" fontId="203" fillId="81" borderId="477" applyNumberFormat="0" applyFont="0" applyAlignment="0" applyProtection="0"/>
    <xf numFmtId="0" fontId="213" fillId="80" borderId="557" applyNumberFormat="0" applyAlignment="0" applyProtection="0"/>
    <xf numFmtId="0" fontId="213" fillId="65" borderId="278" applyNumberFormat="0" applyAlignment="0" applyProtection="0"/>
    <xf numFmtId="0" fontId="216" fillId="59" borderId="280" applyNumberFormat="0" applyAlignment="0" applyProtection="0"/>
    <xf numFmtId="0" fontId="238" fillId="59" borderId="548" applyNumberFormat="0" applyAlignment="0" applyProtection="0"/>
    <xf numFmtId="0" fontId="213" fillId="65" borderId="323" applyNumberFormat="0" applyAlignment="0" applyProtection="0"/>
    <xf numFmtId="0" fontId="213" fillId="65" borderId="503" applyNumberFormat="0" applyAlignment="0" applyProtection="0"/>
    <xf numFmtId="0" fontId="203" fillId="81" borderId="387" applyNumberFormat="0" applyFont="0" applyAlignment="0" applyProtection="0"/>
    <xf numFmtId="0" fontId="203" fillId="81" borderId="504" applyNumberFormat="0" applyFont="0" applyAlignment="0" applyProtection="0"/>
    <xf numFmtId="0" fontId="238" fillId="59" borderId="512" applyNumberFormat="0" applyAlignment="0" applyProtection="0"/>
    <xf numFmtId="0" fontId="213" fillId="80" borderId="458" applyNumberFormat="0" applyAlignment="0" applyProtection="0"/>
    <xf numFmtId="0" fontId="213" fillId="65" borderId="323" applyNumberFormat="0" applyAlignment="0" applyProtection="0"/>
    <xf numFmtId="43" fontId="203" fillId="0" borderId="0" applyFont="0" applyFill="0" applyBorder="0" applyAlignment="0" applyProtection="0"/>
    <xf numFmtId="0" fontId="206" fillId="78" borderId="368" applyNumberFormat="0" applyAlignment="0" applyProtection="0"/>
    <xf numFmtId="0" fontId="203" fillId="81" borderId="504" applyNumberFormat="0" applyFont="0" applyAlignment="0" applyProtection="0"/>
    <xf numFmtId="0" fontId="203" fillId="81" borderId="585" applyNumberFormat="0" applyFont="0" applyAlignment="0" applyProtection="0"/>
    <xf numFmtId="0" fontId="213" fillId="80" borderId="602" applyNumberFormat="0" applyAlignment="0" applyProtection="0"/>
    <xf numFmtId="0" fontId="213" fillId="65" borderId="377" applyNumberFormat="0" applyAlignment="0" applyProtection="0"/>
    <xf numFmtId="0" fontId="213" fillId="65" borderId="368" applyNumberFormat="0" applyAlignment="0" applyProtection="0"/>
    <xf numFmtId="0" fontId="213" fillId="65" borderId="593" applyNumberFormat="0" applyAlignment="0" applyProtection="0"/>
    <xf numFmtId="0" fontId="213" fillId="80" borderId="467" applyNumberFormat="0" applyAlignment="0" applyProtection="0"/>
    <xf numFmtId="0" fontId="213" fillId="65" borderId="422" applyNumberFormat="0" applyAlignment="0" applyProtection="0"/>
    <xf numFmtId="0" fontId="213" fillId="65" borderId="503" applyNumberFormat="0" applyAlignment="0" applyProtection="0"/>
    <xf numFmtId="0" fontId="203" fillId="81" borderId="414" applyNumberFormat="0" applyFont="0" applyAlignment="0" applyProtection="0"/>
    <xf numFmtId="0" fontId="153" fillId="0" borderId="330">
      <alignment horizontal="left" vertical="center"/>
    </xf>
    <xf numFmtId="182" fontId="225" fillId="0" borderId="331" applyFill="0" applyProtection="0"/>
    <xf numFmtId="200" fontId="225" fillId="0" borderId="421" applyFill="0" applyProtection="0"/>
    <xf numFmtId="0" fontId="213" fillId="65" borderId="593" applyNumberFormat="0" applyAlignment="0" applyProtection="0"/>
    <xf numFmtId="200" fontId="225" fillId="0" borderId="601" applyFill="0" applyProtection="0"/>
    <xf numFmtId="0" fontId="216" fillId="78" borderId="415" applyNumberFormat="0" applyAlignment="0" applyProtection="0"/>
    <xf numFmtId="0" fontId="213" fillId="65" borderId="377" applyNumberFormat="0" applyAlignment="0" applyProtection="0"/>
    <xf numFmtId="0" fontId="203" fillId="81" borderId="378" applyNumberFormat="0" applyFont="0" applyAlignment="0" applyProtection="0"/>
    <xf numFmtId="0" fontId="213" fillId="65" borderId="368" applyNumberFormat="0" applyAlignment="0" applyProtection="0"/>
    <xf numFmtId="0" fontId="203" fillId="81" borderId="387" applyNumberFormat="0" applyFont="0" applyAlignment="0" applyProtection="0"/>
    <xf numFmtId="0" fontId="213" fillId="65" borderId="377" applyNumberFormat="0" applyAlignment="0" applyProtection="0"/>
    <xf numFmtId="0" fontId="213" fillId="65" borderId="548" applyNumberFormat="0" applyAlignment="0" applyProtection="0"/>
    <xf numFmtId="0" fontId="203" fillId="81" borderId="567" applyNumberFormat="0" applyFont="0" applyAlignment="0" applyProtection="0"/>
    <xf numFmtId="0" fontId="213" fillId="65" borderId="332" applyNumberFormat="0" applyAlignment="0" applyProtection="0"/>
    <xf numFmtId="0" fontId="213" fillId="65" borderId="593" applyNumberFormat="0" applyAlignment="0" applyProtection="0"/>
    <xf numFmtId="0" fontId="203" fillId="81" borderId="594" applyNumberFormat="0" applyFont="0" applyAlignment="0" applyProtection="0"/>
    <xf numFmtId="200" fontId="225" fillId="0" borderId="331" applyFill="0" applyProtection="0"/>
    <xf numFmtId="182" fontId="225" fillId="0" borderId="502" applyFill="0" applyProtection="0"/>
    <xf numFmtId="0" fontId="213" fillId="65" borderId="323" applyNumberFormat="0" applyAlignment="0" applyProtection="0"/>
    <xf numFmtId="0" fontId="213" fillId="65" borderId="557" applyNumberFormat="0" applyAlignment="0" applyProtection="0"/>
    <xf numFmtId="200" fontId="225" fillId="0" borderId="556" applyFill="0" applyProtection="0"/>
    <xf numFmtId="0" fontId="213" fillId="65" borderId="422" applyNumberFormat="0" applyAlignment="0" applyProtection="0"/>
    <xf numFmtId="0" fontId="203" fillId="81" borderId="378" applyNumberFormat="0" applyFont="0" applyAlignment="0" applyProtection="0"/>
    <xf numFmtId="0" fontId="229" fillId="83" borderId="418" applyAlignment="0">
      <alignment horizontal="center"/>
    </xf>
    <xf numFmtId="0" fontId="213" fillId="65" borderId="413" applyNumberFormat="0" applyAlignment="0" applyProtection="0"/>
    <xf numFmtId="0" fontId="213" fillId="65" borderId="332" applyNumberFormat="0" applyAlignment="0" applyProtection="0"/>
    <xf numFmtId="0" fontId="203" fillId="81" borderId="468" applyNumberFormat="0" applyFont="0" applyAlignment="0" applyProtection="0"/>
    <xf numFmtId="0" fontId="213" fillId="65" borderId="521" applyNumberFormat="0" applyAlignment="0" applyProtection="0"/>
    <xf numFmtId="0" fontId="203" fillId="81" borderId="522" applyNumberFormat="0" applyFont="0" applyAlignment="0" applyProtection="0"/>
    <xf numFmtId="0" fontId="213" fillId="65" borderId="566" applyNumberFormat="0" applyAlignment="0" applyProtection="0"/>
    <xf numFmtId="0" fontId="238" fillId="59" borderId="413" applyNumberFormat="0" applyAlignment="0" applyProtection="0"/>
    <xf numFmtId="0" fontId="176" fillId="81" borderId="522" applyNumberFormat="0" applyFont="0" applyAlignment="0" applyProtection="0"/>
    <xf numFmtId="0" fontId="213" fillId="65" borderId="521" applyNumberFormat="0" applyAlignment="0" applyProtection="0"/>
    <xf numFmtId="0" fontId="213" fillId="65" borderId="404" applyNumberFormat="0" applyAlignment="0" applyProtection="0"/>
    <xf numFmtId="0" fontId="176" fillId="81" borderId="513" applyNumberFormat="0" applyFont="0" applyAlignment="0" applyProtection="0"/>
    <xf numFmtId="0" fontId="213" fillId="65" borderId="503" applyNumberFormat="0" applyAlignment="0" applyProtection="0"/>
    <xf numFmtId="0" fontId="203" fillId="81" borderId="477" applyNumberFormat="0" applyFont="0" applyAlignment="0" applyProtection="0"/>
    <xf numFmtId="0" fontId="206" fillId="78" borderId="548" applyNumberFormat="0" applyAlignment="0" applyProtection="0"/>
    <xf numFmtId="0" fontId="203" fillId="81" borderId="414" applyNumberFormat="0" applyFont="0" applyAlignment="0" applyProtection="0"/>
    <xf numFmtId="0" fontId="229" fillId="83" borderId="283" applyAlignment="0">
      <alignment horizontal="center"/>
    </xf>
    <xf numFmtId="0" fontId="229" fillId="83" borderId="283" applyAlignment="0">
      <alignment horizontal="center"/>
    </xf>
    <xf numFmtId="0" fontId="229" fillId="83" borderId="283" applyAlignment="0">
      <alignment horizontal="center"/>
    </xf>
    <xf numFmtId="0" fontId="213" fillId="65" borderId="521" applyNumberFormat="0" applyAlignment="0" applyProtection="0"/>
    <xf numFmtId="0" fontId="174" fillId="0" borderId="256" applyNumberFormat="0" applyFill="0" applyAlignment="0" applyProtection="0"/>
    <xf numFmtId="0" fontId="203" fillId="81" borderId="342" applyNumberFormat="0" applyFont="0" applyAlignment="0" applyProtection="0"/>
    <xf numFmtId="0" fontId="203" fillId="81" borderId="261" applyNumberFormat="0" applyFont="0" applyAlignment="0" applyProtection="0"/>
    <xf numFmtId="0" fontId="213" fillId="80" borderId="557" applyNumberFormat="0" applyAlignment="0" applyProtection="0"/>
    <xf numFmtId="182" fontId="225" fillId="0" borderId="277" applyFill="0" applyProtection="0"/>
    <xf numFmtId="0" fontId="203" fillId="81" borderId="261" applyNumberFormat="0" applyFont="0" applyAlignment="0" applyProtection="0"/>
    <xf numFmtId="200" fontId="225" fillId="0" borderId="277" applyFill="0" applyProtection="0"/>
    <xf numFmtId="0" fontId="213" fillId="65" borderId="278" applyNumberFormat="0" applyAlignment="0" applyProtection="0"/>
    <xf numFmtId="0" fontId="174" fillId="0" borderId="371" applyNumberFormat="0" applyFill="0" applyAlignment="0" applyProtection="0"/>
    <xf numFmtId="0" fontId="213" fillId="65" borderId="593" applyNumberFormat="0" applyAlignment="0" applyProtection="0"/>
    <xf numFmtId="0" fontId="8" fillId="81" borderId="468" applyNumberFormat="0" applyFont="0" applyAlignment="0" applyProtection="0"/>
    <xf numFmtId="0" fontId="216" fillId="78" borderId="550" applyNumberFormat="0" applyAlignment="0" applyProtection="0"/>
    <xf numFmtId="0" fontId="213" fillId="65" borderId="611" applyNumberFormat="0" applyAlignment="0" applyProtection="0"/>
    <xf numFmtId="0" fontId="176" fillId="81" borderId="459" applyNumberFormat="0" applyFont="0" applyAlignment="0" applyProtection="0"/>
    <xf numFmtId="0" fontId="153" fillId="0" borderId="474">
      <alignment horizontal="left" vertical="center"/>
    </xf>
    <xf numFmtId="0" fontId="213" fillId="65" borderId="323" applyNumberFormat="0" applyAlignment="0" applyProtection="0"/>
    <xf numFmtId="0" fontId="213" fillId="65" borderId="512" applyNumberFormat="0" applyAlignment="0" applyProtection="0"/>
    <xf numFmtId="0" fontId="213" fillId="65" borderId="476" applyNumberFormat="0" applyAlignment="0" applyProtection="0"/>
    <xf numFmtId="0" fontId="203" fillId="81" borderId="522" applyNumberFormat="0" applyFont="0" applyAlignment="0" applyProtection="0"/>
    <xf numFmtId="0" fontId="176" fillId="81" borderId="387" applyNumberFormat="0" applyFont="0" applyAlignment="0" applyProtection="0"/>
    <xf numFmtId="0" fontId="206" fillId="78" borderId="431" applyNumberFormat="0" applyAlignment="0" applyProtection="0"/>
    <xf numFmtId="0" fontId="213" fillId="65" borderId="467" applyNumberFormat="0" applyAlignment="0" applyProtection="0"/>
    <xf numFmtId="0" fontId="213" fillId="65" borderId="377" applyNumberFormat="0" applyAlignment="0" applyProtection="0"/>
    <xf numFmtId="0" fontId="203" fillId="81" borderId="459" applyNumberFormat="0" applyFont="0" applyAlignment="0" applyProtection="0"/>
    <xf numFmtId="200" fontId="225" fillId="0" borderId="520" applyFill="0" applyProtection="0"/>
    <xf numFmtId="0" fontId="213" fillId="65" borderId="413" applyNumberFormat="0" applyAlignment="0" applyProtection="0"/>
    <xf numFmtId="0" fontId="213" fillId="65" borderId="458" applyNumberFormat="0" applyAlignment="0" applyProtection="0"/>
    <xf numFmtId="0" fontId="229" fillId="83" borderId="426" applyAlignment="0">
      <alignment horizontal="center"/>
    </xf>
    <xf numFmtId="0" fontId="8" fillId="81" borderId="558" applyNumberFormat="0" applyFont="0" applyAlignment="0" applyProtection="0"/>
    <xf numFmtId="182" fontId="225" fillId="0" borderId="331" applyFill="0" applyProtection="0"/>
    <xf numFmtId="0" fontId="213" fillId="65" borderId="431" applyNumberFormat="0" applyAlignment="0" applyProtection="0"/>
    <xf numFmtId="0" fontId="213" fillId="65" borderId="386" applyNumberFormat="0" applyAlignment="0" applyProtection="0"/>
    <xf numFmtId="0" fontId="213" fillId="65" borderId="377" applyNumberFormat="0" applyAlignment="0" applyProtection="0"/>
    <xf numFmtId="0" fontId="213" fillId="65" borderId="467" applyNumberFormat="0" applyAlignment="0" applyProtection="0"/>
    <xf numFmtId="0" fontId="176" fillId="81" borderId="369" applyNumberFormat="0" applyFont="0" applyAlignment="0" applyProtection="0"/>
    <xf numFmtId="0" fontId="213" fillId="65" borderId="332" applyNumberFormat="0" applyAlignment="0" applyProtection="0"/>
    <xf numFmtId="0" fontId="213" fillId="65" borderId="368" applyNumberFormat="0" applyAlignment="0" applyProtection="0"/>
    <xf numFmtId="182" fontId="225" fillId="0" borderId="430" applyFill="0" applyProtection="0"/>
    <xf numFmtId="0" fontId="176" fillId="81" borderId="324" applyNumberFormat="0" applyFont="0" applyAlignment="0" applyProtection="0"/>
    <xf numFmtId="0" fontId="213" fillId="65" borderId="323" applyNumberFormat="0" applyAlignment="0" applyProtection="0"/>
    <xf numFmtId="0" fontId="153" fillId="0" borderId="330">
      <alignment horizontal="left" vertical="center"/>
    </xf>
    <xf numFmtId="0" fontId="203" fillId="81" borderId="477" applyNumberFormat="0" applyFont="0" applyAlignment="0" applyProtection="0"/>
    <xf numFmtId="0" fontId="213" fillId="65" borderId="413" applyNumberFormat="0" applyAlignment="0" applyProtection="0"/>
    <xf numFmtId="0" fontId="213" fillId="65" borderId="413" applyNumberFormat="0" applyAlignment="0" applyProtection="0"/>
    <xf numFmtId="0" fontId="203" fillId="81" borderId="324" applyNumberFormat="0" applyFont="0" applyAlignment="0" applyProtection="0"/>
    <xf numFmtId="0" fontId="213" fillId="65" borderId="458" applyNumberFormat="0" applyAlignment="0" applyProtection="0"/>
    <xf numFmtId="0" fontId="213" fillId="65" borderId="503" applyNumberFormat="0" applyAlignment="0" applyProtection="0"/>
    <xf numFmtId="182" fontId="225" fillId="0" borderId="322" applyFill="0" applyProtection="0"/>
    <xf numFmtId="0" fontId="213" fillId="65" borderId="593" applyNumberFormat="0" applyAlignment="0" applyProtection="0"/>
    <xf numFmtId="0" fontId="203" fillId="81" borderId="279" applyNumberFormat="0" applyFont="0" applyAlignment="0" applyProtection="0"/>
    <xf numFmtId="0" fontId="213" fillId="65" borderId="593" applyNumberFormat="0" applyAlignment="0" applyProtection="0"/>
    <xf numFmtId="0" fontId="238" fillId="59" borderId="422" applyNumberFormat="0" applyAlignment="0" applyProtection="0"/>
    <xf numFmtId="0" fontId="213" fillId="80" borderId="278" applyNumberFormat="0" applyAlignment="0" applyProtection="0"/>
    <xf numFmtId="0" fontId="203" fillId="81" borderId="612" applyNumberFormat="0" applyFont="0" applyAlignment="0" applyProtection="0"/>
    <xf numFmtId="0" fontId="203" fillId="81" borderId="603" applyNumberFormat="0" applyFont="0" applyAlignment="0" applyProtection="0"/>
    <xf numFmtId="0" fontId="174" fillId="0" borderId="517" applyNumberFormat="0" applyFill="0" applyAlignment="0" applyProtection="0"/>
    <xf numFmtId="0" fontId="8" fillId="81" borderId="387" applyNumberFormat="0" applyFont="0" applyAlignment="0" applyProtection="0"/>
    <xf numFmtId="0" fontId="203" fillId="81" borderId="360" applyNumberFormat="0" applyFont="0" applyAlignment="0" applyProtection="0"/>
    <xf numFmtId="0" fontId="238" fillId="59" borderId="593" applyNumberFormat="0" applyAlignment="0" applyProtection="0"/>
    <xf numFmtId="0" fontId="203" fillId="81" borderId="504" applyNumberFormat="0" applyFont="0" applyAlignment="0" applyProtection="0"/>
    <xf numFmtId="0" fontId="213" fillId="65" borderId="278" applyNumberFormat="0" applyAlignment="0" applyProtection="0"/>
    <xf numFmtId="0" fontId="203" fillId="81" borderId="279" applyNumberFormat="0" applyFont="0" applyAlignment="0" applyProtection="0"/>
    <xf numFmtId="0" fontId="203" fillId="81" borderId="279" applyNumberFormat="0" applyFont="0" applyAlignment="0" applyProtection="0"/>
    <xf numFmtId="0" fontId="213" fillId="65" borderId="278" applyNumberFormat="0" applyAlignment="0" applyProtection="0"/>
    <xf numFmtId="0" fontId="213" fillId="65" borderId="278" applyNumberFormat="0" applyAlignment="0" applyProtection="0"/>
    <xf numFmtId="182" fontId="225" fillId="0" borderId="520" applyFill="0" applyProtection="0"/>
    <xf numFmtId="0" fontId="216" fillId="78" borderId="487" applyNumberFormat="0" applyAlignment="0" applyProtection="0"/>
    <xf numFmtId="0" fontId="203" fillId="81" borderId="477" applyNumberFormat="0" applyFont="0" applyAlignment="0" applyProtection="0"/>
    <xf numFmtId="0" fontId="153" fillId="0" borderId="474">
      <alignment horizontal="left" vertical="center"/>
    </xf>
    <xf numFmtId="182" fontId="225" fillId="0" borderId="502" applyFill="0" applyProtection="0"/>
    <xf numFmtId="0" fontId="216" fillId="78" borderId="595" applyNumberFormat="0" applyAlignment="0" applyProtection="0"/>
    <xf numFmtId="0" fontId="203" fillId="81" borderId="558" applyNumberFormat="0" applyFont="0" applyAlignment="0" applyProtection="0"/>
    <xf numFmtId="200" fontId="225" fillId="0" borderId="376" applyFill="0" applyProtection="0"/>
    <xf numFmtId="200" fontId="225" fillId="0" borderId="610" applyFill="0" applyProtection="0"/>
    <xf numFmtId="0" fontId="203" fillId="81" borderId="414" applyNumberFormat="0" applyFont="0" applyAlignment="0" applyProtection="0"/>
    <xf numFmtId="0" fontId="203" fillId="81" borderId="369" applyNumberFormat="0" applyFont="0" applyAlignment="0" applyProtection="0"/>
    <xf numFmtId="200" fontId="225" fillId="0" borderId="421" applyFill="0" applyProtection="0"/>
    <xf numFmtId="0" fontId="213" fillId="80" borderId="503" applyNumberFormat="0" applyAlignment="0" applyProtection="0"/>
    <xf numFmtId="0" fontId="213" fillId="65" borderId="368" applyNumberFormat="0" applyAlignment="0" applyProtection="0"/>
    <xf numFmtId="0" fontId="213" fillId="65" borderId="278" applyNumberFormat="0" applyAlignment="0" applyProtection="0"/>
    <xf numFmtId="0" fontId="213" fillId="65" borderId="278" applyNumberFormat="0" applyAlignment="0" applyProtection="0"/>
    <xf numFmtId="0" fontId="213" fillId="65" borderId="476" applyNumberFormat="0" applyAlignment="0" applyProtection="0"/>
    <xf numFmtId="0" fontId="213" fillId="65" borderId="422" applyNumberFormat="0" applyAlignment="0" applyProtection="0"/>
    <xf numFmtId="0" fontId="203" fillId="81" borderId="459" applyNumberFormat="0" applyFont="0" applyAlignment="0" applyProtection="0"/>
    <xf numFmtId="0" fontId="216" fillId="78" borderId="433" applyNumberFormat="0" applyAlignment="0" applyProtection="0"/>
    <xf numFmtId="0" fontId="213" fillId="65" borderId="467" applyNumberFormat="0" applyAlignment="0" applyProtection="0"/>
    <xf numFmtId="0" fontId="203" fillId="81" borderId="567" applyNumberFormat="0" applyFont="0" applyAlignment="0" applyProtection="0"/>
    <xf numFmtId="0" fontId="203" fillId="81" borderId="612" applyNumberFormat="0" applyFont="0" applyAlignment="0" applyProtection="0"/>
    <xf numFmtId="0" fontId="203" fillId="81" borderId="585" applyNumberFormat="0" applyFont="0" applyAlignment="0" applyProtection="0"/>
    <xf numFmtId="182" fontId="225" fillId="0" borderId="331" applyFill="0" applyProtection="0"/>
    <xf numFmtId="0" fontId="213" fillId="65" borderId="422" applyNumberFormat="0" applyAlignment="0" applyProtection="0"/>
    <xf numFmtId="0" fontId="213" fillId="65" borderId="521" applyNumberFormat="0" applyAlignment="0" applyProtection="0"/>
    <xf numFmtId="0" fontId="8" fillId="81" borderId="585" applyNumberFormat="0" applyFont="0" applyAlignment="0" applyProtection="0"/>
    <xf numFmtId="0" fontId="213" fillId="65" borderId="368" applyNumberFormat="0" applyAlignment="0" applyProtection="0"/>
    <xf numFmtId="182" fontId="225" fillId="0" borderId="547" applyFill="0" applyProtection="0"/>
    <xf numFmtId="0" fontId="176" fillId="81" borderId="603" applyNumberFormat="0" applyFont="0" applyAlignment="0" applyProtection="0"/>
    <xf numFmtId="182" fontId="225" fillId="0" borderId="511" applyFill="0" applyProtection="0"/>
    <xf numFmtId="0" fontId="213" fillId="65" borderId="548" applyNumberFormat="0" applyAlignment="0" applyProtection="0"/>
    <xf numFmtId="200" fontId="225" fillId="0" borderId="412" applyFill="0" applyProtection="0"/>
    <xf numFmtId="0" fontId="213" fillId="65" borderId="467" applyNumberFormat="0" applyAlignment="0" applyProtection="0"/>
    <xf numFmtId="200" fontId="225" fillId="0" borderId="511" applyFill="0" applyProtection="0"/>
    <xf numFmtId="0" fontId="213" fillId="65" borderId="503" applyNumberFormat="0" applyAlignment="0" applyProtection="0"/>
    <xf numFmtId="0" fontId="213" fillId="65" borderId="413" applyNumberFormat="0" applyAlignment="0" applyProtection="0"/>
    <xf numFmtId="0" fontId="174" fillId="0" borderId="344" applyNumberFormat="0" applyFill="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54" fillId="80" borderId="341" applyNumberFormat="0" applyAlignment="0" applyProtection="0"/>
    <xf numFmtId="0" fontId="176" fillId="81" borderId="504" applyNumberFormat="0" applyFont="0" applyAlignment="0" applyProtection="0"/>
    <xf numFmtId="0" fontId="8" fillId="81" borderId="342" applyNumberFormat="0" applyFont="0" applyAlignment="0" applyProtection="0"/>
    <xf numFmtId="0" fontId="216" fillId="78" borderId="343" applyNumberFormat="0" applyAlignment="0" applyProtection="0"/>
    <xf numFmtId="0" fontId="203" fillId="81" borderId="549" applyNumberFormat="0" applyFont="0" applyAlignment="0" applyProtection="0"/>
    <xf numFmtId="182" fontId="225" fillId="0" borderId="601" applyFill="0" applyProtection="0"/>
    <xf numFmtId="182" fontId="225" fillId="0" borderId="340" applyFill="0" applyProtection="0"/>
    <xf numFmtId="200" fontId="225" fillId="0" borderId="277" applyFill="0" applyProtection="0"/>
    <xf numFmtId="182" fontId="225" fillId="0" borderId="421" applyFill="0" applyProtection="0"/>
    <xf numFmtId="182" fontId="225" fillId="0" borderId="277" applyFill="0" applyProtection="0"/>
    <xf numFmtId="0" fontId="213" fillId="65" borderId="467" applyNumberFormat="0" applyAlignment="0" applyProtection="0"/>
    <xf numFmtId="0" fontId="213" fillId="65" borderId="341" applyNumberFormat="0" applyAlignment="0" applyProtection="0"/>
    <xf numFmtId="200" fontId="225" fillId="0" borderId="277" applyFill="0" applyProtection="0"/>
    <xf numFmtId="0" fontId="249" fillId="59" borderId="503" applyNumberFormat="0" applyAlignment="0" applyProtection="0"/>
    <xf numFmtId="0" fontId="213" fillId="65" borderId="548" applyNumberFormat="0" applyAlignment="0" applyProtection="0"/>
    <xf numFmtId="0" fontId="203" fillId="81" borderId="405" applyNumberFormat="0" applyFont="0" applyAlignment="0" applyProtection="0"/>
    <xf numFmtId="0" fontId="178" fillId="0" borderId="518" applyProtection="0"/>
    <xf numFmtId="0" fontId="213" fillId="65" borderId="413" applyNumberFormat="0" applyAlignment="0" applyProtection="0"/>
    <xf numFmtId="0" fontId="203" fillId="81" borderId="342" applyNumberFormat="0" applyFont="0" applyAlignment="0" applyProtection="0"/>
    <xf numFmtId="182" fontId="225" fillId="0" borderId="340" applyFill="0" applyProtection="0"/>
    <xf numFmtId="0" fontId="203" fillId="81" borderId="387" applyNumberFormat="0" applyFont="0" applyAlignment="0" applyProtection="0"/>
    <xf numFmtId="0" fontId="229" fillId="83" borderId="390" applyAlignment="0">
      <alignment horizontal="center"/>
    </xf>
    <xf numFmtId="0" fontId="176" fillId="81" borderId="432" applyNumberFormat="0" applyFont="0" applyAlignment="0" applyProtection="0"/>
    <xf numFmtId="0" fontId="203" fillId="81" borderId="387" applyNumberFormat="0" applyFont="0" applyAlignment="0" applyProtection="0"/>
    <xf numFmtId="0" fontId="203" fillId="81" borderId="603" applyNumberFormat="0" applyFont="0" applyAlignment="0" applyProtection="0"/>
    <xf numFmtId="0" fontId="213" fillId="65" borderId="368"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213" fillId="65" borderId="242" applyNumberFormat="0" applyAlignment="0" applyProtection="0"/>
    <xf numFmtId="0" fontId="153" fillId="0" borderId="321">
      <alignment horizontal="left" vertical="center"/>
    </xf>
    <xf numFmtId="0" fontId="203" fillId="81" borderId="477" applyNumberFormat="0" applyFont="0" applyAlignment="0" applyProtection="0"/>
    <xf numFmtId="0" fontId="216" fillId="59" borderId="469" applyNumberFormat="0" applyAlignment="0" applyProtection="0"/>
    <xf numFmtId="0" fontId="238" fillId="59" borderId="593" applyNumberFormat="0" applyAlignment="0" applyProtection="0"/>
    <xf numFmtId="0" fontId="238" fillId="59" borderId="278" applyNumberFormat="0" applyAlignment="0" applyProtection="0"/>
    <xf numFmtId="0" fontId="213" fillId="65" borderId="287" applyNumberFormat="0" applyAlignment="0" applyProtection="0"/>
    <xf numFmtId="0" fontId="206" fillId="78" borderId="278" applyNumberFormat="0" applyAlignment="0" applyProtection="0"/>
    <xf numFmtId="182" fontId="225" fillId="0" borderId="475" applyFill="0" applyProtection="0"/>
    <xf numFmtId="0" fontId="153" fillId="0" borderId="411">
      <alignment horizontal="left" vertical="center"/>
    </xf>
    <xf numFmtId="0" fontId="174" fillId="0" borderId="506" applyNumberFormat="0" applyFill="0" applyAlignment="0" applyProtection="0"/>
    <xf numFmtId="200" fontId="225" fillId="0" borderId="592" applyFill="0" applyProtection="0"/>
    <xf numFmtId="0" fontId="229" fillId="83" borderId="336" applyAlignment="0">
      <alignment horizontal="center"/>
    </xf>
    <xf numFmtId="0" fontId="176" fillId="81" borderId="558" applyNumberFormat="0" applyFont="0" applyAlignment="0" applyProtection="0"/>
    <xf numFmtId="0" fontId="213" fillId="65" borderId="278" applyNumberFormat="0" applyAlignment="0" applyProtection="0"/>
    <xf numFmtId="0" fontId="203" fillId="81" borderId="459" applyNumberFormat="0" applyFont="0" applyAlignment="0" applyProtection="0"/>
    <xf numFmtId="0" fontId="238" fillId="59" borderId="458" applyNumberFormat="0" applyAlignment="0" applyProtection="0"/>
    <xf numFmtId="0" fontId="213" fillId="65" borderId="458" applyNumberFormat="0" applyAlignment="0" applyProtection="0"/>
    <xf numFmtId="0" fontId="174" fillId="0" borderId="436" applyNumberFormat="0" applyFill="0" applyAlignment="0" applyProtection="0"/>
    <xf numFmtId="0" fontId="203" fillId="81" borderId="324" applyNumberFormat="0" applyFont="0" applyAlignment="0" applyProtection="0"/>
    <xf numFmtId="0" fontId="213" fillId="65" borderId="323" applyNumberFormat="0" applyAlignment="0" applyProtection="0"/>
    <xf numFmtId="0" fontId="203" fillId="81" borderId="594" applyNumberFormat="0" applyFont="0" applyAlignment="0" applyProtection="0"/>
    <xf numFmtId="0" fontId="213" fillId="65" borderId="611" applyNumberFormat="0" applyAlignment="0" applyProtection="0"/>
    <xf numFmtId="0" fontId="203" fillId="81" borderId="459" applyNumberFormat="0" applyFont="0" applyAlignment="0" applyProtection="0"/>
    <xf numFmtId="0" fontId="176" fillId="81" borderId="279" applyNumberFormat="0" applyFont="0" applyAlignment="0" applyProtection="0"/>
    <xf numFmtId="0" fontId="216" fillId="59" borderId="577" applyNumberFormat="0" applyAlignment="0" applyProtection="0"/>
    <xf numFmtId="0" fontId="213" fillId="65" borderId="413" applyNumberFormat="0" applyAlignment="0" applyProtection="0"/>
    <xf numFmtId="0" fontId="216" fillId="78" borderId="379" applyNumberFormat="0" applyAlignment="0" applyProtection="0"/>
    <xf numFmtId="0" fontId="229" fillId="83" borderId="283" applyAlignment="0">
      <alignment horizontal="center"/>
    </xf>
    <xf numFmtId="200" fontId="225" fillId="0" borderId="547" applyFill="0" applyProtection="0"/>
    <xf numFmtId="0" fontId="203" fillId="81" borderId="423" applyNumberFormat="0" applyFont="0" applyAlignment="0" applyProtection="0"/>
    <xf numFmtId="0" fontId="213" fillId="65" borderId="593" applyNumberFormat="0" applyAlignment="0" applyProtection="0"/>
    <xf numFmtId="200" fontId="225" fillId="0" borderId="322" applyFill="0" applyProtection="0"/>
    <xf numFmtId="0" fontId="249" fillId="59" borderId="323" applyNumberFormat="0" applyAlignment="0" applyProtection="0"/>
    <xf numFmtId="0" fontId="213" fillId="65" borderId="377" applyNumberFormat="0" applyAlignment="0" applyProtection="0"/>
    <xf numFmtId="0" fontId="213" fillId="65" borderId="368" applyNumberFormat="0" applyAlignment="0" applyProtection="0"/>
    <xf numFmtId="0" fontId="203" fillId="81" borderId="513" applyNumberFormat="0" applyFont="0" applyAlignment="0" applyProtection="0"/>
    <xf numFmtId="0" fontId="153" fillId="0" borderId="276">
      <alignment horizontal="left" vertical="center"/>
    </xf>
    <xf numFmtId="0" fontId="238" fillId="59" borderId="476" applyNumberFormat="0" applyAlignment="0" applyProtection="0"/>
    <xf numFmtId="0" fontId="213" fillId="65" borderId="557" applyNumberFormat="0" applyAlignment="0" applyProtection="0"/>
    <xf numFmtId="0" fontId="213" fillId="65" borderId="413" applyNumberFormat="0" applyAlignment="0" applyProtection="0"/>
    <xf numFmtId="200" fontId="225" fillId="0" borderId="430" applyFill="0" applyProtection="0"/>
    <xf numFmtId="0" fontId="254" fillId="80" borderId="422" applyNumberFormat="0" applyAlignment="0" applyProtection="0"/>
    <xf numFmtId="0" fontId="176" fillId="81" borderId="549" applyNumberFormat="0" applyFont="0" applyAlignment="0" applyProtection="0"/>
    <xf numFmtId="0" fontId="213" fillId="65" borderId="287" applyNumberFormat="0" applyAlignment="0" applyProtection="0"/>
    <xf numFmtId="0" fontId="203" fillId="81" borderId="414" applyNumberFormat="0" applyFont="0" applyAlignment="0" applyProtection="0"/>
    <xf numFmtId="200" fontId="225" fillId="0" borderId="385" applyFill="0" applyProtection="0"/>
    <xf numFmtId="0" fontId="213" fillId="65" borderId="323" applyNumberFormat="0" applyAlignment="0" applyProtection="0"/>
    <xf numFmtId="0" fontId="153" fillId="0" borderId="564">
      <alignment horizontal="left" vertical="center"/>
    </xf>
    <xf numFmtId="0" fontId="213" fillId="65" borderId="431" applyNumberFormat="0" applyAlignment="0" applyProtection="0"/>
    <xf numFmtId="0" fontId="203" fillId="81" borderId="477" applyNumberFormat="0" applyFont="0" applyAlignment="0" applyProtection="0"/>
    <xf numFmtId="0" fontId="206" fillId="78" borderId="242" applyNumberFormat="0" applyAlignment="0" applyProtection="0"/>
    <xf numFmtId="0" fontId="238" fillId="59" borderId="242" applyNumberFormat="0" applyAlignment="0" applyProtection="0"/>
    <xf numFmtId="0" fontId="213" fillId="80" borderId="242" applyNumberFormat="0" applyAlignment="0" applyProtection="0"/>
    <xf numFmtId="0" fontId="213" fillId="80" borderId="242" applyNumberFormat="0" applyAlignment="0" applyProtection="0"/>
    <xf numFmtId="0" fontId="213" fillId="65" borderId="332" applyNumberFormat="0" applyAlignment="0" applyProtection="0"/>
    <xf numFmtId="0" fontId="213" fillId="65" borderId="458" applyNumberFormat="0" applyAlignment="0" applyProtection="0"/>
    <xf numFmtId="0" fontId="213" fillId="65" borderId="431" applyNumberFormat="0" applyAlignment="0" applyProtection="0"/>
    <xf numFmtId="0" fontId="213" fillId="65" borderId="368" applyNumberFormat="0" applyAlignment="0" applyProtection="0"/>
    <xf numFmtId="0" fontId="254" fillId="80" borderId="611" applyNumberFormat="0" applyAlignment="0" applyProtection="0"/>
    <xf numFmtId="0" fontId="213" fillId="65" borderId="503" applyNumberFormat="0" applyAlignment="0" applyProtection="0"/>
    <xf numFmtId="0" fontId="203" fillId="81" borderId="405" applyNumberFormat="0" applyFont="0" applyAlignment="0" applyProtection="0"/>
    <xf numFmtId="182" fontId="225" fillId="0" borderId="547" applyFill="0" applyProtection="0"/>
    <xf numFmtId="0" fontId="213" fillId="80" borderId="368" applyNumberFormat="0" applyAlignment="0" applyProtection="0"/>
    <xf numFmtId="0" fontId="213" fillId="65" borderId="566" applyNumberFormat="0" applyAlignment="0" applyProtection="0"/>
    <xf numFmtId="200" fontId="225" fillId="0" borderId="421" applyFill="0" applyProtection="0"/>
    <xf numFmtId="182" fontId="225" fillId="0" borderId="367" applyFill="0" applyProtection="0"/>
    <xf numFmtId="0" fontId="213" fillId="65" borderId="278" applyNumberFormat="0" applyAlignment="0" applyProtection="0"/>
    <xf numFmtId="0" fontId="213" fillId="65" borderId="548" applyNumberFormat="0" applyAlignment="0" applyProtection="0"/>
    <xf numFmtId="0" fontId="213" fillId="65" borderId="368" applyNumberFormat="0" applyAlignment="0" applyProtection="0"/>
    <xf numFmtId="0" fontId="203" fillId="81" borderId="612" applyNumberFormat="0" applyFont="0" applyAlignment="0" applyProtection="0"/>
    <xf numFmtId="0" fontId="216" fillId="78" borderId="568" applyNumberFormat="0" applyAlignment="0" applyProtection="0"/>
    <xf numFmtId="0" fontId="153" fillId="0" borderId="321">
      <alignment horizontal="left" vertical="center"/>
    </xf>
    <xf numFmtId="0" fontId="203" fillId="81" borderId="495" applyNumberFormat="0" applyFont="0" applyAlignment="0" applyProtection="0"/>
    <xf numFmtId="0" fontId="213" fillId="65" borderId="413" applyNumberFormat="0" applyAlignment="0" applyProtection="0"/>
    <xf numFmtId="0" fontId="213" fillId="65" borderId="602" applyNumberFormat="0" applyAlignment="0" applyProtection="0"/>
    <xf numFmtId="0" fontId="213" fillId="65" borderId="278" applyNumberFormat="0" applyAlignment="0" applyProtection="0"/>
    <xf numFmtId="0" fontId="213" fillId="65" borderId="458" applyNumberFormat="0" applyAlignment="0" applyProtection="0"/>
    <xf numFmtId="0" fontId="203" fillId="81" borderId="432" applyNumberFormat="0" applyFont="0" applyAlignment="0" applyProtection="0"/>
    <xf numFmtId="0" fontId="213" fillId="80" borderId="323" applyNumberFormat="0" applyAlignment="0" applyProtection="0"/>
    <xf numFmtId="0" fontId="213" fillId="65" borderId="413" applyNumberFormat="0" applyAlignment="0" applyProtection="0"/>
    <xf numFmtId="0" fontId="213" fillId="65" borderId="422" applyNumberFormat="0" applyAlignment="0" applyProtection="0"/>
    <xf numFmtId="0" fontId="213" fillId="65" borderId="431" applyNumberFormat="0" applyAlignment="0" applyProtection="0"/>
    <xf numFmtId="200" fontId="225" fillId="0" borderId="322" applyFill="0" applyProtection="0"/>
    <xf numFmtId="0" fontId="203" fillId="81" borderId="324" applyNumberFormat="0" applyFont="0" applyAlignment="0" applyProtection="0"/>
    <xf numFmtId="0" fontId="216" fillId="59" borderId="442" applyNumberFormat="0" applyAlignment="0" applyProtection="0"/>
    <xf numFmtId="182" fontId="225" fillId="0" borderId="502" applyFill="0" applyProtection="0"/>
    <xf numFmtId="0" fontId="213" fillId="65" borderId="431" applyNumberFormat="0" applyAlignment="0" applyProtection="0"/>
    <xf numFmtId="0" fontId="213" fillId="65" borderId="386" applyNumberFormat="0" applyAlignment="0" applyProtection="0"/>
    <xf numFmtId="0" fontId="213" fillId="80" borderId="512" applyNumberFormat="0" applyAlignment="0" applyProtection="0"/>
    <xf numFmtId="0" fontId="203" fillId="81" borderId="324" applyNumberFormat="0" applyFont="0" applyAlignment="0" applyProtection="0"/>
    <xf numFmtId="200" fontId="225" fillId="0" borderId="277" applyFill="0" applyProtection="0"/>
    <xf numFmtId="0" fontId="213" fillId="65" borderId="422" applyNumberFormat="0" applyAlignment="0" applyProtection="0"/>
    <xf numFmtId="0" fontId="203" fillId="81" borderId="369" applyNumberFormat="0" applyFont="0" applyAlignment="0" applyProtection="0"/>
    <xf numFmtId="0" fontId="213" fillId="65" borderId="332" applyNumberFormat="0" applyAlignment="0" applyProtection="0"/>
    <xf numFmtId="0" fontId="216" fillId="78" borderId="604" applyNumberFormat="0" applyAlignment="0" applyProtection="0"/>
    <xf numFmtId="0" fontId="8" fillId="81" borderId="405" applyNumberFormat="0" applyFont="0" applyAlignment="0" applyProtection="0"/>
    <xf numFmtId="0" fontId="153" fillId="0" borderId="330">
      <alignment horizontal="left" vertical="center"/>
    </xf>
    <xf numFmtId="200" fontId="225" fillId="0" borderId="286" applyFill="0" applyProtection="0"/>
    <xf numFmtId="0" fontId="216" fillId="78" borderId="514" applyNumberFormat="0" applyAlignment="0" applyProtection="0"/>
    <xf numFmtId="0" fontId="213" fillId="65" borderId="476" applyNumberFormat="0" applyAlignment="0" applyProtection="0"/>
    <xf numFmtId="0" fontId="176" fillId="81" borderId="522" applyNumberFormat="0" applyFont="0" applyAlignment="0" applyProtection="0"/>
    <xf numFmtId="0" fontId="213" fillId="65" borderId="323" applyNumberFormat="0" applyAlignment="0" applyProtection="0"/>
    <xf numFmtId="0" fontId="213" fillId="65" borderId="548" applyNumberFormat="0" applyAlignment="0" applyProtection="0"/>
    <xf numFmtId="0" fontId="8" fillId="81" borderId="288" applyNumberFormat="0" applyFont="0" applyAlignment="0" applyProtection="0"/>
    <xf numFmtId="0" fontId="203" fillId="81" borderId="459" applyNumberFormat="0" applyFont="0" applyAlignment="0" applyProtection="0"/>
    <xf numFmtId="0" fontId="213" fillId="65" borderId="503" applyNumberFormat="0" applyAlignment="0" applyProtection="0"/>
    <xf numFmtId="0" fontId="213" fillId="65" borderId="422" applyNumberFormat="0" applyAlignment="0" applyProtection="0"/>
    <xf numFmtId="0" fontId="8" fillId="81" borderId="477" applyNumberFormat="0" applyFont="0" applyAlignment="0" applyProtection="0"/>
    <xf numFmtId="0" fontId="213" fillId="65" borderId="548" applyNumberFormat="0" applyAlignment="0" applyProtection="0"/>
    <xf numFmtId="0" fontId="203" fillId="81" borderId="477" applyNumberFormat="0" applyFont="0" applyAlignment="0" applyProtection="0"/>
    <xf numFmtId="0" fontId="213" fillId="65" borderId="557" applyNumberFormat="0" applyAlignment="0" applyProtection="0"/>
    <xf numFmtId="0" fontId="203" fillId="81" borderId="279" applyNumberFormat="0" applyFont="0" applyAlignment="0" applyProtection="0"/>
    <xf numFmtId="0" fontId="249" fillId="59" borderId="422" applyNumberFormat="0" applyAlignment="0" applyProtection="0"/>
    <xf numFmtId="0" fontId="229" fillId="83" borderId="381" applyAlignment="0">
      <alignment horizontal="center"/>
    </xf>
    <xf numFmtId="0" fontId="213" fillId="80" borderId="278" applyNumberFormat="0" applyAlignment="0" applyProtection="0"/>
    <xf numFmtId="0" fontId="213" fillId="65" borderId="503" applyNumberFormat="0" applyAlignment="0" applyProtection="0"/>
    <xf numFmtId="0" fontId="203" fillId="81" borderId="333" applyNumberFormat="0" applyFont="0" applyAlignment="0" applyProtection="0"/>
    <xf numFmtId="0" fontId="213" fillId="65" borderId="458" applyNumberFormat="0" applyAlignment="0" applyProtection="0"/>
    <xf numFmtId="0" fontId="174" fillId="0" borderId="327" applyNumberFormat="0" applyFill="0" applyAlignment="0" applyProtection="0"/>
    <xf numFmtId="0" fontId="213" fillId="65" borderId="278" applyNumberFormat="0" applyAlignment="0" applyProtection="0"/>
    <xf numFmtId="0" fontId="213" fillId="65" borderId="458" applyNumberFormat="0" applyAlignment="0" applyProtection="0"/>
    <xf numFmtId="0" fontId="203" fillId="81" borderId="558" applyNumberFormat="0" applyFont="0" applyAlignment="0" applyProtection="0"/>
    <xf numFmtId="0" fontId="203" fillId="81" borderId="540" applyNumberFormat="0" applyFont="0" applyAlignment="0" applyProtection="0"/>
    <xf numFmtId="0" fontId="229" fillId="83" borderId="426" applyAlignment="0">
      <alignment horizontal="center"/>
    </xf>
    <xf numFmtId="0" fontId="213" fillId="65" borderId="512" applyNumberFormat="0" applyAlignment="0" applyProtection="0"/>
    <xf numFmtId="0" fontId="203" fillId="81" borderId="549" applyNumberFormat="0" applyFont="0" applyAlignment="0" applyProtection="0"/>
    <xf numFmtId="0" fontId="229" fillId="83" borderId="381" applyAlignment="0">
      <alignment horizontal="center"/>
    </xf>
    <xf numFmtId="0" fontId="178" fillId="0" borderId="338" applyProtection="0"/>
    <xf numFmtId="0" fontId="203" fillId="81" borderId="387" applyNumberFormat="0" applyFont="0" applyAlignment="0" applyProtection="0"/>
    <xf numFmtId="0" fontId="213" fillId="65" borderId="566" applyNumberFormat="0" applyAlignment="0" applyProtection="0"/>
    <xf numFmtId="0" fontId="213" fillId="65" borderId="287" applyNumberFormat="0" applyAlignment="0" applyProtection="0"/>
    <xf numFmtId="0" fontId="213" fillId="65" borderId="413" applyNumberFormat="0" applyAlignment="0" applyProtection="0"/>
    <xf numFmtId="0" fontId="213" fillId="65" borderId="323" applyNumberFormat="0" applyAlignment="0" applyProtection="0"/>
    <xf numFmtId="0" fontId="229" fillId="83" borderId="508" applyAlignment="0">
      <alignment horizontal="center"/>
    </xf>
    <xf numFmtId="0" fontId="203" fillId="81" borderId="612" applyNumberFormat="0" applyFont="0" applyAlignment="0" applyProtection="0"/>
    <xf numFmtId="0" fontId="249" fillId="59" borderId="548" applyNumberFormat="0" applyAlignment="0" applyProtection="0"/>
    <xf numFmtId="0" fontId="213" fillId="65" borderId="323" applyNumberFormat="0" applyAlignment="0" applyProtection="0"/>
    <xf numFmtId="0" fontId="203" fillId="81" borderId="369" applyNumberFormat="0" applyFont="0" applyAlignment="0" applyProtection="0"/>
    <xf numFmtId="0" fontId="203" fillId="81" borderId="468" applyNumberFormat="0" applyFont="0" applyAlignment="0" applyProtection="0"/>
    <xf numFmtId="0" fontId="203" fillId="81" borderId="594" applyNumberFormat="0" applyFont="0" applyAlignment="0" applyProtection="0"/>
    <xf numFmtId="0" fontId="203" fillId="81" borderId="522" applyNumberFormat="0" applyFont="0" applyAlignment="0" applyProtection="0"/>
    <xf numFmtId="0" fontId="213" fillId="80" borderId="413" applyNumberFormat="0" applyAlignment="0" applyProtection="0"/>
    <xf numFmtId="0" fontId="203" fillId="81" borderId="459" applyNumberFormat="0" applyFont="0" applyAlignment="0" applyProtection="0"/>
    <xf numFmtId="182" fontId="225" fillId="0" borderId="367" applyFill="0" applyProtection="0"/>
    <xf numFmtId="0" fontId="203" fillId="81" borderId="477" applyNumberFormat="0" applyFont="0" applyAlignment="0" applyProtection="0"/>
    <xf numFmtId="0" fontId="238" fillId="59" borderId="503" applyNumberFormat="0" applyAlignment="0" applyProtection="0"/>
    <xf numFmtId="0" fontId="216" fillId="78" borderId="469" applyNumberFormat="0" applyAlignment="0" applyProtection="0"/>
    <xf numFmtId="182" fontId="225" fillId="0" borderId="376" applyFill="0" applyProtection="0"/>
    <xf numFmtId="0" fontId="206" fillId="78" borderId="413" applyNumberFormat="0" applyAlignment="0" applyProtection="0"/>
    <xf numFmtId="0" fontId="203" fillId="81" borderId="603" applyNumberFormat="0" applyFont="0" applyAlignment="0" applyProtection="0"/>
    <xf numFmtId="0" fontId="213" fillId="65" borderId="593" applyNumberFormat="0" applyAlignment="0" applyProtection="0"/>
    <xf numFmtId="0" fontId="213" fillId="65" borderId="278" applyNumberFormat="0" applyAlignment="0" applyProtection="0"/>
    <xf numFmtId="0" fontId="213" fillId="65" borderId="458" applyNumberFormat="0" applyAlignment="0" applyProtection="0"/>
    <xf numFmtId="0" fontId="203" fillId="81" borderId="459" applyNumberFormat="0" applyFont="0" applyAlignment="0" applyProtection="0"/>
    <xf numFmtId="0" fontId="174" fillId="0" borderId="292" applyNumberFormat="0" applyFill="0" applyAlignment="0" applyProtection="0"/>
    <xf numFmtId="0" fontId="203" fillId="81" borderId="459" applyNumberFormat="0" applyFont="0" applyAlignment="0" applyProtection="0"/>
    <xf numFmtId="0" fontId="203" fillId="81" borderId="594" applyNumberFormat="0" applyFont="0" applyAlignment="0" applyProtection="0"/>
    <xf numFmtId="0" fontId="213" fillId="65" borderId="611" applyNumberFormat="0" applyAlignment="0" applyProtection="0"/>
    <xf numFmtId="0" fontId="203" fillId="81" borderId="522" applyNumberFormat="0" applyFont="0" applyAlignment="0" applyProtection="0"/>
    <xf numFmtId="0" fontId="213" fillId="65" borderId="602" applyNumberFormat="0" applyAlignment="0" applyProtection="0"/>
    <xf numFmtId="0" fontId="238" fillId="59" borderId="503" applyNumberFormat="0" applyAlignment="0" applyProtection="0"/>
    <xf numFmtId="0" fontId="213" fillId="65" borderId="458" applyNumberFormat="0" applyAlignment="0" applyProtection="0"/>
    <xf numFmtId="0" fontId="203" fillId="0" borderId="0"/>
    <xf numFmtId="0" fontId="176" fillId="81" borderId="504" applyNumberFormat="0" applyFont="0" applyAlignment="0" applyProtection="0"/>
    <xf numFmtId="0" fontId="238" fillId="59" borderId="368" applyNumberFormat="0" applyAlignment="0" applyProtection="0"/>
    <xf numFmtId="182" fontId="225" fillId="0" borderId="592" applyFill="0" applyProtection="0"/>
    <xf numFmtId="0" fontId="203" fillId="81" borderId="513" applyNumberFormat="0" applyFont="0" applyAlignment="0" applyProtection="0"/>
    <xf numFmtId="0" fontId="213" fillId="65" borderId="323" applyNumberFormat="0" applyAlignment="0" applyProtection="0"/>
    <xf numFmtId="0" fontId="203" fillId="81" borderId="423" applyNumberFormat="0" applyFont="0" applyAlignment="0" applyProtection="0"/>
    <xf numFmtId="0" fontId="203" fillId="81" borderId="459" applyNumberFormat="0" applyFont="0" applyAlignment="0" applyProtection="0"/>
    <xf numFmtId="0" fontId="213" fillId="80" borderId="593" applyNumberFormat="0" applyAlignment="0" applyProtection="0"/>
    <xf numFmtId="0" fontId="213" fillId="65" borderId="548" applyNumberFormat="0" applyAlignment="0" applyProtection="0"/>
    <xf numFmtId="0" fontId="213" fillId="65" borderId="611" applyNumberFormat="0" applyAlignment="0" applyProtection="0"/>
    <xf numFmtId="0" fontId="176" fillId="81" borderId="342" applyNumberFormat="0" applyFont="0" applyAlignment="0" applyProtection="0"/>
    <xf numFmtId="0" fontId="213" fillId="65" borderId="503" applyNumberFormat="0" applyAlignment="0" applyProtection="0"/>
    <xf numFmtId="0" fontId="213" fillId="65" borderId="422" applyNumberFormat="0" applyAlignment="0" applyProtection="0"/>
    <xf numFmtId="0" fontId="213" fillId="65" borderId="341" applyNumberFormat="0" applyAlignment="0" applyProtection="0"/>
    <xf numFmtId="0" fontId="203" fillId="81" borderId="387" applyNumberFormat="0" applyFont="0" applyAlignment="0" applyProtection="0"/>
    <xf numFmtId="0" fontId="213" fillId="65" borderId="593" applyNumberFormat="0" applyAlignment="0" applyProtection="0"/>
    <xf numFmtId="0" fontId="213" fillId="65" borderId="593" applyNumberFormat="0" applyAlignment="0" applyProtection="0"/>
    <xf numFmtId="0" fontId="203" fillId="81" borderId="558" applyNumberFormat="0" applyFont="0" applyAlignment="0" applyProtection="0"/>
    <xf numFmtId="0" fontId="229" fillId="83" borderId="283" applyAlignment="0">
      <alignment horizontal="center"/>
    </xf>
    <xf numFmtId="0" fontId="153" fillId="0" borderId="429">
      <alignment horizontal="left" vertical="center"/>
    </xf>
    <xf numFmtId="0" fontId="203" fillId="81" borderId="549" applyNumberFormat="0" applyFont="0" applyAlignment="0" applyProtection="0"/>
    <xf numFmtId="0" fontId="203" fillId="81" borderId="360" applyNumberFormat="0" applyFont="0" applyAlignment="0" applyProtection="0"/>
    <xf numFmtId="0" fontId="203" fillId="81" borderId="279" applyNumberFormat="0" applyFont="0" applyAlignment="0" applyProtection="0"/>
    <xf numFmtId="0" fontId="213" fillId="65" borderId="422" applyNumberFormat="0" applyAlignment="0" applyProtection="0"/>
    <xf numFmtId="0" fontId="203" fillId="0" borderId="0"/>
    <xf numFmtId="0" fontId="213" fillId="80" borderId="413" applyNumberFormat="0" applyAlignment="0" applyProtection="0"/>
    <xf numFmtId="0" fontId="213" fillId="65" borderId="368" applyNumberFormat="0" applyAlignment="0" applyProtection="0"/>
    <xf numFmtId="0" fontId="213" fillId="80" borderId="602" applyNumberFormat="0" applyAlignment="0" applyProtection="0"/>
    <xf numFmtId="0" fontId="249" fillId="59" borderId="467" applyNumberFormat="0" applyAlignment="0" applyProtection="0"/>
    <xf numFmtId="0" fontId="213" fillId="65" borderId="287" applyNumberFormat="0" applyAlignment="0" applyProtection="0"/>
    <xf numFmtId="0" fontId="244" fillId="0" borderId="610" applyNumberFormat="0" applyFont="0" applyFill="0" applyAlignment="0" applyProtection="0"/>
    <xf numFmtId="0" fontId="213" fillId="65" borderId="593" applyNumberFormat="0" applyAlignment="0" applyProtection="0"/>
    <xf numFmtId="0" fontId="153" fillId="0" borderId="321">
      <alignment horizontal="left" vertical="center"/>
    </xf>
    <xf numFmtId="0" fontId="216" fillId="78" borderId="478" applyNumberFormat="0" applyAlignment="0" applyProtection="0"/>
    <xf numFmtId="0" fontId="213" fillId="65" borderId="548" applyNumberFormat="0" applyAlignment="0" applyProtection="0"/>
    <xf numFmtId="0" fontId="203" fillId="81" borderId="324" applyNumberFormat="0" applyFont="0" applyAlignment="0" applyProtection="0"/>
    <xf numFmtId="0" fontId="213" fillId="65" borderId="413" applyNumberFormat="0" applyAlignment="0" applyProtection="0"/>
    <xf numFmtId="0" fontId="8" fillId="81" borderId="423" applyNumberFormat="0" applyFont="0" applyAlignment="0" applyProtection="0"/>
    <xf numFmtId="0" fontId="213" fillId="65" borderId="323" applyNumberFormat="0" applyAlignment="0" applyProtection="0"/>
    <xf numFmtId="0" fontId="213" fillId="65" borderId="548" applyNumberFormat="0" applyAlignment="0" applyProtection="0"/>
    <xf numFmtId="0" fontId="213" fillId="80" borderId="458" applyNumberFormat="0" applyAlignment="0" applyProtection="0"/>
    <xf numFmtId="0" fontId="216" fillId="78" borderId="289" applyNumberFormat="0" applyAlignment="0" applyProtection="0"/>
    <xf numFmtId="0" fontId="203" fillId="81" borderId="432" applyNumberFormat="0" applyFont="0" applyAlignment="0" applyProtection="0"/>
    <xf numFmtId="0" fontId="213" fillId="65" borderId="512" applyNumberFormat="0" applyAlignment="0" applyProtection="0"/>
    <xf numFmtId="0" fontId="213" fillId="65" borderId="287" applyNumberFormat="0" applyAlignment="0" applyProtection="0"/>
    <xf numFmtId="0" fontId="216" fillId="78" borderId="379" applyNumberFormat="0" applyAlignment="0" applyProtection="0"/>
    <xf numFmtId="0" fontId="203" fillId="81" borderId="477" applyNumberFormat="0" applyFont="0" applyAlignment="0" applyProtection="0"/>
    <xf numFmtId="0" fontId="213" fillId="65" borderId="377" applyNumberFormat="0" applyAlignment="0" applyProtection="0"/>
    <xf numFmtId="0" fontId="213" fillId="65" borderId="503" applyNumberFormat="0" applyAlignment="0" applyProtection="0"/>
    <xf numFmtId="0" fontId="176" fillId="81" borderId="414" applyNumberFormat="0" applyFont="0" applyAlignment="0" applyProtection="0"/>
    <xf numFmtId="0" fontId="213" fillId="65" borderId="422" applyNumberFormat="0" applyAlignment="0" applyProtection="0"/>
    <xf numFmtId="0" fontId="213" fillId="65" borderId="503" applyNumberFormat="0" applyAlignment="0" applyProtection="0"/>
    <xf numFmtId="0" fontId="213" fillId="65" borderId="602" applyNumberFormat="0" applyAlignment="0" applyProtection="0"/>
    <xf numFmtId="0" fontId="213" fillId="65" borderId="413" applyNumberFormat="0" applyAlignment="0" applyProtection="0"/>
    <xf numFmtId="0" fontId="203" fillId="81" borderId="279" applyNumberFormat="0" applyFont="0" applyAlignment="0" applyProtection="0"/>
    <xf numFmtId="0" fontId="213" fillId="65" borderId="413" applyNumberFormat="0" applyAlignment="0" applyProtection="0"/>
    <xf numFmtId="0" fontId="213" fillId="80" borderId="368" applyNumberFormat="0" applyAlignment="0" applyProtection="0"/>
    <xf numFmtId="0" fontId="213" fillId="80" borderId="422" applyNumberFormat="0" applyAlignment="0" applyProtection="0"/>
    <xf numFmtId="0" fontId="213" fillId="65" borderId="323" applyNumberFormat="0" applyAlignment="0" applyProtection="0"/>
    <xf numFmtId="0" fontId="153" fillId="0" borderId="555">
      <alignment horizontal="left" vertical="center"/>
    </xf>
    <xf numFmtId="0" fontId="174" fillId="0" borderId="607" applyNumberFormat="0" applyFill="0" applyAlignment="0" applyProtection="0"/>
    <xf numFmtId="0" fontId="153" fillId="0" borderId="546">
      <alignment horizontal="left" vertical="center"/>
    </xf>
    <xf numFmtId="0" fontId="213" fillId="65" borderId="503" applyNumberFormat="0" applyAlignment="0" applyProtection="0"/>
    <xf numFmtId="0" fontId="203" fillId="81" borderId="594" applyNumberFormat="0" applyFont="0" applyAlignment="0" applyProtection="0"/>
    <xf numFmtId="0" fontId="229" fillId="83" borderId="598" applyAlignment="0">
      <alignment horizontal="center"/>
    </xf>
    <xf numFmtId="0" fontId="229" fillId="83" borderId="328" applyAlignment="0">
      <alignment horizontal="center"/>
    </xf>
    <xf numFmtId="0" fontId="254" fillId="80" borderId="458" applyNumberFormat="0" applyAlignment="0" applyProtection="0"/>
    <xf numFmtId="0" fontId="213" fillId="65" borderId="467" applyNumberFormat="0" applyAlignment="0" applyProtection="0"/>
    <xf numFmtId="0" fontId="229" fillId="83" borderId="463" applyAlignment="0">
      <alignment horizontal="center"/>
    </xf>
    <xf numFmtId="0" fontId="203" fillId="81" borderId="414" applyNumberFormat="0" applyFont="0" applyAlignment="0" applyProtection="0"/>
    <xf numFmtId="0" fontId="213" fillId="80" borderId="323" applyNumberFormat="0" applyAlignment="0" applyProtection="0"/>
    <xf numFmtId="0" fontId="229" fillId="83" borderId="525" applyAlignment="0">
      <alignment horizontal="center"/>
    </xf>
    <xf numFmtId="0" fontId="213" fillId="65" borderId="476" applyNumberFormat="0" applyAlignment="0" applyProtection="0"/>
    <xf numFmtId="0" fontId="213" fillId="65" borderId="476" applyNumberFormat="0" applyAlignment="0" applyProtection="0"/>
    <xf numFmtId="0" fontId="174" fillId="0" borderId="346" applyNumberFormat="0" applyFill="0" applyAlignment="0" applyProtection="0"/>
    <xf numFmtId="0" fontId="153" fillId="0" borderId="339">
      <alignment horizontal="left" vertical="center"/>
    </xf>
    <xf numFmtId="0" fontId="213" fillId="65" borderId="332" applyNumberFormat="0" applyAlignment="0" applyProtection="0"/>
    <xf numFmtId="0" fontId="213" fillId="65" borderId="413" applyNumberFormat="0" applyAlignment="0" applyProtection="0"/>
    <xf numFmtId="0" fontId="153" fillId="0" borderId="375">
      <alignment horizontal="left" vertical="center"/>
    </xf>
    <xf numFmtId="0" fontId="203" fillId="81" borderId="558" applyNumberFormat="0" applyFont="0" applyAlignment="0" applyProtection="0"/>
    <xf numFmtId="0" fontId="8" fillId="81" borderId="432" applyNumberFormat="0" applyFont="0" applyAlignment="0" applyProtection="0"/>
    <xf numFmtId="0" fontId="216" fillId="59" borderId="505" applyNumberFormat="0" applyAlignment="0" applyProtection="0"/>
    <xf numFmtId="0" fontId="213" fillId="65" borderId="413" applyNumberFormat="0" applyAlignment="0" applyProtection="0"/>
    <xf numFmtId="0" fontId="213" fillId="65" borderId="458" applyNumberFormat="0" applyAlignment="0" applyProtection="0"/>
    <xf numFmtId="0" fontId="203" fillId="81" borderId="414" applyNumberFormat="0" applyFont="0" applyAlignment="0" applyProtection="0"/>
    <xf numFmtId="0" fontId="203" fillId="81" borderId="288" applyNumberFormat="0" applyFont="0" applyAlignment="0" applyProtection="0"/>
    <xf numFmtId="182" fontId="225" fillId="0" borderId="376" applyFill="0" applyProtection="0"/>
    <xf numFmtId="0" fontId="216" fillId="78" borderId="460" applyNumberFormat="0" applyAlignment="0" applyProtection="0"/>
    <xf numFmtId="182" fontId="225" fillId="0" borderId="430" applyFill="0" applyProtection="0"/>
    <xf numFmtId="0" fontId="213" fillId="65" borderId="413" applyNumberFormat="0" applyAlignment="0" applyProtection="0"/>
    <xf numFmtId="0" fontId="203" fillId="81" borderId="522" applyNumberFormat="0" applyFont="0" applyAlignment="0" applyProtection="0"/>
    <xf numFmtId="0" fontId="213" fillId="65" borderId="278" applyNumberFormat="0" applyAlignment="0" applyProtection="0"/>
    <xf numFmtId="0" fontId="213" fillId="65" borderId="548" applyNumberFormat="0" applyAlignment="0" applyProtection="0"/>
    <xf numFmtId="0" fontId="213" fillId="65" borderId="278" applyNumberFormat="0" applyAlignment="0" applyProtection="0"/>
    <xf numFmtId="0" fontId="203" fillId="81" borderId="477" applyNumberFormat="0" applyFont="0" applyAlignment="0" applyProtection="0"/>
    <xf numFmtId="0" fontId="203" fillId="81" borderId="432" applyNumberFormat="0" applyFont="0" applyAlignment="0" applyProtection="0"/>
    <xf numFmtId="0" fontId="203" fillId="81" borderId="378" applyNumberFormat="0" applyFont="0" applyAlignment="0" applyProtection="0"/>
    <xf numFmtId="0" fontId="203" fillId="81" borderId="504" applyNumberFormat="0" applyFont="0" applyAlignment="0" applyProtection="0"/>
    <xf numFmtId="0" fontId="203" fillId="81" borderId="414" applyNumberFormat="0" applyFont="0" applyAlignment="0" applyProtection="0"/>
    <xf numFmtId="0" fontId="203" fillId="81" borderId="558" applyNumberFormat="0" applyFont="0" applyAlignment="0" applyProtection="0"/>
    <xf numFmtId="0" fontId="213" fillId="65" borderId="278" applyNumberFormat="0" applyAlignment="0" applyProtection="0"/>
    <xf numFmtId="0" fontId="174" fillId="0" borderId="382" applyNumberFormat="0" applyFill="0" applyAlignment="0" applyProtection="0"/>
    <xf numFmtId="0" fontId="213" fillId="65" borderId="323" applyNumberFormat="0" applyAlignment="0" applyProtection="0"/>
    <xf numFmtId="0" fontId="176" fillId="81" borderId="459" applyNumberFormat="0" applyFont="0" applyAlignment="0" applyProtection="0"/>
    <xf numFmtId="200" fontId="225" fillId="0" borderId="286" applyFill="0" applyProtection="0"/>
    <xf numFmtId="0" fontId="213" fillId="65" borderId="377" applyNumberFormat="0" applyAlignment="0" applyProtection="0"/>
    <xf numFmtId="0" fontId="206" fillId="78" borderId="566" applyNumberFormat="0" applyAlignment="0" applyProtection="0"/>
    <xf numFmtId="0" fontId="244" fillId="0" borderId="412" applyNumberFormat="0" applyFont="0" applyFill="0" applyAlignment="0" applyProtection="0"/>
    <xf numFmtId="0" fontId="213" fillId="65" borderId="566" applyNumberFormat="0" applyAlignment="0" applyProtection="0"/>
    <xf numFmtId="0" fontId="213" fillId="65" borderId="332" applyNumberFormat="0" applyAlignment="0" applyProtection="0"/>
    <xf numFmtId="182" fontId="225" fillId="0" borderId="520" applyFill="0" applyProtection="0"/>
    <xf numFmtId="0" fontId="203" fillId="81" borderId="549" applyNumberFormat="0" applyFont="0" applyAlignment="0" applyProtection="0"/>
    <xf numFmtId="0" fontId="213" fillId="65" borderId="278" applyNumberFormat="0" applyAlignment="0" applyProtection="0"/>
    <xf numFmtId="0" fontId="153" fillId="0" borderId="609">
      <alignment horizontal="left" vertical="center"/>
    </xf>
    <xf numFmtId="0" fontId="213" fillId="80" borderId="332" applyNumberFormat="0" applyAlignment="0" applyProtection="0"/>
    <xf numFmtId="0" fontId="213" fillId="65" borderId="611" applyNumberFormat="0" applyAlignment="0" applyProtection="0"/>
    <xf numFmtId="0" fontId="213" fillId="80" borderId="413" applyNumberFormat="0" applyAlignment="0" applyProtection="0"/>
    <xf numFmtId="0" fontId="203" fillId="81" borderId="333" applyNumberFormat="0" applyFont="0" applyAlignment="0" applyProtection="0"/>
    <xf numFmtId="0" fontId="213" fillId="65" borderId="377" applyNumberFormat="0" applyAlignment="0" applyProtection="0"/>
    <xf numFmtId="0" fontId="229" fillId="83" borderId="273" applyAlignment="0">
      <alignment horizontal="center"/>
    </xf>
    <xf numFmtId="44" fontId="203" fillId="0" borderId="0" applyFont="0" applyFill="0" applyBorder="0" applyAlignment="0" applyProtection="0"/>
    <xf numFmtId="0" fontId="8" fillId="81" borderId="612" applyNumberFormat="0" applyFont="0" applyAlignment="0" applyProtection="0"/>
    <xf numFmtId="200" fontId="225" fillId="0" borderId="592" applyFill="0" applyProtection="0"/>
    <xf numFmtId="0" fontId="203" fillId="81" borderId="279" applyNumberFormat="0" applyFont="0" applyAlignment="0" applyProtection="0"/>
    <xf numFmtId="0" fontId="213" fillId="65" borderId="323" applyNumberFormat="0" applyAlignment="0" applyProtection="0"/>
    <xf numFmtId="0" fontId="213" fillId="65" borderId="548" applyNumberFormat="0" applyAlignment="0" applyProtection="0"/>
    <xf numFmtId="0" fontId="176" fillId="81" borderId="603" applyNumberFormat="0" applyFont="0" applyAlignment="0" applyProtection="0"/>
    <xf numFmtId="182" fontId="225" fillId="0" borderId="286" applyFill="0" applyProtection="0"/>
    <xf numFmtId="0" fontId="213" fillId="65" borderId="548" applyNumberFormat="0" applyAlignment="0" applyProtection="0"/>
    <xf numFmtId="0" fontId="203" fillId="81" borderId="513" applyNumberFormat="0" applyFont="0" applyAlignment="0" applyProtection="0"/>
    <xf numFmtId="0" fontId="213" fillId="65" borderId="413" applyNumberFormat="0" applyAlignment="0" applyProtection="0"/>
    <xf numFmtId="0" fontId="213" fillId="65" borderId="557" applyNumberFormat="0" applyAlignment="0" applyProtection="0"/>
    <xf numFmtId="0" fontId="229" fillId="83" borderId="463" applyAlignment="0">
      <alignment horizontal="center"/>
    </xf>
    <xf numFmtId="0" fontId="203" fillId="81" borderId="261" applyNumberFormat="0" applyFont="0" applyAlignment="0" applyProtection="0"/>
    <xf numFmtId="0" fontId="213" fillId="65" borderId="287" applyNumberFormat="0" applyAlignment="0" applyProtection="0"/>
    <xf numFmtId="0" fontId="213" fillId="65" borderId="476" applyNumberFormat="0" applyAlignment="0" applyProtection="0"/>
    <xf numFmtId="0" fontId="213" fillId="65" borderId="278" applyNumberFormat="0" applyAlignment="0" applyProtection="0"/>
    <xf numFmtId="0" fontId="216" fillId="78" borderId="424" applyNumberFormat="0" applyAlignment="0" applyProtection="0"/>
    <xf numFmtId="0" fontId="213" fillId="65" borderId="431" applyNumberFormat="0" applyAlignment="0" applyProtection="0"/>
    <xf numFmtId="182" fontId="225" fillId="0" borderId="367" applyFill="0" applyProtection="0"/>
    <xf numFmtId="0" fontId="213" fillId="65" borderId="593" applyNumberFormat="0" applyAlignment="0" applyProtection="0"/>
    <xf numFmtId="0" fontId="216" fillId="78" borderId="280" applyNumberFormat="0" applyAlignment="0" applyProtection="0"/>
    <xf numFmtId="0" fontId="213" fillId="65" borderId="602" applyNumberFormat="0" applyAlignment="0" applyProtection="0"/>
    <xf numFmtId="0" fontId="203" fillId="81" borderId="279" applyNumberFormat="0" applyFont="0" applyAlignment="0" applyProtection="0"/>
    <xf numFmtId="0" fontId="213" fillId="80" borderId="368" applyNumberFormat="0" applyAlignment="0" applyProtection="0"/>
    <xf numFmtId="0" fontId="213" fillId="65" borderId="566" applyNumberFormat="0" applyAlignment="0" applyProtection="0"/>
    <xf numFmtId="182" fontId="225" fillId="0" borderId="547" applyFill="0" applyProtection="0"/>
    <xf numFmtId="0" fontId="174" fillId="0" borderId="452" applyNumberFormat="0" applyFill="0" applyAlignment="0" applyProtection="0"/>
    <xf numFmtId="0" fontId="203" fillId="81" borderId="450" applyNumberFormat="0" applyFont="0" applyAlignment="0" applyProtection="0"/>
    <xf numFmtId="0" fontId="229" fillId="83" borderId="606" applyAlignment="0">
      <alignment horizontal="center"/>
    </xf>
    <xf numFmtId="0" fontId="203" fillId="81" borderId="459" applyNumberFormat="0" applyFont="0" applyAlignment="0" applyProtection="0"/>
    <xf numFmtId="0" fontId="213" fillId="65" borderId="368" applyNumberFormat="0" applyAlignment="0" applyProtection="0"/>
    <xf numFmtId="200" fontId="225" fillId="0" borderId="322" applyFill="0" applyProtection="0"/>
    <xf numFmtId="0" fontId="229" fillId="83" borderId="598" applyAlignment="0">
      <alignment horizontal="center"/>
    </xf>
    <xf numFmtId="0" fontId="174" fillId="0" borderId="551" applyNumberFormat="0" applyFill="0" applyAlignment="0" applyProtection="0"/>
    <xf numFmtId="0" fontId="213" fillId="65" borderId="557" applyNumberFormat="0" applyAlignment="0" applyProtection="0"/>
    <xf numFmtId="0" fontId="203" fillId="81" borderId="558" applyNumberFormat="0" applyFont="0" applyAlignment="0" applyProtection="0"/>
    <xf numFmtId="0" fontId="203" fillId="81" borderId="558" applyNumberFormat="0" applyFont="0" applyAlignment="0" applyProtection="0"/>
    <xf numFmtId="0" fontId="213" fillId="65" borderId="503" applyNumberFormat="0" applyAlignment="0" applyProtection="0"/>
    <xf numFmtId="0" fontId="216" fillId="78" borderId="289" applyNumberFormat="0" applyAlignment="0" applyProtection="0"/>
    <xf numFmtId="0" fontId="213" fillId="65" borderId="521" applyNumberFormat="0" applyAlignment="0" applyProtection="0"/>
    <xf numFmtId="0" fontId="216" fillId="78" borderId="478" applyNumberFormat="0" applyAlignment="0" applyProtection="0"/>
    <xf numFmtId="0" fontId="203" fillId="81" borderId="612" applyNumberFormat="0" applyFont="0" applyAlignment="0" applyProtection="0"/>
    <xf numFmtId="182" fontId="225" fillId="0" borderId="286" applyFill="0" applyProtection="0"/>
    <xf numFmtId="0" fontId="213" fillId="65" borderId="593" applyNumberFormat="0" applyAlignment="0" applyProtection="0"/>
    <xf numFmtId="0" fontId="213" fillId="65" borderId="278" applyNumberFormat="0" applyAlignment="0" applyProtection="0"/>
    <xf numFmtId="0" fontId="213" fillId="65" borderId="503" applyNumberFormat="0" applyAlignment="0" applyProtection="0"/>
    <xf numFmtId="182" fontId="225" fillId="0" borderId="592" applyFill="0" applyProtection="0"/>
    <xf numFmtId="0" fontId="213" fillId="65" borderId="368" applyNumberFormat="0" applyAlignment="0" applyProtection="0"/>
    <xf numFmtId="0" fontId="213" fillId="65" borderId="611" applyNumberFormat="0" applyAlignment="0" applyProtection="0"/>
    <xf numFmtId="0" fontId="216" fillId="78" borderId="424" applyNumberFormat="0" applyAlignment="0" applyProtection="0"/>
    <xf numFmtId="0" fontId="203" fillId="81" borderId="288" applyNumberFormat="0" applyFont="0" applyAlignment="0" applyProtection="0"/>
    <xf numFmtId="0" fontId="203" fillId="81" borderId="369" applyNumberFormat="0" applyFont="0" applyAlignment="0" applyProtection="0"/>
    <xf numFmtId="0" fontId="254" fillId="80" borderId="278" applyNumberFormat="0" applyAlignment="0" applyProtection="0"/>
    <xf numFmtId="0" fontId="213" fillId="65" borderId="368" applyNumberFormat="0" applyAlignment="0" applyProtection="0"/>
    <xf numFmtId="200" fontId="225" fillId="0" borderId="376" applyFill="0" applyProtection="0"/>
    <xf numFmtId="0" fontId="213" fillId="65" borderId="467" applyNumberFormat="0" applyAlignment="0" applyProtection="0"/>
    <xf numFmtId="0" fontId="203" fillId="81" borderId="333" applyNumberFormat="0" applyFont="0" applyAlignment="0" applyProtection="0"/>
    <xf numFmtId="0" fontId="213" fillId="65" borderId="593" applyNumberFormat="0" applyAlignment="0" applyProtection="0"/>
    <xf numFmtId="0" fontId="203" fillId="81" borderId="504" applyNumberFormat="0" applyFont="0" applyAlignment="0" applyProtection="0"/>
    <xf numFmtId="0" fontId="216" fillId="78" borderId="550" applyNumberFormat="0" applyAlignment="0" applyProtection="0"/>
    <xf numFmtId="0" fontId="213" fillId="65" borderId="476" applyNumberFormat="0" applyAlignment="0" applyProtection="0"/>
    <xf numFmtId="0" fontId="203" fillId="81" borderId="432" applyNumberFormat="0" applyFont="0" applyAlignment="0" applyProtection="0"/>
    <xf numFmtId="0" fontId="203" fillId="81" borderId="513" applyNumberFormat="0" applyFont="0" applyAlignment="0" applyProtection="0"/>
    <xf numFmtId="0" fontId="153" fillId="0" borderId="276">
      <alignment horizontal="left" vertical="center"/>
    </xf>
    <xf numFmtId="0" fontId="213" fillId="65" borderId="314" applyNumberFormat="0" applyAlignment="0" applyProtection="0"/>
    <xf numFmtId="182" fontId="225" fillId="0" borderId="475" applyFill="0" applyProtection="0"/>
    <xf numFmtId="0" fontId="213" fillId="65" borderId="602" applyNumberFormat="0" applyAlignment="0" applyProtection="0"/>
    <xf numFmtId="182" fontId="225" fillId="0" borderId="592" applyFill="0" applyProtection="0"/>
    <xf numFmtId="0" fontId="203" fillId="81" borderId="324" applyNumberFormat="0" applyFont="0" applyAlignment="0" applyProtection="0"/>
    <xf numFmtId="0" fontId="203" fillId="81" borderId="279" applyNumberFormat="0" applyFont="0" applyAlignment="0" applyProtection="0"/>
    <xf numFmtId="0" fontId="213" fillId="65" borderId="341" applyNumberFormat="0" applyAlignment="0" applyProtection="0"/>
    <xf numFmtId="0" fontId="213" fillId="65" borderId="458" applyNumberFormat="0" applyAlignment="0" applyProtection="0"/>
    <xf numFmtId="0" fontId="213" fillId="80" borderId="341" applyNumberFormat="0" applyAlignment="0" applyProtection="0"/>
    <xf numFmtId="0" fontId="213" fillId="65" borderId="368" applyNumberFormat="0" applyAlignment="0" applyProtection="0"/>
    <xf numFmtId="0" fontId="203" fillId="81" borderId="387" applyNumberFormat="0" applyFont="0" applyAlignment="0" applyProtection="0"/>
    <xf numFmtId="0" fontId="203" fillId="81" borderId="468" applyNumberFormat="0" applyFont="0" applyAlignment="0" applyProtection="0"/>
    <xf numFmtId="0" fontId="213" fillId="65" borderId="368" applyNumberFormat="0" applyAlignment="0" applyProtection="0"/>
    <xf numFmtId="0" fontId="206" fillId="78" borderId="557" applyNumberFormat="0" applyAlignment="0" applyProtection="0"/>
    <xf numFmtId="0" fontId="203" fillId="81" borderId="378" applyNumberFormat="0" applyFont="0" applyAlignment="0" applyProtection="0"/>
    <xf numFmtId="0" fontId="203" fillId="81" borderId="540" applyNumberFormat="0" applyFont="0" applyAlignment="0" applyProtection="0"/>
    <xf numFmtId="0" fontId="203" fillId="81" borderId="288" applyNumberFormat="0" applyFont="0" applyAlignment="0" applyProtection="0"/>
    <xf numFmtId="0" fontId="238" fillId="59" borderId="413" applyNumberFormat="0" applyAlignment="0" applyProtection="0"/>
    <xf numFmtId="182" fontId="225" fillId="0" borderId="475" applyFill="0" applyProtection="0"/>
    <xf numFmtId="0" fontId="203" fillId="81" borderId="504" applyNumberFormat="0" applyFont="0" applyAlignment="0" applyProtection="0"/>
    <xf numFmtId="0" fontId="213" fillId="65" borderId="323" applyNumberFormat="0" applyAlignment="0" applyProtection="0"/>
    <xf numFmtId="0" fontId="203" fillId="81" borderId="306" applyNumberFormat="0" applyFont="0" applyAlignment="0" applyProtection="0"/>
    <xf numFmtId="0" fontId="216" fillId="59" borderId="280" applyNumberFormat="0" applyAlignment="0" applyProtection="0"/>
    <xf numFmtId="0" fontId="176" fillId="81" borderId="513" applyNumberFormat="0" applyFont="0" applyAlignment="0" applyProtection="0"/>
    <xf numFmtId="0" fontId="213" fillId="65" borderId="287" applyNumberFormat="0" applyAlignment="0" applyProtection="0"/>
    <xf numFmtId="0" fontId="203" fillId="81" borderId="612" applyNumberFormat="0" applyFont="0" applyAlignment="0" applyProtection="0"/>
    <xf numFmtId="0" fontId="203" fillId="81" borderId="306" applyNumberFormat="0" applyFont="0" applyAlignment="0" applyProtection="0"/>
    <xf numFmtId="0" fontId="213" fillId="65" borderId="503" applyNumberFormat="0" applyAlignment="0" applyProtection="0"/>
    <xf numFmtId="0" fontId="213" fillId="80" borderId="503" applyNumberFormat="0" applyAlignment="0" applyProtection="0"/>
    <xf numFmtId="0" fontId="213" fillId="80" borderId="503" applyNumberFormat="0" applyAlignment="0" applyProtection="0"/>
    <xf numFmtId="0" fontId="213" fillId="80" borderId="422" applyNumberFormat="0" applyAlignment="0" applyProtection="0"/>
    <xf numFmtId="0" fontId="213" fillId="65" borderId="332" applyNumberFormat="0" applyAlignment="0" applyProtection="0"/>
    <xf numFmtId="200" fontId="225" fillId="0" borderId="412" applyFill="0" applyProtection="0"/>
    <xf numFmtId="0" fontId="238" fillId="59" borderId="593" applyNumberFormat="0" applyAlignment="0" applyProtection="0"/>
    <xf numFmtId="0" fontId="213" fillId="65" borderId="332" applyNumberFormat="0" applyAlignment="0" applyProtection="0"/>
    <xf numFmtId="0" fontId="213" fillId="65" borderId="593" applyNumberFormat="0" applyAlignment="0" applyProtection="0"/>
    <xf numFmtId="0" fontId="213" fillId="65" borderId="278" applyNumberFormat="0" applyAlignment="0" applyProtection="0"/>
    <xf numFmtId="0" fontId="174" fillId="0" borderId="616" applyNumberFormat="0" applyFill="0" applyAlignment="0" applyProtection="0"/>
    <xf numFmtId="0" fontId="213" fillId="65" borderId="557" applyNumberFormat="0" applyAlignment="0" applyProtection="0"/>
    <xf numFmtId="0" fontId="213" fillId="65" borderId="323" applyNumberFormat="0" applyAlignment="0" applyProtection="0"/>
    <xf numFmtId="0" fontId="213" fillId="65" borderId="503" applyNumberFormat="0" applyAlignment="0" applyProtection="0"/>
    <xf numFmtId="0" fontId="213" fillId="65" borderId="503" applyNumberFormat="0" applyAlignment="0" applyProtection="0"/>
    <xf numFmtId="0" fontId="203" fillId="81" borderId="567" applyNumberFormat="0" applyFont="0" applyAlignment="0" applyProtection="0"/>
    <xf numFmtId="0" fontId="213" fillId="65" borderId="557" applyNumberFormat="0" applyAlignment="0" applyProtection="0"/>
    <xf numFmtId="0" fontId="213" fillId="65" borderId="422" applyNumberFormat="0" applyAlignment="0" applyProtection="0"/>
    <xf numFmtId="0" fontId="229" fillId="83" borderId="598" applyAlignment="0">
      <alignment horizontal="center"/>
    </xf>
    <xf numFmtId="0" fontId="213" fillId="65" borderId="278" applyNumberFormat="0" applyAlignment="0" applyProtection="0"/>
    <xf numFmtId="0" fontId="213" fillId="65" borderId="458" applyNumberFormat="0" applyAlignment="0" applyProtection="0"/>
    <xf numFmtId="0" fontId="213" fillId="65" borderId="368" applyNumberFormat="0" applyAlignment="0" applyProtection="0"/>
    <xf numFmtId="0" fontId="174" fillId="0" borderId="506" applyNumberFormat="0" applyFill="0" applyAlignment="0" applyProtection="0"/>
    <xf numFmtId="0" fontId="213" fillId="65" borderId="413" applyNumberFormat="0" applyAlignment="0" applyProtection="0"/>
    <xf numFmtId="0" fontId="229" fillId="83" borderId="553" applyAlignment="0">
      <alignment horizontal="center"/>
    </xf>
    <xf numFmtId="200" fontId="225" fillId="0" borderId="547" applyFill="0" applyProtection="0"/>
    <xf numFmtId="0" fontId="229" fillId="83" borderId="553" applyAlignment="0">
      <alignment horizontal="center"/>
    </xf>
    <xf numFmtId="0" fontId="213" fillId="65" borderId="458" applyNumberFormat="0" applyAlignment="0" applyProtection="0"/>
    <xf numFmtId="0" fontId="216" fillId="78" borderId="325" applyNumberFormat="0" applyAlignment="0" applyProtection="0"/>
    <xf numFmtId="0" fontId="213" fillId="65" borderId="332" applyNumberFormat="0" applyAlignment="0" applyProtection="0"/>
    <xf numFmtId="0" fontId="238" fillId="59" borderId="368" applyNumberFormat="0" applyAlignment="0" applyProtection="0"/>
    <xf numFmtId="0" fontId="229" fillId="83" borderId="570" applyAlignment="0">
      <alignment horizontal="center"/>
    </xf>
    <xf numFmtId="0" fontId="213" fillId="65" borderId="323" applyNumberFormat="0" applyAlignment="0" applyProtection="0"/>
    <xf numFmtId="200" fontId="225" fillId="0" borderId="367" applyFill="0" applyProtection="0"/>
    <xf numFmtId="0" fontId="213" fillId="65" borderId="377" applyNumberFormat="0" applyAlignment="0" applyProtection="0"/>
    <xf numFmtId="0" fontId="176" fillId="81" borderId="414" applyNumberFormat="0" applyFont="0" applyAlignment="0" applyProtection="0"/>
    <xf numFmtId="0" fontId="203" fillId="81" borderId="549" applyNumberFormat="0" applyFont="0" applyAlignment="0" applyProtection="0"/>
    <xf numFmtId="0" fontId="203" fillId="81" borderId="594" applyNumberFormat="0" applyFont="0" applyAlignment="0" applyProtection="0"/>
    <xf numFmtId="0" fontId="213" fillId="80" borderId="548" applyNumberFormat="0" applyAlignment="0" applyProtection="0"/>
    <xf numFmtId="0" fontId="229" fillId="83" borderId="373" applyAlignment="0">
      <alignment horizontal="center"/>
    </xf>
    <xf numFmtId="0" fontId="8" fillId="81" borderId="342" applyNumberFormat="0" applyFont="0" applyAlignment="0" applyProtection="0"/>
    <xf numFmtId="0" fontId="203" fillId="81" borderId="612" applyNumberFormat="0" applyFont="0" applyAlignment="0" applyProtection="0"/>
    <xf numFmtId="0" fontId="203" fillId="81" borderId="324" applyNumberFormat="0" applyFont="0" applyAlignment="0" applyProtection="0"/>
    <xf numFmtId="0" fontId="213" fillId="65" borderId="413" applyNumberFormat="0" applyAlignment="0" applyProtection="0"/>
    <xf numFmtId="0" fontId="203" fillId="81" borderId="459" applyNumberFormat="0" applyFont="0" applyAlignment="0" applyProtection="0"/>
    <xf numFmtId="0" fontId="213" fillId="65" borderId="467" applyNumberFormat="0" applyAlignment="0" applyProtection="0"/>
    <xf numFmtId="0" fontId="213" fillId="65" borderId="467" applyNumberFormat="0" applyAlignment="0" applyProtection="0"/>
    <xf numFmtId="0" fontId="176" fillId="81" borderId="288" applyNumberFormat="0" applyFont="0" applyAlignment="0" applyProtection="0"/>
    <xf numFmtId="0" fontId="203" fillId="81" borderId="603" applyNumberFormat="0" applyFont="0" applyAlignment="0" applyProtection="0"/>
    <xf numFmtId="0" fontId="213" fillId="65" borderId="503" applyNumberFormat="0" applyAlignment="0" applyProtection="0"/>
    <xf numFmtId="0" fontId="8" fillId="81" borderId="513" applyNumberFormat="0" applyFont="0" applyAlignment="0" applyProtection="0"/>
    <xf numFmtId="182" fontId="225" fillId="0" borderId="376" applyFill="0" applyProtection="0"/>
    <xf numFmtId="0" fontId="203" fillId="81" borderId="378" applyNumberFormat="0" applyFont="0" applyAlignment="0" applyProtection="0"/>
    <xf numFmtId="0" fontId="176" fillId="81" borderId="324" applyNumberFormat="0" applyFont="0" applyAlignment="0" applyProtection="0"/>
    <xf numFmtId="0" fontId="203" fillId="81" borderId="279" applyNumberFormat="0" applyFont="0" applyAlignment="0" applyProtection="0"/>
    <xf numFmtId="0" fontId="229" fillId="83" borderId="553" applyAlignment="0">
      <alignment horizontal="center"/>
    </xf>
    <xf numFmtId="0" fontId="213" fillId="65" borderId="611" applyNumberFormat="0" applyAlignment="0" applyProtection="0"/>
    <xf numFmtId="0" fontId="213" fillId="65" borderId="593" applyNumberFormat="0" applyAlignment="0" applyProtection="0"/>
    <xf numFmtId="0" fontId="203" fillId="81" borderId="567" applyNumberFormat="0" applyFont="0" applyAlignment="0" applyProtection="0"/>
    <xf numFmtId="0" fontId="213" fillId="80" borderId="323" applyNumberFormat="0" applyAlignment="0" applyProtection="0"/>
    <xf numFmtId="0" fontId="213" fillId="65" borderId="476" applyNumberFormat="0" applyAlignment="0" applyProtection="0"/>
    <xf numFmtId="0" fontId="257" fillId="59" borderId="505" applyNumberFormat="0" applyAlignment="0" applyProtection="0"/>
    <xf numFmtId="0" fontId="203" fillId="81" borderId="414" applyNumberFormat="0" applyFont="0" applyAlignment="0" applyProtection="0"/>
    <xf numFmtId="0" fontId="216" fillId="59" borderId="559" applyNumberFormat="0" applyAlignment="0" applyProtection="0"/>
    <xf numFmtId="0" fontId="174" fillId="0" borderId="407" applyNumberFormat="0" applyFill="0" applyAlignment="0" applyProtection="0"/>
    <xf numFmtId="0" fontId="203" fillId="81" borderId="594" applyNumberFormat="0" applyFont="0" applyAlignment="0" applyProtection="0"/>
    <xf numFmtId="0" fontId="213" fillId="65" borderId="422" applyNumberFormat="0" applyAlignment="0" applyProtection="0"/>
    <xf numFmtId="0" fontId="203" fillId="81" borderId="369" applyNumberFormat="0" applyFont="0" applyAlignment="0" applyProtection="0"/>
    <xf numFmtId="200" fontId="225" fillId="0" borderId="502" applyFill="0" applyProtection="0"/>
    <xf numFmtId="0" fontId="213" fillId="65" borderId="467" applyNumberFormat="0" applyAlignment="0" applyProtection="0"/>
    <xf numFmtId="200" fontId="225" fillId="0" borderId="601" applyFill="0" applyProtection="0"/>
    <xf numFmtId="0" fontId="213" fillId="65" borderId="377" applyNumberFormat="0" applyAlignment="0" applyProtection="0"/>
    <xf numFmtId="0" fontId="213" fillId="65" borderId="413" applyNumberFormat="0" applyAlignment="0" applyProtection="0"/>
    <xf numFmtId="0" fontId="203" fillId="81" borderId="324" applyNumberFormat="0" applyFont="0" applyAlignment="0" applyProtection="0"/>
    <xf numFmtId="0" fontId="203" fillId="81" borderId="333" applyNumberFormat="0" applyFont="0" applyAlignment="0" applyProtection="0"/>
    <xf numFmtId="0" fontId="203" fillId="81" borderId="414" applyNumberFormat="0" applyFont="0" applyAlignment="0" applyProtection="0"/>
    <xf numFmtId="0" fontId="203" fillId="81" borderId="558" applyNumberFormat="0" applyFont="0" applyAlignment="0" applyProtection="0"/>
    <xf numFmtId="0" fontId="213" fillId="65" borderId="368" applyNumberFormat="0" applyAlignment="0" applyProtection="0"/>
    <xf numFmtId="0" fontId="206" fillId="78" borderId="323" applyNumberFormat="0" applyAlignment="0" applyProtection="0"/>
    <xf numFmtId="0" fontId="216" fillId="78" borderId="334" applyNumberFormat="0" applyAlignment="0" applyProtection="0"/>
    <xf numFmtId="0" fontId="213" fillId="65" borderId="503" applyNumberFormat="0" applyAlignment="0" applyProtection="0"/>
    <xf numFmtId="0" fontId="203" fillId="81" borderId="549" applyNumberFormat="0" applyFont="0" applyAlignment="0" applyProtection="0"/>
    <xf numFmtId="0" fontId="213" fillId="65" borderId="287" applyNumberFormat="0" applyAlignment="0" applyProtection="0"/>
    <xf numFmtId="0" fontId="213" fillId="65" borderId="386" applyNumberFormat="0" applyAlignment="0" applyProtection="0"/>
    <xf numFmtId="0" fontId="203" fillId="81" borderId="504" applyNumberFormat="0" applyFont="0" applyAlignment="0" applyProtection="0"/>
    <xf numFmtId="0" fontId="203" fillId="81" borderId="612" applyNumberFormat="0" applyFont="0" applyAlignment="0" applyProtection="0"/>
    <xf numFmtId="0" fontId="203" fillId="81" borderId="468" applyNumberFormat="0" applyFont="0" applyAlignment="0" applyProtection="0"/>
    <xf numFmtId="182" fontId="225" fillId="0" borderId="331" applyFill="0" applyProtection="0"/>
    <xf numFmtId="0" fontId="213" fillId="65" borderId="566" applyNumberFormat="0" applyAlignment="0" applyProtection="0"/>
    <xf numFmtId="200" fontId="225" fillId="0" borderId="592" applyFill="0" applyProtection="0"/>
    <xf numFmtId="0" fontId="8" fillId="81" borderId="459" applyNumberFormat="0" applyFont="0" applyAlignment="0" applyProtection="0"/>
    <xf numFmtId="0" fontId="213" fillId="65" borderId="521" applyNumberFormat="0" applyAlignment="0" applyProtection="0"/>
    <xf numFmtId="0" fontId="174" fillId="0" borderId="616" applyNumberFormat="0" applyFill="0" applyAlignment="0" applyProtection="0"/>
    <xf numFmtId="0" fontId="213" fillId="65" borderId="413" applyNumberFormat="0" applyAlignment="0" applyProtection="0"/>
    <xf numFmtId="0" fontId="176" fillId="81" borderId="540" applyNumberFormat="0" applyFont="0" applyAlignment="0" applyProtection="0"/>
    <xf numFmtId="200" fontId="225" fillId="0" borderId="556" applyFill="0" applyProtection="0"/>
    <xf numFmtId="0" fontId="213" fillId="65" borderId="458" applyNumberFormat="0" applyAlignment="0" applyProtection="0"/>
    <xf numFmtId="0" fontId="216" fillId="59" borderId="460" applyNumberFormat="0" applyAlignment="0" applyProtection="0"/>
    <xf numFmtId="0" fontId="203" fillId="81" borderId="459" applyNumberFormat="0" applyFont="0" applyAlignment="0" applyProtection="0"/>
    <xf numFmtId="0" fontId="153" fillId="0" borderId="564">
      <alignment horizontal="left" vertical="center"/>
    </xf>
    <xf numFmtId="0" fontId="203" fillId="81" borderId="414" applyNumberFormat="0" applyFont="0" applyAlignment="0" applyProtection="0"/>
    <xf numFmtId="0" fontId="238" fillId="59" borderId="557" applyNumberFormat="0" applyAlignment="0" applyProtection="0"/>
    <xf numFmtId="0" fontId="176" fillId="81" borderId="360" applyNumberFormat="0" applyFont="0" applyAlignment="0" applyProtection="0"/>
    <xf numFmtId="0" fontId="203" fillId="81" borderId="414" applyNumberFormat="0" applyFont="0" applyAlignment="0" applyProtection="0"/>
    <xf numFmtId="0" fontId="203" fillId="81" borderId="504" applyNumberFormat="0" applyFont="0" applyAlignment="0" applyProtection="0"/>
    <xf numFmtId="0" fontId="213" fillId="65" borderId="512" applyNumberFormat="0" applyAlignment="0" applyProtection="0"/>
    <xf numFmtId="200" fontId="225" fillId="0" borderId="430" applyFill="0" applyProtection="0"/>
    <xf numFmtId="0" fontId="213" fillId="65" borderId="476" applyNumberFormat="0" applyAlignment="0" applyProtection="0"/>
    <xf numFmtId="0" fontId="203" fillId="81" borderId="477" applyNumberFormat="0" applyFont="0" applyAlignment="0" applyProtection="0"/>
    <xf numFmtId="0" fontId="213" fillId="65" borderId="332" applyNumberFormat="0" applyAlignment="0" applyProtection="0"/>
    <xf numFmtId="0" fontId="203" fillId="81" borderId="279" applyNumberFormat="0" applyFont="0" applyAlignment="0" applyProtection="0"/>
    <xf numFmtId="200" fontId="225" fillId="0" borderId="565" applyFill="0" applyProtection="0"/>
    <xf numFmtId="0" fontId="176" fillId="81" borderId="369" applyNumberFormat="0" applyFont="0" applyAlignment="0" applyProtection="0"/>
    <xf numFmtId="182" fontId="225" fillId="0" borderId="430" applyFill="0" applyProtection="0"/>
    <xf numFmtId="0" fontId="213" fillId="80" borderId="278" applyNumberFormat="0" applyAlignment="0" applyProtection="0"/>
    <xf numFmtId="0" fontId="213" fillId="65" borderId="368" applyNumberFormat="0" applyAlignment="0" applyProtection="0"/>
    <xf numFmtId="0" fontId="213" fillId="65" borderId="566" applyNumberFormat="0" applyAlignment="0" applyProtection="0"/>
    <xf numFmtId="0" fontId="174" fillId="0" borderId="542" applyNumberFormat="0" applyFill="0" applyAlignment="0" applyProtection="0"/>
    <xf numFmtId="0" fontId="213" fillId="65" borderId="386" applyNumberFormat="0" applyAlignment="0" applyProtection="0"/>
    <xf numFmtId="0" fontId="213" fillId="65" borderId="476" applyNumberFormat="0" applyAlignment="0" applyProtection="0"/>
    <xf numFmtId="0" fontId="178" fillId="0" borderId="383" applyProtection="0"/>
    <xf numFmtId="0" fontId="213" fillId="65" borderId="377" applyNumberFormat="0" applyAlignment="0" applyProtection="0"/>
    <xf numFmtId="0" fontId="176" fillId="81" borderId="288" applyNumberFormat="0" applyFont="0" applyAlignment="0" applyProtection="0"/>
    <xf numFmtId="200" fontId="225" fillId="0" borderId="511" applyFill="0" applyProtection="0"/>
    <xf numFmtId="0" fontId="213" fillId="65" borderId="413" applyNumberFormat="0" applyAlignment="0" applyProtection="0"/>
    <xf numFmtId="0" fontId="203" fillId="81" borderId="594" applyNumberFormat="0" applyFont="0" applyAlignment="0" applyProtection="0"/>
    <xf numFmtId="0" fontId="213" fillId="65" borderId="557" applyNumberFormat="0" applyAlignment="0" applyProtection="0"/>
    <xf numFmtId="0" fontId="8" fillId="81" borderId="549" applyNumberFormat="0" applyFont="0" applyAlignment="0" applyProtection="0"/>
    <xf numFmtId="0" fontId="8" fillId="81" borderId="504" applyNumberFormat="0" applyFont="0" applyAlignment="0" applyProtection="0"/>
    <xf numFmtId="0" fontId="203" fillId="81" borderId="342" applyNumberFormat="0" applyFon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80" borderId="251" applyNumberFormat="0" applyAlignment="0" applyProtection="0"/>
    <xf numFmtId="0" fontId="213" fillId="65"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176"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176"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06" fillId="78" borderId="251" applyNumberFormat="0" applyAlignment="0" applyProtection="0"/>
    <xf numFmtId="0" fontId="206" fillId="78" borderId="251" applyNumberFormat="0" applyAlignment="0" applyProtection="0"/>
    <xf numFmtId="182" fontId="225" fillId="0" borderId="250" applyFill="0" applyProtection="0"/>
    <xf numFmtId="182" fontId="225" fillId="0" borderId="250" applyFill="0" applyProtection="0"/>
    <xf numFmtId="182" fontId="225" fillId="0" borderId="250" applyFill="0" applyProtection="0"/>
    <xf numFmtId="200" fontId="225" fillId="0" borderId="250" applyFill="0" applyProtection="0"/>
    <xf numFmtId="200" fontId="225" fillId="0" borderId="250" applyFill="0" applyProtection="0"/>
    <xf numFmtId="200" fontId="225" fillId="0" borderId="250" applyFill="0" applyProtection="0"/>
    <xf numFmtId="0" fontId="153" fillId="0" borderId="249">
      <alignment horizontal="left" vertical="center"/>
    </xf>
    <xf numFmtId="0" fontId="229" fillId="83" borderId="255" applyAlignment="0">
      <alignment horizontal="center"/>
    </xf>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29" fillId="83" borderId="255" applyAlignment="0">
      <alignment horizontal="center"/>
    </xf>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29" fillId="83" borderId="255" applyAlignment="0">
      <alignment horizontal="center"/>
    </xf>
    <xf numFmtId="0" fontId="229" fillId="83" borderId="255" applyAlignment="0">
      <alignment horizontal="center"/>
    </xf>
    <xf numFmtId="0" fontId="213" fillId="65" borderId="251" applyNumberFormat="0" applyAlignment="0" applyProtection="0"/>
    <xf numFmtId="0" fontId="216" fillId="78" borderId="253" applyNumberFormat="0" applyAlignment="0" applyProtection="0"/>
    <xf numFmtId="0" fontId="174" fillId="0" borderId="256" applyNumberFormat="0" applyFill="0" applyAlignment="0" applyProtection="0"/>
    <xf numFmtId="0" fontId="216" fillId="78" borderId="253" applyNumberFormat="0" applyAlignment="0" applyProtection="0"/>
    <xf numFmtId="0" fontId="174" fillId="0" borderId="256" applyNumberFormat="0" applyFill="0" applyAlignment="0" applyProtection="0"/>
    <xf numFmtId="182" fontId="225" fillId="0" borderId="250" applyFill="0" applyProtection="0"/>
    <xf numFmtId="200" fontId="225" fillId="0" borderId="250" applyFill="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51" applyNumberFormat="0" applyAlignment="0" applyProtection="0"/>
    <xf numFmtId="0" fontId="203" fillId="81" borderId="252" applyNumberFormat="0" applyFont="0" applyAlignment="0" applyProtection="0"/>
    <xf numFmtId="0" fontId="216" fillId="78" borderId="253" applyNumberFormat="0" applyAlignment="0" applyProtection="0"/>
    <xf numFmtId="0" fontId="174" fillId="0" borderId="256" applyNumberFormat="0" applyFill="0" applyAlignment="0" applyProtection="0"/>
    <xf numFmtId="0" fontId="249" fillId="59" borderId="251" applyNumberFormat="0" applyAlignment="0" applyProtection="0"/>
    <xf numFmtId="0" fontId="254" fillId="80" borderId="251" applyNumberFormat="0" applyAlignment="0" applyProtection="0"/>
    <xf numFmtId="0" fontId="257" fillId="59" borderId="253" applyNumberFormat="0" applyAlignment="0" applyProtection="0"/>
    <xf numFmtId="0" fontId="244" fillId="0" borderId="250" applyNumberFormat="0" applyFont="0" applyFill="0" applyAlignment="0" applyProtection="0"/>
    <xf numFmtId="0" fontId="178" fillId="0" borderId="257" applyProtection="0"/>
    <xf numFmtId="0" fontId="176" fillId="81" borderId="252" applyNumberFormat="0" applyFont="0" applyAlignment="0" applyProtection="0"/>
    <xf numFmtId="0" fontId="8" fillId="81" borderId="252" applyNumberFormat="0" applyFont="0" applyAlignment="0" applyProtection="0"/>
    <xf numFmtId="182" fontId="225" fillId="0" borderId="250" applyFill="0" applyProtection="0"/>
    <xf numFmtId="200" fontId="225" fillId="0" borderId="250" applyFill="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182" fontId="225" fillId="0" borderId="250" applyFill="0" applyProtection="0"/>
    <xf numFmtId="200" fontId="225" fillId="0" borderId="250" applyFill="0" applyProtection="0"/>
    <xf numFmtId="0" fontId="153" fillId="0" borderId="249">
      <alignment horizontal="left" vertical="center"/>
    </xf>
    <xf numFmtId="0" fontId="203" fillId="81" borderId="252" applyNumberFormat="0" applyFont="0" applyAlignment="0" applyProtection="0"/>
    <xf numFmtId="0" fontId="153" fillId="0" borderId="249">
      <alignment horizontal="left" vertical="center"/>
    </xf>
    <xf numFmtId="0" fontId="213" fillId="80" borderId="251" applyNumberFormat="0" applyAlignment="0" applyProtection="0"/>
    <xf numFmtId="0" fontId="8" fillId="81" borderId="252" applyNumberFormat="0" applyFont="0" applyAlignment="0" applyProtection="0"/>
    <xf numFmtId="182" fontId="225" fillId="0" borderId="250" applyFill="0" applyProtection="0"/>
    <xf numFmtId="200" fontId="225" fillId="0" borderId="250" applyFill="0" applyProtection="0"/>
    <xf numFmtId="182" fontId="225" fillId="0" borderId="250" applyFill="0" applyProtection="0"/>
    <xf numFmtId="200" fontId="225" fillId="0" borderId="250" applyFill="0" applyProtection="0"/>
    <xf numFmtId="0" fontId="153" fillId="0" borderId="249">
      <alignment horizontal="left" vertical="center"/>
    </xf>
    <xf numFmtId="182" fontId="225" fillId="0" borderId="250" applyFill="0" applyProtection="0"/>
    <xf numFmtId="200" fontId="225" fillId="0" borderId="250" applyFill="0" applyProtection="0"/>
    <xf numFmtId="0" fontId="176" fillId="81" borderId="252" applyNumberFormat="0" applyFont="0" applyAlignment="0" applyProtection="0"/>
    <xf numFmtId="0" fontId="203" fillId="81" borderId="252" applyNumberFormat="0" applyFont="0" applyAlignment="0" applyProtection="0"/>
    <xf numFmtId="0" fontId="213" fillId="65" borderId="251" applyNumberFormat="0" applyAlignment="0" applyProtection="0"/>
    <xf numFmtId="0" fontId="213" fillId="65" borderId="278" applyNumberFormat="0" applyAlignment="0" applyProtection="0"/>
    <xf numFmtId="0" fontId="229" fillId="83" borderId="237" applyAlignment="0">
      <alignment horizontal="center"/>
    </xf>
    <xf numFmtId="0" fontId="176" fillId="81" borderId="369" applyNumberFormat="0" applyFont="0" applyAlignment="0" applyProtection="0"/>
    <xf numFmtId="0" fontId="213" fillId="80" borderId="512" applyNumberFormat="0" applyAlignment="0" applyProtection="0"/>
    <xf numFmtId="0" fontId="213" fillId="65" borderId="476" applyNumberFormat="0" applyAlignment="0" applyProtection="0"/>
    <xf numFmtId="0" fontId="213" fillId="65" borderId="602" applyNumberFormat="0" applyAlignment="0" applyProtection="0"/>
    <xf numFmtId="0" fontId="203" fillId="81" borderId="477" applyNumberFormat="0" applyFont="0" applyAlignment="0" applyProtection="0"/>
    <xf numFmtId="0" fontId="213" fillId="65" borderId="566" applyNumberFormat="0" applyAlignment="0" applyProtection="0"/>
    <xf numFmtId="0" fontId="203" fillId="81" borderId="369" applyNumberFormat="0" applyFont="0" applyAlignment="0" applyProtection="0"/>
    <xf numFmtId="0" fontId="174" fillId="0" borderId="281" applyNumberFormat="0" applyFill="0" applyAlignment="0" applyProtection="0"/>
    <xf numFmtId="0" fontId="238" fillId="59" borderId="332" applyNumberFormat="0" applyAlignment="0" applyProtection="0"/>
    <xf numFmtId="0" fontId="229" fillId="83" borderId="553" applyAlignment="0">
      <alignment horizontal="center"/>
    </xf>
    <xf numFmtId="0" fontId="203" fillId="81" borderId="414" applyNumberFormat="0" applyFont="0" applyAlignment="0" applyProtection="0"/>
    <xf numFmtId="0" fontId="8" fillId="81" borderId="378" applyNumberFormat="0" applyFont="0" applyAlignment="0" applyProtection="0"/>
    <xf numFmtId="0" fontId="213" fillId="65" borderId="278" applyNumberFormat="0" applyAlignment="0" applyProtection="0"/>
    <xf numFmtId="0" fontId="213" fillId="65" borderId="278" applyNumberFormat="0" applyAlignment="0" applyProtection="0"/>
    <xf numFmtId="0" fontId="203" fillId="81" borderId="261" applyNumberFormat="0" applyFont="0" applyAlignment="0" applyProtection="0"/>
    <xf numFmtId="0" fontId="203" fillId="81" borderId="423" applyNumberFormat="0" applyFont="0" applyAlignment="0" applyProtection="0"/>
    <xf numFmtId="0" fontId="213" fillId="65" borderId="503" applyNumberFormat="0" applyAlignment="0" applyProtection="0"/>
    <xf numFmtId="0" fontId="203" fillId="81" borderId="333" applyNumberFormat="0" applyFont="0" applyAlignment="0" applyProtection="0"/>
    <xf numFmtId="0" fontId="244" fillId="0" borderId="340" applyNumberFormat="0" applyFont="0" applyFill="0" applyAlignment="0" applyProtection="0"/>
    <xf numFmtId="0" fontId="203" fillId="81" borderId="477" applyNumberFormat="0" applyFont="0" applyAlignment="0" applyProtection="0"/>
    <xf numFmtId="0" fontId="238" fillId="59" borderId="503" applyNumberFormat="0" applyAlignment="0" applyProtection="0"/>
    <xf numFmtId="0" fontId="213" fillId="65" borderId="503" applyNumberFormat="0" applyAlignment="0" applyProtection="0"/>
    <xf numFmtId="0" fontId="203" fillId="81" borderId="342" applyNumberFormat="0" applyFont="0" applyAlignment="0" applyProtection="0"/>
    <xf numFmtId="0" fontId="229" fillId="83" borderId="508" applyAlignment="0">
      <alignment horizontal="center"/>
    </xf>
    <xf numFmtId="0" fontId="213" fillId="65" borderId="296" applyNumberFormat="0" applyAlignment="0" applyProtection="0"/>
    <xf numFmtId="0" fontId="238" fillId="59" borderId="413" applyNumberFormat="0" applyAlignment="0" applyProtection="0"/>
    <xf numFmtId="0" fontId="8" fillId="81" borderId="612" applyNumberFormat="0" applyFont="0" applyAlignment="0" applyProtection="0"/>
    <xf numFmtId="0" fontId="203" fillId="81" borderId="225" applyNumberFormat="0" applyFont="0" applyAlignment="0" applyProtection="0"/>
    <xf numFmtId="0" fontId="213" fillId="65" borderId="296" applyNumberFormat="0" applyAlignment="0" applyProtection="0"/>
    <xf numFmtId="0" fontId="213" fillId="80" borderId="611" applyNumberFormat="0" applyAlignment="0" applyProtection="0"/>
    <xf numFmtId="0" fontId="176" fillId="81" borderId="333" applyNumberFormat="0" applyFont="0" applyAlignment="0" applyProtection="0"/>
    <xf numFmtId="0" fontId="229" fillId="83" borderId="373" applyAlignment="0">
      <alignment horizontal="center"/>
    </xf>
    <xf numFmtId="0" fontId="213" fillId="65" borderId="323" applyNumberFormat="0" applyAlignment="0" applyProtection="0"/>
    <xf numFmtId="0" fontId="203" fillId="81" borderId="297" applyNumberFormat="0" applyFont="0" applyAlignment="0" applyProtection="0"/>
    <xf numFmtId="0" fontId="203" fillId="81" borderId="297" applyNumberFormat="0" applyFont="0" applyAlignment="0" applyProtection="0"/>
    <xf numFmtId="182" fontId="225" fillId="0" borderId="421" applyFill="0" applyProtection="0"/>
    <xf numFmtId="0" fontId="229" fillId="83" borderId="300" applyAlignment="0">
      <alignment horizontal="center"/>
    </xf>
    <xf numFmtId="0" fontId="174" fillId="0" borderId="301" applyNumberFormat="0" applyFill="0" applyAlignment="0" applyProtection="0"/>
    <xf numFmtId="0" fontId="249" fillId="59" borderId="368" applyNumberFormat="0" applyAlignment="0" applyProtection="0"/>
    <xf numFmtId="0" fontId="203" fillId="81" borderId="459" applyNumberFormat="0" applyFont="0" applyAlignment="0" applyProtection="0"/>
    <xf numFmtId="0" fontId="203" fillId="81" borderId="297" applyNumberFormat="0" applyFont="0" applyAlignment="0" applyProtection="0"/>
    <xf numFmtId="0" fontId="213" fillId="80" borderId="548" applyNumberFormat="0" applyAlignment="0" applyProtection="0"/>
    <xf numFmtId="0" fontId="213" fillId="65" borderId="548" applyNumberFormat="0" applyAlignment="0" applyProtection="0"/>
    <xf numFmtId="0" fontId="213" fillId="65" borderId="422" applyNumberFormat="0" applyAlignment="0" applyProtection="0"/>
    <xf numFmtId="0" fontId="213" fillId="65" borderId="296" applyNumberFormat="0" applyAlignment="0" applyProtection="0"/>
    <xf numFmtId="0" fontId="203" fillId="81" borderId="468" applyNumberFormat="0" applyFont="0" applyAlignment="0" applyProtection="0"/>
    <xf numFmtId="0" fontId="153" fillId="0" borderId="420">
      <alignment horizontal="left" vertical="center"/>
    </xf>
    <xf numFmtId="0" fontId="203" fillId="81" borderId="612" applyNumberFormat="0" applyFont="0" applyAlignment="0" applyProtection="0"/>
    <xf numFmtId="0" fontId="213" fillId="65" borderId="458" applyNumberFormat="0" applyAlignment="0" applyProtection="0"/>
    <xf numFmtId="0" fontId="203" fillId="81" borderId="297" applyNumberFormat="0" applyFont="0" applyAlignment="0" applyProtection="0"/>
    <xf numFmtId="0" fontId="213" fillId="65" borderId="296" applyNumberFormat="0" applyAlignment="0" applyProtection="0"/>
    <xf numFmtId="0" fontId="203" fillId="81" borderId="297" applyNumberFormat="0" applyFont="0" applyAlignment="0" applyProtection="0"/>
    <xf numFmtId="0" fontId="213" fillId="65" borderId="296" applyNumberFormat="0" applyAlignment="0" applyProtection="0"/>
    <xf numFmtId="0" fontId="213" fillId="65" borderId="296" applyNumberFormat="0" applyAlignment="0" applyProtection="0"/>
    <xf numFmtId="0" fontId="216" fillId="78" borderId="298"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296" applyNumberFormat="0" applyAlignment="0" applyProtection="0"/>
    <xf numFmtId="0" fontId="229" fillId="83" borderId="373" applyAlignment="0">
      <alignment horizontal="center"/>
    </xf>
    <xf numFmtId="200" fontId="225" fillId="0" borderId="556" applyFill="0" applyProtection="0"/>
    <xf numFmtId="0" fontId="238" fillId="59" borderId="341" applyNumberFormat="0" applyAlignment="0" applyProtection="0"/>
    <xf numFmtId="0" fontId="178" fillId="0" borderId="428" applyProtection="0"/>
    <xf numFmtId="0" fontId="244" fillId="0" borderId="565" applyNumberFormat="0" applyFont="0" applyFill="0" applyAlignment="0" applyProtection="0"/>
    <xf numFmtId="0" fontId="203" fillId="81" borderId="369" applyNumberFormat="0" applyFont="0" applyAlignment="0" applyProtection="0"/>
    <xf numFmtId="0" fontId="176" fillId="81" borderId="297" applyNumberFormat="0" applyFont="0" applyAlignment="0" applyProtection="0"/>
    <xf numFmtId="0" fontId="206" fillId="78" borderId="296" applyNumberFormat="0" applyAlignment="0" applyProtection="0"/>
    <xf numFmtId="0" fontId="8" fillId="81" borderId="297" applyNumberFormat="0" applyFont="0" applyAlignment="0" applyProtection="0"/>
    <xf numFmtId="182" fontId="225" fillId="0" borderId="367" applyFill="0" applyProtection="0"/>
    <xf numFmtId="0" fontId="213" fillId="65" borderId="476" applyNumberFormat="0" applyAlignment="0" applyProtection="0"/>
    <xf numFmtId="0" fontId="213" fillId="65" borderId="278" applyNumberFormat="0" applyAlignment="0" applyProtection="0"/>
    <xf numFmtId="0" fontId="213" fillId="80" borderId="467" applyNumberFormat="0" applyAlignment="0" applyProtection="0"/>
    <xf numFmtId="0" fontId="203" fillId="81" borderId="513" applyNumberFormat="0" applyFont="0" applyAlignment="0" applyProtection="0"/>
    <xf numFmtId="0" fontId="213" fillId="65" borderId="593" applyNumberFormat="0" applyAlignment="0" applyProtection="0"/>
    <xf numFmtId="0" fontId="257" fillId="59" borderId="325" applyNumberFormat="0" applyAlignment="0" applyProtection="0"/>
    <xf numFmtId="0" fontId="213" fillId="65" borderId="323" applyNumberFormat="0" applyAlignment="0" applyProtection="0"/>
    <xf numFmtId="0" fontId="213" fillId="65" borderId="287" applyNumberFormat="0" applyAlignment="0" applyProtection="0"/>
    <xf numFmtId="0" fontId="213" fillId="65" borderId="512" applyNumberFormat="0" applyAlignment="0" applyProtection="0"/>
    <xf numFmtId="0" fontId="257" fillId="59" borderId="415" applyNumberFormat="0" applyAlignment="0" applyProtection="0"/>
    <xf numFmtId="0" fontId="216" fillId="59" borderId="352" applyNumberFormat="0" applyAlignment="0" applyProtection="0"/>
    <xf numFmtId="0" fontId="203" fillId="81" borderId="594" applyNumberFormat="0" applyFont="0" applyAlignment="0" applyProtection="0"/>
    <xf numFmtId="0" fontId="176" fillId="81" borderId="279" applyNumberFormat="0" applyFont="0" applyAlignment="0" applyProtection="0"/>
    <xf numFmtId="0" fontId="203" fillId="81" borderId="414" applyNumberFormat="0" applyFont="0" applyAlignment="0" applyProtection="0"/>
    <xf numFmtId="200" fontId="225" fillId="0" borderId="466" applyFill="0" applyProtection="0"/>
    <xf numFmtId="200" fontId="225" fillId="0" borderId="466" applyFill="0" applyProtection="0"/>
    <xf numFmtId="0" fontId="213" fillId="65" borderId="476" applyNumberFormat="0" applyAlignment="0" applyProtection="0"/>
    <xf numFmtId="0" fontId="203" fillId="81" borderId="468" applyNumberFormat="0" applyFont="0" applyAlignment="0" applyProtection="0"/>
    <xf numFmtId="0" fontId="213" fillId="65" borderId="503" applyNumberFormat="0" applyAlignment="0" applyProtection="0"/>
    <xf numFmtId="0" fontId="213" fillId="65" borderId="332" applyNumberFormat="0" applyAlignment="0" applyProtection="0"/>
    <xf numFmtId="0" fontId="203" fillId="81" borderId="567" applyNumberFormat="0" applyFont="0" applyAlignment="0" applyProtection="0"/>
    <xf numFmtId="0" fontId="213" fillId="65" borderId="566" applyNumberFormat="0" applyAlignment="0" applyProtection="0"/>
    <xf numFmtId="0" fontId="213" fillId="65" borderId="323" applyNumberFormat="0" applyAlignment="0" applyProtection="0"/>
    <xf numFmtId="44" fontId="203" fillId="0" borderId="0" applyFont="0" applyFill="0" applyBorder="0" applyAlignment="0" applyProtection="0"/>
    <xf numFmtId="0" fontId="174" fillId="0" borderId="436" applyNumberFormat="0" applyFill="0" applyAlignment="0" applyProtection="0"/>
    <xf numFmtId="0" fontId="174" fillId="0" borderId="346" applyNumberFormat="0" applyFill="0" applyAlignment="0" applyProtection="0"/>
    <xf numFmtId="0" fontId="216" fillId="78" borderId="505" applyNumberFormat="0" applyAlignment="0" applyProtection="0"/>
    <xf numFmtId="182" fontId="225" fillId="0" borderId="511" applyFill="0" applyProtection="0"/>
    <xf numFmtId="0" fontId="174" fillId="0" borderId="472" applyNumberFormat="0" applyFill="0" applyAlignment="0" applyProtection="0"/>
    <xf numFmtId="0" fontId="203" fillId="81" borderId="504" applyNumberFormat="0" applyFont="0" applyAlignment="0" applyProtection="0"/>
    <xf numFmtId="0" fontId="213" fillId="80" borderId="422" applyNumberFormat="0" applyAlignment="0" applyProtection="0"/>
    <xf numFmtId="0" fontId="213" fillId="65" borderId="593" applyNumberFormat="0" applyAlignment="0" applyProtection="0"/>
    <xf numFmtId="0" fontId="213" fillId="65" borderId="458" applyNumberFormat="0" applyAlignment="0" applyProtection="0"/>
    <xf numFmtId="0" fontId="203" fillId="81" borderId="450" applyNumberFormat="0" applyFont="0" applyAlignment="0" applyProtection="0"/>
    <xf numFmtId="0" fontId="203" fillId="81" borderId="378" applyNumberFormat="0" applyFont="0" applyAlignment="0" applyProtection="0"/>
    <xf numFmtId="0" fontId="213" fillId="65" borderId="566" applyNumberFormat="0" applyAlignment="0" applyProtection="0"/>
    <xf numFmtId="0" fontId="238" fillId="59" borderId="278" applyNumberFormat="0" applyAlignment="0" applyProtection="0"/>
    <xf numFmtId="0" fontId="153" fillId="0" borderId="375">
      <alignment horizontal="left" vertical="center"/>
    </xf>
    <xf numFmtId="0" fontId="216" fillId="59" borderId="370" applyNumberFormat="0" applyAlignment="0" applyProtection="0"/>
    <xf numFmtId="0" fontId="213" fillId="65" borderId="431" applyNumberFormat="0" applyAlignment="0" applyProtection="0"/>
    <xf numFmtId="0" fontId="203" fillId="81" borderId="414" applyNumberFormat="0" applyFont="0" applyAlignment="0" applyProtection="0"/>
    <xf numFmtId="0" fontId="203" fillId="81" borderId="513" applyNumberFormat="0" applyFont="0" applyAlignment="0" applyProtection="0"/>
    <xf numFmtId="0" fontId="206" fillId="78" borderId="521" applyNumberFormat="0" applyAlignment="0" applyProtection="0"/>
    <xf numFmtId="0" fontId="213" fillId="65" borderId="368" applyNumberFormat="0" applyAlignment="0" applyProtection="0"/>
    <xf numFmtId="200" fontId="225" fillId="0" borderId="547" applyFill="0" applyProtection="0"/>
    <xf numFmtId="0" fontId="216" fillId="78" borderId="559" applyNumberFormat="0" applyAlignment="0" applyProtection="0"/>
    <xf numFmtId="0" fontId="176" fillId="81" borderId="324" applyNumberFormat="0" applyFont="0" applyAlignment="0" applyProtection="0"/>
    <xf numFmtId="0" fontId="213" fillId="65" borderId="287" applyNumberFormat="0" applyAlignment="0" applyProtection="0"/>
    <xf numFmtId="0" fontId="213" fillId="65" borderId="548" applyNumberFormat="0" applyAlignment="0" applyProtection="0"/>
    <xf numFmtId="0" fontId="213" fillId="65" borderId="323" applyNumberFormat="0" applyAlignment="0" applyProtection="0"/>
    <xf numFmtId="0" fontId="203" fillId="81" borderId="423" applyNumberFormat="0" applyFont="0" applyAlignment="0" applyProtection="0"/>
    <xf numFmtId="0" fontId="203" fillId="81" borderId="504" applyNumberFormat="0" applyFont="0" applyAlignment="0" applyProtection="0"/>
    <xf numFmtId="0" fontId="213" fillId="65" borderId="548" applyNumberFormat="0" applyAlignment="0" applyProtection="0"/>
    <xf numFmtId="0" fontId="153" fillId="0" borderId="564">
      <alignment horizontal="left" vertical="center"/>
    </xf>
    <xf numFmtId="0" fontId="8" fillId="81" borderId="387" applyNumberFormat="0" applyFont="0" applyAlignment="0" applyProtection="0"/>
    <xf numFmtId="0" fontId="213" fillId="65" borderId="368" applyNumberFormat="0" applyAlignment="0" applyProtection="0"/>
    <xf numFmtId="0" fontId="176" fillId="81" borderId="279" applyNumberFormat="0" applyFont="0" applyAlignment="0" applyProtection="0"/>
    <xf numFmtId="0" fontId="216" fillId="78" borderId="298" applyNumberFormat="0" applyAlignment="0" applyProtection="0"/>
    <xf numFmtId="0" fontId="213" fillId="65" borderId="503" applyNumberFormat="0" applyAlignment="0" applyProtection="0"/>
    <xf numFmtId="0" fontId="238" fillId="59" borderId="260" applyNumberFormat="0" applyAlignment="0" applyProtection="0"/>
    <xf numFmtId="0" fontId="229" fillId="83" borderId="255" applyAlignment="0">
      <alignment horizontal="center"/>
    </xf>
    <xf numFmtId="0" fontId="213" fillId="65" borderId="251" applyNumberFormat="0" applyAlignment="0" applyProtection="0"/>
    <xf numFmtId="44" fontId="203" fillId="0" borderId="0" applyFont="0" applyFill="0" applyBorder="0" applyAlignment="0" applyProtection="0"/>
    <xf numFmtId="0" fontId="238" fillId="59"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80" borderId="251" applyNumberFormat="0" applyAlignment="0" applyProtection="0"/>
    <xf numFmtId="0" fontId="213" fillId="65" borderId="251" applyNumberFormat="0" applyAlignment="0" applyProtection="0"/>
    <xf numFmtId="0" fontId="213" fillId="80" borderId="251" applyNumberFormat="0" applyAlignment="0" applyProtection="0"/>
    <xf numFmtId="0" fontId="176" fillId="81" borderId="594" applyNumberFormat="0" applyFont="0" applyAlignment="0" applyProtection="0"/>
    <xf numFmtId="0" fontId="203" fillId="81" borderId="279" applyNumberFormat="0" applyFont="0" applyAlignment="0" applyProtection="0"/>
    <xf numFmtId="0" fontId="213" fillId="65" borderId="332" applyNumberFormat="0" applyAlignment="0" applyProtection="0"/>
    <xf numFmtId="0" fontId="213" fillId="65" borderId="368" applyNumberFormat="0" applyAlignment="0" applyProtection="0"/>
    <xf numFmtId="182" fontId="225" fillId="0" borderId="277" applyFill="0" applyProtection="0"/>
    <xf numFmtId="0" fontId="8" fillId="81" borderId="252" applyNumberFormat="0" applyFont="0" applyAlignment="0" applyProtection="0"/>
    <xf numFmtId="0" fontId="176"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176"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16" fillId="78" borderId="253" applyNumberFormat="0" applyAlignment="0" applyProtection="0"/>
    <xf numFmtId="0" fontId="174" fillId="0" borderId="256" applyNumberFormat="0" applyFill="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96" applyNumberFormat="0" applyAlignment="0" applyProtection="0"/>
    <xf numFmtId="0" fontId="153" fillId="0" borderId="276">
      <alignment horizontal="left" vertical="center"/>
    </xf>
    <xf numFmtId="0" fontId="203" fillId="81" borderId="252" applyNumberFormat="0" applyFont="0" applyAlignment="0" applyProtection="0"/>
    <xf numFmtId="0" fontId="206" fillId="78" borderId="251" applyNumberFormat="0" applyAlignment="0" applyProtection="0"/>
    <xf numFmtId="0" fontId="176" fillId="81" borderId="252" applyNumberFormat="0" applyFont="0" applyAlignment="0" applyProtection="0"/>
    <xf numFmtId="0" fontId="238" fillId="59"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216" fillId="59" borderId="253" applyNumberFormat="0" applyAlignment="0" applyProtection="0"/>
    <xf numFmtId="0" fontId="213" fillId="80" borderId="251" applyNumberFormat="0" applyAlignment="0" applyProtection="0"/>
    <xf numFmtId="0" fontId="176" fillId="81" borderId="252" applyNumberFormat="0" applyFont="0" applyAlignment="0" applyProtection="0"/>
    <xf numFmtId="0" fontId="213" fillId="65" borderId="278" applyNumberFormat="0" applyAlignment="0" applyProtection="0"/>
    <xf numFmtId="182" fontId="225" fillId="0" borderId="277" applyFill="0" applyProtection="0"/>
    <xf numFmtId="0" fontId="203" fillId="81" borderId="279" applyNumberFormat="0" applyFont="0" applyAlignment="0" applyProtection="0"/>
    <xf numFmtId="200" fontId="225" fillId="0" borderId="277" applyFill="0" applyProtection="0"/>
    <xf numFmtId="200" fontId="225" fillId="0" borderId="367" applyFill="0" applyProtection="0"/>
    <xf numFmtId="182" fontId="225" fillId="0" borderId="277" applyFill="0" applyProtection="0"/>
    <xf numFmtId="0" fontId="213" fillId="65" borderId="278" applyNumberFormat="0" applyAlignment="0" applyProtection="0"/>
    <xf numFmtId="0" fontId="203" fillId="81" borderId="333"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80" borderId="260" applyNumberFormat="0" applyAlignment="0" applyProtection="0"/>
    <xf numFmtId="0" fontId="213" fillId="65" borderId="260" applyNumberFormat="0" applyAlignment="0" applyProtection="0"/>
    <xf numFmtId="0" fontId="213" fillId="80" borderId="260" applyNumberFormat="0" applyAlignment="0" applyProtection="0"/>
    <xf numFmtId="0" fontId="8" fillId="81" borderId="261" applyNumberFormat="0" applyFont="0" applyAlignment="0" applyProtection="0"/>
    <xf numFmtId="0" fontId="176"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176" fillId="81" borderId="261" applyNumberFormat="0" applyFont="0" applyAlignment="0" applyProtection="0"/>
    <xf numFmtId="0" fontId="216" fillId="59" borderId="262" applyNumberFormat="0" applyAlignment="0" applyProtection="0"/>
    <xf numFmtId="0" fontId="174" fillId="0" borderId="263" applyNumberFormat="0" applyFill="0" applyAlignment="0" applyProtection="0"/>
    <xf numFmtId="0" fontId="206" fillId="78" borderId="260" applyNumberFormat="0" applyAlignment="0" applyProtection="0"/>
    <xf numFmtId="0" fontId="206" fillId="78" borderId="260" applyNumberFormat="0" applyAlignment="0" applyProtection="0"/>
    <xf numFmtId="182" fontId="225" fillId="0" borderId="259" applyFill="0" applyProtection="0"/>
    <xf numFmtId="182" fontId="225" fillId="0" borderId="259" applyFill="0" applyProtection="0"/>
    <xf numFmtId="182" fontId="225" fillId="0" borderId="259" applyFill="0" applyProtection="0"/>
    <xf numFmtId="200" fontId="225" fillId="0" borderId="259" applyFill="0" applyProtection="0"/>
    <xf numFmtId="200" fontId="225" fillId="0" borderId="259" applyFill="0" applyProtection="0"/>
    <xf numFmtId="200" fontId="225" fillId="0" borderId="259" applyFill="0" applyProtection="0"/>
    <xf numFmtId="0" fontId="153" fillId="0" borderId="258">
      <alignment horizontal="left" vertical="center"/>
    </xf>
    <xf numFmtId="0" fontId="229" fillId="83" borderId="264" applyAlignment="0">
      <alignment horizontal="center"/>
    </xf>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29" fillId="83" borderId="264" applyAlignment="0">
      <alignment horizontal="center"/>
    </xf>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16" fillId="78" borderId="253" applyNumberFormat="0" applyAlignment="0" applyProtection="0"/>
    <xf numFmtId="0" fontId="174" fillId="0" borderId="256" applyNumberFormat="0" applyFill="0" applyAlignment="0" applyProtection="0"/>
    <xf numFmtId="0" fontId="229" fillId="83" borderId="264" applyAlignment="0">
      <alignment horizontal="center"/>
    </xf>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13" fillId="65" borderId="251" applyNumberForma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6" fillId="78" borderId="251" applyNumberFormat="0" applyAlignment="0" applyProtection="0"/>
    <xf numFmtId="0" fontId="176" fillId="81" borderId="252" applyNumberFormat="0" applyFont="0" applyAlignment="0" applyProtection="0"/>
    <xf numFmtId="0" fontId="238" fillId="59" borderId="251" applyNumberFormat="0" applyAlignment="0" applyProtection="0"/>
    <xf numFmtId="0" fontId="213" fillId="80" borderId="251" applyNumberFormat="0" applyAlignment="0" applyProtection="0"/>
    <xf numFmtId="0" fontId="8" fillId="81" borderId="252" applyNumberFormat="0" applyFont="0" applyAlignment="0" applyProtection="0"/>
    <xf numFmtId="0" fontId="216" fillId="59" borderId="253" applyNumberFormat="0" applyAlignment="0" applyProtection="0"/>
    <xf numFmtId="0" fontId="174" fillId="0" borderId="254" applyNumberFormat="0" applyFill="0" applyAlignment="0" applyProtection="0"/>
    <xf numFmtId="0" fontId="213" fillId="80" borderId="251" applyNumberFormat="0" applyAlignment="0" applyProtection="0"/>
    <xf numFmtId="0" fontId="229" fillId="83" borderId="264" applyAlignment="0">
      <alignment horizontal="center"/>
    </xf>
    <xf numFmtId="0" fontId="176" fillId="81" borderId="252" applyNumberFormat="0" applyFont="0" applyAlignment="0" applyProtection="0"/>
    <xf numFmtId="0" fontId="213" fillId="65" borderId="260" applyNumberFormat="0" applyAlignment="0" applyProtection="0"/>
    <xf numFmtId="0" fontId="216" fillId="78" borderId="262" applyNumberFormat="0" applyAlignment="0" applyProtection="0"/>
    <xf numFmtId="0" fontId="174" fillId="0" borderId="265" applyNumberFormat="0" applyFill="0" applyAlignment="0" applyProtection="0"/>
    <xf numFmtId="0" fontId="216" fillId="78" borderId="262" applyNumberFormat="0" applyAlignment="0" applyProtection="0"/>
    <xf numFmtId="0" fontId="174" fillId="0" borderId="265" applyNumberFormat="0" applyFill="0" applyAlignment="0" applyProtection="0"/>
    <xf numFmtId="182" fontId="225" fillId="0" borderId="259" applyFill="0" applyProtection="0"/>
    <xf numFmtId="200" fontId="225" fillId="0" borderId="259" applyFill="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03" fillId="81" borderId="261" applyNumberFormat="0" applyFont="0" applyAlignment="0" applyProtection="0"/>
    <xf numFmtId="0" fontId="213" fillId="65" borderId="260" applyNumberFormat="0" applyAlignment="0" applyProtection="0"/>
    <xf numFmtId="0" fontId="203" fillId="81" borderId="261" applyNumberFormat="0" applyFont="0" applyAlignment="0" applyProtection="0"/>
    <xf numFmtId="0" fontId="216" fillId="78" borderId="262" applyNumberFormat="0" applyAlignment="0" applyProtection="0"/>
    <xf numFmtId="0" fontId="174" fillId="0" borderId="265" applyNumberFormat="0" applyFill="0" applyAlignment="0" applyProtection="0"/>
    <xf numFmtId="0" fontId="249" fillId="59" borderId="260" applyNumberFormat="0" applyAlignment="0" applyProtection="0"/>
    <xf numFmtId="0" fontId="254" fillId="80" borderId="260" applyNumberFormat="0" applyAlignment="0" applyProtection="0"/>
    <xf numFmtId="0" fontId="257" fillId="59" borderId="262" applyNumberFormat="0" applyAlignment="0" applyProtection="0"/>
    <xf numFmtId="0" fontId="244" fillId="0" borderId="259" applyNumberFormat="0" applyFont="0" applyFill="0" applyAlignment="0" applyProtection="0"/>
    <xf numFmtId="0" fontId="178" fillId="0" borderId="266" applyProtection="0"/>
    <xf numFmtId="0" fontId="176" fillId="81" borderId="261" applyNumberFormat="0" applyFont="0" applyAlignment="0" applyProtection="0"/>
    <xf numFmtId="0" fontId="8" fillId="81" borderId="261" applyNumberFormat="0" applyFont="0" applyAlignment="0" applyProtection="0"/>
    <xf numFmtId="182" fontId="225" fillId="0" borderId="259" applyFill="0" applyProtection="0"/>
    <xf numFmtId="200" fontId="225" fillId="0" borderId="259" applyFill="0" applyProtection="0"/>
    <xf numFmtId="0" fontId="213" fillId="65" borderId="260" applyNumberFormat="0" applyAlignment="0" applyProtection="0"/>
    <xf numFmtId="0" fontId="203" fillId="81" borderId="261" applyNumberFormat="0" applyFont="0" applyAlignment="0" applyProtection="0"/>
    <xf numFmtId="0" fontId="203" fillId="81" borderId="261" applyNumberFormat="0" applyFont="0" applyAlignment="0" applyProtection="0"/>
    <xf numFmtId="182" fontId="225" fillId="0" borderId="259" applyFill="0" applyProtection="0"/>
    <xf numFmtId="200" fontId="225" fillId="0" borderId="259" applyFill="0" applyProtection="0"/>
    <xf numFmtId="0" fontId="153" fillId="0" borderId="258">
      <alignment horizontal="left" vertical="center"/>
    </xf>
    <xf numFmtId="0" fontId="203" fillId="81" borderId="261" applyNumberFormat="0" applyFont="0" applyAlignment="0" applyProtection="0"/>
    <xf numFmtId="0" fontId="153" fillId="0" borderId="258">
      <alignment horizontal="left" vertical="center"/>
    </xf>
    <xf numFmtId="0" fontId="213" fillId="80" borderId="260" applyNumberFormat="0" applyAlignment="0" applyProtection="0"/>
    <xf numFmtId="0" fontId="8" fillId="81" borderId="261" applyNumberFormat="0" applyFont="0" applyAlignment="0" applyProtection="0"/>
    <xf numFmtId="182" fontId="225" fillId="0" borderId="259" applyFill="0" applyProtection="0"/>
    <xf numFmtId="200" fontId="225" fillId="0" borderId="259" applyFill="0" applyProtection="0"/>
    <xf numFmtId="182" fontId="225" fillId="0" borderId="259" applyFill="0" applyProtection="0"/>
    <xf numFmtId="200" fontId="225" fillId="0" borderId="259" applyFill="0" applyProtection="0"/>
    <xf numFmtId="0" fontId="153" fillId="0" borderId="258">
      <alignment horizontal="left" vertical="center"/>
    </xf>
    <xf numFmtId="0" fontId="203" fillId="81" borderId="252" applyNumberFormat="0" applyFont="0" applyAlignment="0" applyProtection="0"/>
    <xf numFmtId="182" fontId="225" fillId="0" borderId="259" applyFill="0" applyProtection="0"/>
    <xf numFmtId="200" fontId="225" fillId="0" borderId="259" applyFill="0" applyProtection="0"/>
    <xf numFmtId="0" fontId="176" fillId="81" borderId="261" applyNumberFormat="0" applyFont="0" applyAlignment="0" applyProtection="0"/>
    <xf numFmtId="0" fontId="203" fillId="81" borderId="261"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03" fillId="81" borderId="252" applyNumberFormat="0" applyFont="0" applyAlignment="0" applyProtection="0"/>
    <xf numFmtId="0" fontId="213" fillId="65" borderId="260" applyNumberFormat="0" applyAlignment="0" applyProtection="0"/>
    <xf numFmtId="0" fontId="238" fillId="59" borderId="269" applyNumberFormat="0" applyAlignment="0" applyProtection="0"/>
    <xf numFmtId="0" fontId="213" fillId="65" borderId="260" applyNumberFormat="0" applyAlignment="0" applyProtection="0"/>
    <xf numFmtId="182" fontId="225" fillId="0" borderId="340" applyFill="0" applyProtection="0"/>
    <xf numFmtId="0" fontId="257" fillId="59" borderId="514" applyNumberFormat="0" applyAlignment="0" applyProtection="0"/>
    <xf numFmtId="200" fontId="225" fillId="0" borderId="547" applyFill="0" applyProtection="0"/>
    <xf numFmtId="0" fontId="213" fillId="65" borderId="323" applyNumberFormat="0" applyAlignment="0" applyProtection="0"/>
    <xf numFmtId="182" fontId="225" fillId="0" borderId="277" applyFill="0" applyProtection="0"/>
    <xf numFmtId="200" fontId="225" fillId="0" borderId="277" applyFill="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0" fontId="213" fillId="65" borderId="260" applyNumberFormat="0" applyAlignment="0" applyProtection="0"/>
    <xf numFmtId="200" fontId="225" fillId="0" borderId="277" applyFill="0" applyProtection="0"/>
    <xf numFmtId="0" fontId="206" fillId="78" borderId="260" applyNumberFormat="0" applyAlignment="0" applyProtection="0"/>
    <xf numFmtId="0" fontId="238" fillId="59" borderId="260" applyNumberFormat="0" applyAlignment="0" applyProtection="0"/>
    <xf numFmtId="0" fontId="213" fillId="80" borderId="260" applyNumberFormat="0" applyAlignment="0" applyProtection="0"/>
    <xf numFmtId="0" fontId="213" fillId="80" borderId="260" applyNumberFormat="0" applyAlignment="0" applyProtection="0"/>
    <xf numFmtId="0" fontId="174" fillId="0" borderId="281" applyNumberFormat="0" applyFill="0" applyAlignment="0" applyProtection="0"/>
    <xf numFmtId="0" fontId="213" fillId="65" borderId="278" applyNumberFormat="0" applyAlignment="0" applyProtection="0"/>
    <xf numFmtId="0" fontId="203" fillId="81" borderId="324" applyNumberFormat="0" applyFont="0" applyAlignment="0" applyProtection="0"/>
    <xf numFmtId="0" fontId="213" fillId="65" borderId="386" applyNumberFormat="0" applyAlignment="0" applyProtection="0"/>
    <xf numFmtId="0" fontId="176" fillId="81" borderId="279" applyNumberFormat="0" applyFont="0" applyAlignment="0" applyProtection="0"/>
    <xf numFmtId="0" fontId="213" fillId="65" borderId="458" applyNumberFormat="0" applyAlignment="0" applyProtection="0"/>
    <xf numFmtId="0" fontId="213" fillId="65" borderId="269" applyNumberFormat="0" applyAlignment="0" applyProtection="0"/>
    <xf numFmtId="0" fontId="206" fillId="78" borderId="278" applyNumberFormat="0" applyAlignment="0" applyProtection="0"/>
    <xf numFmtId="0" fontId="213" fillId="65" borderId="278"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80" borderId="269" applyNumberFormat="0" applyAlignment="0" applyProtection="0"/>
    <xf numFmtId="0" fontId="213" fillId="65" borderId="269" applyNumberFormat="0" applyAlignment="0" applyProtection="0"/>
    <xf numFmtId="0" fontId="213" fillId="80" borderId="269" applyNumberFormat="0" applyAlignment="0" applyProtection="0"/>
    <xf numFmtId="0" fontId="8" fillId="81" borderId="270" applyNumberFormat="0" applyFont="0" applyAlignment="0" applyProtection="0"/>
    <xf numFmtId="0" fontId="176"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176" fillId="81" borderId="270" applyNumberFormat="0" applyFont="0" applyAlignment="0" applyProtection="0"/>
    <xf numFmtId="0" fontId="216" fillId="59" borderId="271" applyNumberFormat="0" applyAlignment="0" applyProtection="0"/>
    <xf numFmtId="0" fontId="174" fillId="0" borderId="272" applyNumberFormat="0" applyFill="0" applyAlignment="0" applyProtection="0"/>
    <xf numFmtId="0" fontId="206" fillId="78" borderId="269" applyNumberFormat="0" applyAlignment="0" applyProtection="0"/>
    <xf numFmtId="0" fontId="206" fillId="78" borderId="269" applyNumberFormat="0" applyAlignment="0" applyProtection="0"/>
    <xf numFmtId="182" fontId="225" fillId="0" borderId="268" applyFill="0" applyProtection="0"/>
    <xf numFmtId="182" fontId="225" fillId="0" borderId="268" applyFill="0" applyProtection="0"/>
    <xf numFmtId="182" fontId="225" fillId="0" borderId="268" applyFill="0" applyProtection="0"/>
    <xf numFmtId="200" fontId="225" fillId="0" borderId="268" applyFill="0" applyProtection="0"/>
    <xf numFmtId="200" fontId="225" fillId="0" borderId="268" applyFill="0" applyProtection="0"/>
    <xf numFmtId="200" fontId="225" fillId="0" borderId="268" applyFill="0" applyProtection="0"/>
    <xf numFmtId="0" fontId="153" fillId="0" borderId="267">
      <alignment horizontal="left" vertical="center"/>
    </xf>
    <xf numFmtId="0" fontId="229" fillId="83" borderId="273" applyAlignment="0">
      <alignment horizontal="center"/>
    </xf>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13" fillId="65" borderId="269" applyNumberFormat="0" applyAlignment="0" applyProtection="0"/>
    <xf numFmtId="0" fontId="229" fillId="83" borderId="273" applyAlignment="0">
      <alignment horizontal="center"/>
    </xf>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29" fillId="83" borderId="273" applyAlignment="0">
      <alignment horizontal="center"/>
    </xf>
    <xf numFmtId="0" fontId="229" fillId="83" borderId="273" applyAlignment="0">
      <alignment horizontal="center"/>
    </xf>
    <xf numFmtId="0" fontId="213" fillId="65" borderId="269" applyNumberFormat="0" applyAlignment="0" applyProtection="0"/>
    <xf numFmtId="0" fontId="216" fillId="78" borderId="271" applyNumberFormat="0" applyAlignment="0" applyProtection="0"/>
    <xf numFmtId="0" fontId="174" fillId="0" borderId="274" applyNumberFormat="0" applyFill="0" applyAlignment="0" applyProtection="0"/>
    <xf numFmtId="0" fontId="216" fillId="78" borderId="271" applyNumberFormat="0" applyAlignment="0" applyProtection="0"/>
    <xf numFmtId="0" fontId="174" fillId="0" borderId="274" applyNumberFormat="0" applyFill="0" applyAlignment="0" applyProtection="0"/>
    <xf numFmtId="182" fontId="225" fillId="0" borderId="268" applyFill="0" applyProtection="0"/>
    <xf numFmtId="200" fontId="225" fillId="0" borderId="268" applyFill="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03" fillId="81" borderId="270" applyNumberFormat="0" applyFont="0" applyAlignment="0" applyProtection="0"/>
    <xf numFmtId="0" fontId="213" fillId="65" borderId="269" applyNumberFormat="0" applyAlignment="0" applyProtection="0"/>
    <xf numFmtId="0" fontId="203" fillId="81" borderId="270" applyNumberFormat="0" applyFont="0" applyAlignment="0" applyProtection="0"/>
    <xf numFmtId="0" fontId="216" fillId="78" borderId="271" applyNumberFormat="0" applyAlignment="0" applyProtection="0"/>
    <xf numFmtId="0" fontId="174" fillId="0" borderId="274" applyNumberFormat="0" applyFill="0" applyAlignment="0" applyProtection="0"/>
    <xf numFmtId="0" fontId="249" fillId="59" borderId="269" applyNumberFormat="0" applyAlignment="0" applyProtection="0"/>
    <xf numFmtId="0" fontId="254" fillId="80" borderId="269" applyNumberFormat="0" applyAlignment="0" applyProtection="0"/>
    <xf numFmtId="0" fontId="257" fillId="59" borderId="271" applyNumberFormat="0" applyAlignment="0" applyProtection="0"/>
    <xf numFmtId="0" fontId="244" fillId="0" borderId="268" applyNumberFormat="0" applyFont="0" applyFill="0" applyAlignment="0" applyProtection="0"/>
    <xf numFmtId="0" fontId="178" fillId="0" borderId="275" applyProtection="0"/>
    <xf numFmtId="0" fontId="176" fillId="81" borderId="270" applyNumberFormat="0" applyFont="0" applyAlignment="0" applyProtection="0"/>
    <xf numFmtId="0" fontId="8" fillId="81" borderId="270" applyNumberFormat="0" applyFont="0" applyAlignment="0" applyProtection="0"/>
    <xf numFmtId="182" fontId="225" fillId="0" borderId="268" applyFill="0" applyProtection="0"/>
    <xf numFmtId="200" fontId="225" fillId="0" borderId="268" applyFill="0" applyProtection="0"/>
    <xf numFmtId="0" fontId="213" fillId="65" borderId="269" applyNumberFormat="0" applyAlignment="0" applyProtection="0"/>
    <xf numFmtId="0" fontId="203" fillId="81" borderId="270" applyNumberFormat="0" applyFont="0" applyAlignment="0" applyProtection="0"/>
    <xf numFmtId="0" fontId="203" fillId="81" borderId="270" applyNumberFormat="0" applyFont="0" applyAlignment="0" applyProtection="0"/>
    <xf numFmtId="182" fontId="225" fillId="0" borderId="268" applyFill="0" applyProtection="0"/>
    <xf numFmtId="200" fontId="225" fillId="0" borderId="268" applyFill="0" applyProtection="0"/>
    <xf numFmtId="0" fontId="153" fillId="0" borderId="267">
      <alignment horizontal="left" vertical="center"/>
    </xf>
    <xf numFmtId="0" fontId="203" fillId="81" borderId="270" applyNumberFormat="0" applyFont="0" applyAlignment="0" applyProtection="0"/>
    <xf numFmtId="0" fontId="153" fillId="0" borderId="267">
      <alignment horizontal="left" vertical="center"/>
    </xf>
    <xf numFmtId="0" fontId="213" fillId="80" borderId="269" applyNumberFormat="0" applyAlignment="0" applyProtection="0"/>
    <xf numFmtId="0" fontId="8" fillId="81" borderId="270" applyNumberFormat="0" applyFont="0" applyAlignment="0" applyProtection="0"/>
    <xf numFmtId="182" fontId="225" fillId="0" borderId="268" applyFill="0" applyProtection="0"/>
    <xf numFmtId="200" fontId="225" fillId="0" borderId="268" applyFill="0" applyProtection="0"/>
    <xf numFmtId="182" fontId="225" fillId="0" borderId="268" applyFill="0" applyProtection="0"/>
    <xf numFmtId="200" fontId="225" fillId="0" borderId="268" applyFill="0" applyProtection="0"/>
    <xf numFmtId="0" fontId="153" fillId="0" borderId="267">
      <alignment horizontal="left" vertical="center"/>
    </xf>
    <xf numFmtId="182" fontId="225" fillId="0" borderId="268" applyFill="0" applyProtection="0"/>
    <xf numFmtId="200" fontId="225" fillId="0" borderId="268" applyFill="0" applyProtection="0"/>
    <xf numFmtId="0" fontId="176" fillId="81" borderId="270" applyNumberFormat="0" applyFont="0" applyAlignment="0" applyProtection="0"/>
    <xf numFmtId="0" fontId="203" fillId="81" borderId="270" applyNumberFormat="0" applyFont="0" applyAlignment="0" applyProtection="0"/>
    <xf numFmtId="0" fontId="213" fillId="65" borderId="269" applyNumberFormat="0" applyAlignment="0" applyProtection="0"/>
    <xf numFmtId="0" fontId="229" fillId="83" borderId="237" applyAlignment="0">
      <alignment horizontal="center"/>
    </xf>
    <xf numFmtId="0" fontId="203" fillId="81" borderId="252" applyNumberFormat="0" applyFont="0" applyAlignment="0" applyProtection="0"/>
    <xf numFmtId="0" fontId="176" fillId="81" borderId="549" applyNumberFormat="0" applyFont="0" applyAlignment="0" applyProtection="0"/>
    <xf numFmtId="0" fontId="203" fillId="81" borderId="450" applyNumberFormat="0" applyFont="0" applyAlignment="0" applyProtection="0"/>
    <xf numFmtId="0" fontId="213" fillId="80" borderId="458" applyNumberFormat="0" applyAlignment="0" applyProtection="0"/>
    <xf numFmtId="0" fontId="213" fillId="65" borderId="377" applyNumberFormat="0" applyAlignment="0" applyProtection="0"/>
    <xf numFmtId="0" fontId="174" fillId="0" borderId="596" applyNumberFormat="0" applyFill="0" applyAlignment="0" applyProtection="0"/>
    <xf numFmtId="200" fontId="225" fillId="0" borderId="322" applyFill="0" applyProtection="0"/>
    <xf numFmtId="0" fontId="203" fillId="81" borderId="477" applyNumberFormat="0" applyFont="0" applyAlignment="0" applyProtection="0"/>
    <xf numFmtId="182" fontId="225" fillId="0" borderId="592" applyFill="0" applyProtection="0"/>
    <xf numFmtId="0" fontId="203" fillId="81" borderId="369" applyNumberFormat="0" applyFont="0" applyAlignment="0" applyProtection="0"/>
    <xf numFmtId="0" fontId="238" fillId="59" borderId="413" applyNumberFormat="0" applyAlignment="0" applyProtection="0"/>
    <xf numFmtId="0" fontId="213" fillId="65" borderId="467" applyNumberFormat="0" applyAlignment="0" applyProtection="0"/>
    <xf numFmtId="0" fontId="213" fillId="80" borderId="368" applyNumberFormat="0" applyAlignment="0" applyProtection="0"/>
    <xf numFmtId="0" fontId="213" fillId="65" borderId="557" applyNumberFormat="0" applyAlignment="0" applyProtection="0"/>
    <xf numFmtId="0" fontId="213" fillId="65" borderId="458" applyNumberFormat="0" applyAlignment="0" applyProtection="0"/>
    <xf numFmtId="0" fontId="213" fillId="65" borderId="386" applyNumberFormat="0" applyAlignment="0" applyProtection="0"/>
    <xf numFmtId="0" fontId="213" fillId="65" borderId="323" applyNumberFormat="0" applyAlignment="0" applyProtection="0"/>
    <xf numFmtId="200" fontId="225" fillId="0" borderId="547" applyFill="0" applyProtection="0"/>
    <xf numFmtId="0" fontId="257" fillId="59" borderId="388" applyNumberFormat="0" applyAlignment="0" applyProtection="0"/>
    <xf numFmtId="182" fontId="225" fillId="0" borderId="466" applyFill="0" applyProtection="0"/>
    <xf numFmtId="0" fontId="213" fillId="65" borderId="602" applyNumberFormat="0" applyAlignment="0" applyProtection="0"/>
    <xf numFmtId="0" fontId="213" fillId="65" borderId="458" applyNumberFormat="0" applyAlignment="0" applyProtection="0"/>
    <xf numFmtId="0" fontId="203" fillId="81" borderId="414" applyNumberFormat="0" applyFont="0" applyAlignment="0" applyProtection="0"/>
    <xf numFmtId="0" fontId="213" fillId="65" borderId="476" applyNumberFormat="0" applyAlignment="0" applyProtection="0"/>
    <xf numFmtId="0" fontId="8" fillId="81" borderId="504" applyNumberFormat="0" applyFont="0" applyAlignment="0" applyProtection="0"/>
    <xf numFmtId="0" fontId="229" fillId="83" borderId="463" applyAlignment="0">
      <alignment horizontal="center"/>
    </xf>
    <xf numFmtId="0" fontId="203" fillId="81" borderId="549" applyNumberFormat="0" applyFont="0" applyAlignment="0" applyProtection="0"/>
    <xf numFmtId="0" fontId="203" fillId="81" borderId="378" applyNumberFormat="0" applyFont="0" applyAlignment="0" applyProtection="0"/>
    <xf numFmtId="0" fontId="213" fillId="65" borderId="422" applyNumberFormat="0" applyAlignment="0" applyProtection="0"/>
    <xf numFmtId="0" fontId="213" fillId="65" borderId="548" applyNumberFormat="0" applyAlignment="0" applyProtection="0"/>
    <xf numFmtId="0" fontId="213" fillId="65" borderId="413" applyNumberFormat="0" applyAlignment="0" applyProtection="0"/>
    <xf numFmtId="0" fontId="203" fillId="81" borderId="468" applyNumberFormat="0" applyFont="0" applyAlignment="0" applyProtection="0"/>
    <xf numFmtId="0" fontId="213" fillId="65" borderId="593" applyNumberFormat="0" applyAlignment="0" applyProtection="0"/>
    <xf numFmtId="0" fontId="213" fillId="65" borderId="512" applyNumberFormat="0" applyAlignment="0" applyProtection="0"/>
    <xf numFmtId="0" fontId="8" fillId="81" borderId="522" applyNumberFormat="0" applyFont="0" applyAlignment="0" applyProtection="0"/>
    <xf numFmtId="0" fontId="176" fillId="81" borderId="324" applyNumberFormat="0" applyFont="0" applyAlignment="0" applyProtection="0"/>
    <xf numFmtId="0" fontId="213" fillId="65" borderId="593" applyNumberFormat="0" applyAlignment="0" applyProtection="0"/>
    <xf numFmtId="200" fontId="225" fillId="0" borderId="475" applyFill="0" applyProtection="0"/>
    <xf numFmtId="0" fontId="238" fillId="59" borderId="305" applyNumberFormat="0" applyAlignment="0" applyProtection="0"/>
    <xf numFmtId="0" fontId="229" fillId="83" borderId="300" applyAlignment="0">
      <alignment horizontal="center"/>
    </xf>
    <xf numFmtId="0" fontId="213" fillId="65" borderId="296" applyNumberFormat="0" applyAlignment="0" applyProtection="0"/>
    <xf numFmtId="0" fontId="238" fillId="59"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80" borderId="296" applyNumberFormat="0" applyAlignment="0" applyProtection="0"/>
    <xf numFmtId="0" fontId="213" fillId="65" borderId="296" applyNumberFormat="0" applyAlignment="0" applyProtection="0"/>
    <xf numFmtId="0" fontId="213" fillId="80" borderId="296" applyNumberFormat="0" applyAlignment="0" applyProtection="0"/>
    <xf numFmtId="0" fontId="203" fillId="81" borderId="504" applyNumberFormat="0" applyFont="0" applyAlignment="0" applyProtection="0"/>
    <xf numFmtId="0" fontId="203" fillId="81" borderId="324" applyNumberFormat="0" applyFont="0" applyAlignment="0" applyProtection="0"/>
    <xf numFmtId="0" fontId="203" fillId="81" borderId="477" applyNumberFormat="0" applyFont="0" applyAlignment="0" applyProtection="0"/>
    <xf numFmtId="0" fontId="203" fillId="81" borderId="324" applyNumberFormat="0" applyFont="0" applyAlignment="0" applyProtection="0"/>
    <xf numFmtId="182" fontId="225" fillId="0" borderId="322" applyFill="0" applyProtection="0"/>
    <xf numFmtId="0" fontId="8" fillId="81" borderId="297" applyNumberFormat="0" applyFont="0" applyAlignment="0" applyProtection="0"/>
    <xf numFmtId="0" fontId="176"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176" fillId="81" borderId="297" applyNumberFormat="0" applyFont="0" applyAlignment="0" applyProtection="0"/>
    <xf numFmtId="0" fontId="216" fillId="59" borderId="298" applyNumberFormat="0" applyAlignment="0" applyProtection="0"/>
    <xf numFmtId="0" fontId="174" fillId="0" borderId="299" applyNumberFormat="0" applyFill="0" applyAlignment="0" applyProtection="0"/>
    <xf numFmtId="0" fontId="216" fillId="78" borderId="298" applyNumberFormat="0" applyAlignment="0" applyProtection="0"/>
    <xf numFmtId="0" fontId="174" fillId="0" borderId="301" applyNumberFormat="0" applyFill="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200" fontId="225" fillId="0" borderId="475" applyFill="0" applyProtection="0"/>
    <xf numFmtId="0" fontId="153" fillId="0" borderId="321">
      <alignment horizontal="left" vertical="center"/>
    </xf>
    <xf numFmtId="0" fontId="203" fillId="81" borderId="297" applyNumberFormat="0" applyFont="0" applyAlignment="0" applyProtection="0"/>
    <xf numFmtId="0" fontId="206" fillId="78" borderId="296" applyNumberFormat="0" applyAlignment="0" applyProtection="0"/>
    <xf numFmtId="0" fontId="176" fillId="81" borderId="297" applyNumberFormat="0" applyFont="0" applyAlignment="0" applyProtection="0"/>
    <xf numFmtId="0" fontId="238" fillId="59" borderId="296" applyNumberFormat="0" applyAlignment="0" applyProtection="0"/>
    <xf numFmtId="0" fontId="213" fillId="80" borderId="296" applyNumberFormat="0" applyAlignment="0" applyProtection="0"/>
    <xf numFmtId="0" fontId="8" fillId="81" borderId="297" applyNumberFormat="0" applyFont="0" applyAlignment="0" applyProtection="0"/>
    <xf numFmtId="0" fontId="216" fillId="59" borderId="298" applyNumberFormat="0" applyAlignment="0" applyProtection="0"/>
    <xf numFmtId="0" fontId="213" fillId="80" borderId="296" applyNumberFormat="0" applyAlignment="0" applyProtection="0"/>
    <xf numFmtId="0" fontId="176" fillId="81" borderId="297" applyNumberFormat="0" applyFont="0" applyAlignment="0" applyProtection="0"/>
    <xf numFmtId="0" fontId="203" fillId="81" borderId="558" applyNumberFormat="0" applyFont="0" applyAlignment="0" applyProtection="0"/>
    <xf numFmtId="0" fontId="203" fillId="81" borderId="459" applyNumberFormat="0" applyFont="0" applyAlignment="0" applyProtection="0"/>
    <xf numFmtId="182" fontId="225" fillId="0" borderId="322" applyFill="0" applyProtection="0"/>
    <xf numFmtId="0" fontId="203" fillId="81" borderId="324" applyNumberFormat="0" applyFont="0" applyAlignment="0" applyProtection="0"/>
    <xf numFmtId="200" fontId="225" fillId="0" borderId="322" applyFill="0" applyProtection="0"/>
    <xf numFmtId="182" fontId="225" fillId="0" borderId="322" applyFill="0" applyProtection="0"/>
    <xf numFmtId="0" fontId="213" fillId="65" borderId="323" applyNumberFormat="0" applyAlignment="0" applyProtection="0"/>
    <xf numFmtId="0" fontId="153" fillId="0" borderId="546">
      <alignment horizontal="left" vertical="center"/>
    </xf>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80" borderId="305" applyNumberFormat="0" applyAlignment="0" applyProtection="0"/>
    <xf numFmtId="0" fontId="213" fillId="65" borderId="305" applyNumberFormat="0" applyAlignment="0" applyProtection="0"/>
    <xf numFmtId="0" fontId="213" fillId="80" borderId="305" applyNumberFormat="0" applyAlignment="0" applyProtection="0"/>
    <xf numFmtId="0" fontId="8" fillId="81" borderId="306" applyNumberFormat="0" applyFont="0" applyAlignment="0" applyProtection="0"/>
    <xf numFmtId="0" fontId="176"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176" fillId="81" borderId="306" applyNumberFormat="0" applyFont="0" applyAlignment="0" applyProtection="0"/>
    <xf numFmtId="0" fontId="216" fillId="59" borderId="307" applyNumberFormat="0" applyAlignment="0" applyProtection="0"/>
    <xf numFmtId="0" fontId="174" fillId="0" borderId="308" applyNumberFormat="0" applyFill="0" applyAlignment="0" applyProtection="0"/>
    <xf numFmtId="0" fontId="206" fillId="78" borderId="305" applyNumberFormat="0" applyAlignment="0" applyProtection="0"/>
    <xf numFmtId="0" fontId="206" fillId="78" borderId="305" applyNumberFormat="0" applyAlignment="0" applyProtection="0"/>
    <xf numFmtId="182" fontId="225" fillId="0" borderId="304" applyFill="0" applyProtection="0"/>
    <xf numFmtId="182" fontId="225" fillId="0" borderId="304" applyFill="0" applyProtection="0"/>
    <xf numFmtId="182" fontId="225" fillId="0" borderId="304" applyFill="0" applyProtection="0"/>
    <xf numFmtId="200" fontId="225" fillId="0" borderId="304" applyFill="0" applyProtection="0"/>
    <xf numFmtId="200" fontId="225" fillId="0" borderId="304" applyFill="0" applyProtection="0"/>
    <xf numFmtId="200" fontId="225" fillId="0" borderId="304" applyFill="0" applyProtection="0"/>
    <xf numFmtId="0" fontId="153" fillId="0" borderId="303">
      <alignment horizontal="left" vertical="center"/>
    </xf>
    <xf numFmtId="0" fontId="229" fillId="83" borderId="309" applyAlignment="0">
      <alignment horizontal="center"/>
    </xf>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29" fillId="83" borderId="309" applyAlignment="0">
      <alignment horizontal="center"/>
    </xf>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16" fillId="78" borderId="298" applyNumberFormat="0" applyAlignment="0" applyProtection="0"/>
    <xf numFmtId="0" fontId="174" fillId="0" borderId="301" applyNumberFormat="0" applyFill="0" applyAlignment="0" applyProtection="0"/>
    <xf numFmtId="0" fontId="229" fillId="83" borderId="309" applyAlignment="0">
      <alignment horizontal="center"/>
    </xf>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13" fillId="65" borderId="296" applyNumberForma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6" fillId="78" borderId="296" applyNumberFormat="0" applyAlignment="0" applyProtection="0"/>
    <xf numFmtId="0" fontId="176" fillId="81" borderId="297" applyNumberFormat="0" applyFont="0" applyAlignment="0" applyProtection="0"/>
    <xf numFmtId="0" fontId="238" fillId="59" borderId="296" applyNumberFormat="0" applyAlignment="0" applyProtection="0"/>
    <xf numFmtId="0" fontId="213" fillId="80" borderId="296" applyNumberFormat="0" applyAlignment="0" applyProtection="0"/>
    <xf numFmtId="0" fontId="8" fillId="81" borderId="297" applyNumberFormat="0" applyFont="0" applyAlignment="0" applyProtection="0"/>
    <xf numFmtId="0" fontId="216" fillId="59" borderId="298" applyNumberFormat="0" applyAlignment="0" applyProtection="0"/>
    <xf numFmtId="0" fontId="174" fillId="0" borderId="299" applyNumberFormat="0" applyFill="0" applyAlignment="0" applyProtection="0"/>
    <xf numFmtId="0" fontId="213" fillId="80" borderId="296" applyNumberFormat="0" applyAlignment="0" applyProtection="0"/>
    <xf numFmtId="0" fontId="229" fillId="83" borderId="309" applyAlignment="0">
      <alignment horizontal="center"/>
    </xf>
    <xf numFmtId="0" fontId="176" fillId="81" borderId="297" applyNumberFormat="0" applyFont="0" applyAlignment="0" applyProtection="0"/>
    <xf numFmtId="0" fontId="213" fillId="65" borderId="305" applyNumberFormat="0" applyAlignment="0" applyProtection="0"/>
    <xf numFmtId="0" fontId="216" fillId="78" borderId="307" applyNumberFormat="0" applyAlignment="0" applyProtection="0"/>
    <xf numFmtId="0" fontId="174" fillId="0" borderId="310" applyNumberFormat="0" applyFill="0" applyAlignment="0" applyProtection="0"/>
    <xf numFmtId="0" fontId="216" fillId="78" borderId="307" applyNumberFormat="0" applyAlignment="0" applyProtection="0"/>
    <xf numFmtId="0" fontId="174" fillId="0" borderId="310" applyNumberFormat="0" applyFill="0" applyAlignment="0" applyProtection="0"/>
    <xf numFmtId="182" fontId="225" fillId="0" borderId="304" applyFill="0" applyProtection="0"/>
    <xf numFmtId="200" fontId="225" fillId="0" borderId="304" applyFill="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03" fillId="81" borderId="306" applyNumberFormat="0" applyFont="0" applyAlignment="0" applyProtection="0"/>
    <xf numFmtId="0" fontId="213" fillId="65" borderId="305" applyNumberFormat="0" applyAlignment="0" applyProtection="0"/>
    <xf numFmtId="0" fontId="203" fillId="81" borderId="306" applyNumberFormat="0" applyFont="0" applyAlignment="0" applyProtection="0"/>
    <xf numFmtId="0" fontId="216" fillId="78" borderId="307" applyNumberFormat="0" applyAlignment="0" applyProtection="0"/>
    <xf numFmtId="0" fontId="174" fillId="0" borderId="310" applyNumberFormat="0" applyFill="0" applyAlignment="0" applyProtection="0"/>
    <xf numFmtId="0" fontId="249" fillId="59" borderId="305" applyNumberFormat="0" applyAlignment="0" applyProtection="0"/>
    <xf numFmtId="0" fontId="254" fillId="80" borderId="305" applyNumberFormat="0" applyAlignment="0" applyProtection="0"/>
    <xf numFmtId="0" fontId="257" fillId="59" borderId="307" applyNumberFormat="0" applyAlignment="0" applyProtection="0"/>
    <xf numFmtId="0" fontId="244" fillId="0" borderId="304" applyNumberFormat="0" applyFont="0" applyFill="0" applyAlignment="0" applyProtection="0"/>
    <xf numFmtId="0" fontId="178" fillId="0" borderId="311" applyProtection="0"/>
    <xf numFmtId="0" fontId="176" fillId="81" borderId="306" applyNumberFormat="0" applyFont="0" applyAlignment="0" applyProtection="0"/>
    <xf numFmtId="0" fontId="8" fillId="81" borderId="306" applyNumberFormat="0" applyFont="0" applyAlignment="0" applyProtection="0"/>
    <xf numFmtId="182" fontId="225" fillId="0" borderId="304" applyFill="0" applyProtection="0"/>
    <xf numFmtId="200" fontId="225" fillId="0" borderId="304" applyFill="0" applyProtection="0"/>
    <xf numFmtId="0" fontId="213" fillId="65" borderId="305" applyNumberFormat="0" applyAlignment="0" applyProtection="0"/>
    <xf numFmtId="0" fontId="203" fillId="81" borderId="306" applyNumberFormat="0" applyFont="0" applyAlignment="0" applyProtection="0"/>
    <xf numFmtId="0" fontId="203" fillId="81" borderId="306" applyNumberFormat="0" applyFont="0" applyAlignment="0" applyProtection="0"/>
    <xf numFmtId="182" fontId="225" fillId="0" borderId="304" applyFill="0" applyProtection="0"/>
    <xf numFmtId="200" fontId="225" fillId="0" borderId="304" applyFill="0" applyProtection="0"/>
    <xf numFmtId="0" fontId="153" fillId="0" borderId="303">
      <alignment horizontal="left" vertical="center"/>
    </xf>
    <xf numFmtId="0" fontId="203" fillId="81" borderId="306" applyNumberFormat="0" applyFont="0" applyAlignment="0" applyProtection="0"/>
    <xf numFmtId="0" fontId="153" fillId="0" borderId="303">
      <alignment horizontal="left" vertical="center"/>
    </xf>
    <xf numFmtId="0" fontId="213" fillId="80" borderId="305" applyNumberFormat="0" applyAlignment="0" applyProtection="0"/>
    <xf numFmtId="0" fontId="8" fillId="81" borderId="306" applyNumberFormat="0" applyFont="0" applyAlignment="0" applyProtection="0"/>
    <xf numFmtId="182" fontId="225" fillId="0" borderId="304" applyFill="0" applyProtection="0"/>
    <xf numFmtId="200" fontId="225" fillId="0" borderId="304" applyFill="0" applyProtection="0"/>
    <xf numFmtId="182" fontId="225" fillId="0" borderId="304" applyFill="0" applyProtection="0"/>
    <xf numFmtId="200" fontId="225" fillId="0" borderId="304" applyFill="0" applyProtection="0"/>
    <xf numFmtId="0" fontId="153" fillId="0" borderId="303">
      <alignment horizontal="left" vertical="center"/>
    </xf>
    <xf numFmtId="0" fontId="203" fillId="81" borderId="297" applyNumberFormat="0" applyFont="0" applyAlignment="0" applyProtection="0"/>
    <xf numFmtId="182" fontId="225" fillId="0" borderId="304" applyFill="0" applyProtection="0"/>
    <xf numFmtId="200" fontId="225" fillId="0" borderId="304" applyFill="0" applyProtection="0"/>
    <xf numFmtId="0" fontId="176" fillId="81" borderId="306" applyNumberFormat="0" applyFont="0" applyAlignment="0" applyProtection="0"/>
    <xf numFmtId="0" fontId="203" fillId="81" borderId="306"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03" fillId="81" borderId="297" applyNumberFormat="0" applyFont="0" applyAlignment="0" applyProtection="0"/>
    <xf numFmtId="0" fontId="213" fillId="65" borderId="305" applyNumberFormat="0" applyAlignment="0" applyProtection="0"/>
    <xf numFmtId="0" fontId="238" fillId="59" borderId="314" applyNumberFormat="0" applyAlignment="0" applyProtection="0"/>
    <xf numFmtId="0" fontId="213" fillId="65" borderId="305" applyNumberFormat="0" applyAlignment="0" applyProtection="0"/>
    <xf numFmtId="0" fontId="229" fillId="83" borderId="418" applyAlignment="0">
      <alignment horizontal="center"/>
    </xf>
    <xf numFmtId="182" fontId="225" fillId="0" borderId="322" applyFill="0" applyProtection="0"/>
    <xf numFmtId="200" fontId="225" fillId="0" borderId="322" applyFill="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213" fillId="65" borderId="305" applyNumberFormat="0" applyAlignment="0" applyProtection="0"/>
    <xf numFmtId="0" fontId="174" fillId="0" borderId="544" applyNumberFormat="0" applyFill="0" applyAlignment="0" applyProtection="0"/>
    <xf numFmtId="200" fontId="225" fillId="0" borderId="322" applyFill="0" applyProtection="0"/>
    <xf numFmtId="0" fontId="206" fillId="78" borderId="305" applyNumberFormat="0" applyAlignment="0" applyProtection="0"/>
    <xf numFmtId="0" fontId="238" fillId="59" borderId="305" applyNumberFormat="0" applyAlignment="0" applyProtection="0"/>
    <xf numFmtId="0" fontId="213" fillId="80" borderId="305" applyNumberFormat="0" applyAlignment="0" applyProtection="0"/>
    <xf numFmtId="0" fontId="213" fillId="80" borderId="305" applyNumberFormat="0" applyAlignment="0" applyProtection="0"/>
    <xf numFmtId="0" fontId="174" fillId="0" borderId="326" applyNumberFormat="0" applyFill="0" applyAlignment="0" applyProtection="0"/>
    <xf numFmtId="0" fontId="213" fillId="65" borderId="512" applyNumberFormat="0" applyAlignment="0" applyProtection="0"/>
    <xf numFmtId="0" fontId="213" fillId="65" borderId="431" applyNumberFormat="0" applyAlignment="0" applyProtection="0"/>
    <xf numFmtId="182" fontId="225" fillId="0" borderId="457" applyFill="0" applyProtection="0"/>
    <xf numFmtId="0" fontId="176" fillId="81" borderId="324" applyNumberFormat="0" applyFont="0" applyAlignment="0" applyProtection="0"/>
    <xf numFmtId="0" fontId="213" fillId="65" borderId="323" applyNumberFormat="0" applyAlignment="0" applyProtection="0"/>
    <xf numFmtId="0" fontId="213" fillId="65" borderId="314" applyNumberFormat="0" applyAlignment="0" applyProtection="0"/>
    <xf numFmtId="0" fontId="206" fillId="78" borderId="323"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80" borderId="314" applyNumberFormat="0" applyAlignment="0" applyProtection="0"/>
    <xf numFmtId="0" fontId="213" fillId="65" borderId="314" applyNumberFormat="0" applyAlignment="0" applyProtection="0"/>
    <xf numFmtId="0" fontId="213" fillId="80" borderId="314" applyNumberFormat="0" applyAlignment="0" applyProtection="0"/>
    <xf numFmtId="0" fontId="8" fillId="81" borderId="315" applyNumberFormat="0" applyFont="0" applyAlignment="0" applyProtection="0"/>
    <xf numFmtId="0" fontId="176"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176" fillId="81" borderId="315" applyNumberFormat="0" applyFont="0" applyAlignment="0" applyProtection="0"/>
    <xf numFmtId="0" fontId="216" fillId="59" borderId="316" applyNumberFormat="0" applyAlignment="0" applyProtection="0"/>
    <xf numFmtId="0" fontId="174" fillId="0" borderId="317" applyNumberFormat="0" applyFill="0" applyAlignment="0" applyProtection="0"/>
    <xf numFmtId="0" fontId="206" fillId="78" borderId="314" applyNumberFormat="0" applyAlignment="0" applyProtection="0"/>
    <xf numFmtId="0" fontId="206" fillId="78" borderId="314" applyNumberFormat="0" applyAlignment="0" applyProtection="0"/>
    <xf numFmtId="182" fontId="225" fillId="0" borderId="313" applyFill="0" applyProtection="0"/>
    <xf numFmtId="182" fontId="225" fillId="0" borderId="313" applyFill="0" applyProtection="0"/>
    <xf numFmtId="182" fontId="225" fillId="0" borderId="313" applyFill="0" applyProtection="0"/>
    <xf numFmtId="200" fontId="225" fillId="0" borderId="313" applyFill="0" applyProtection="0"/>
    <xf numFmtId="200" fontId="225" fillId="0" borderId="313" applyFill="0" applyProtection="0"/>
    <xf numFmtId="200" fontId="225" fillId="0" borderId="313" applyFill="0" applyProtection="0"/>
    <xf numFmtId="0" fontId="153" fillId="0" borderId="312">
      <alignment horizontal="left" vertical="center"/>
    </xf>
    <xf numFmtId="0" fontId="229" fillId="83" borderId="318" applyAlignment="0">
      <alignment horizontal="center"/>
    </xf>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13" fillId="65" borderId="314" applyNumberFormat="0" applyAlignment="0" applyProtection="0"/>
    <xf numFmtId="0" fontId="229" fillId="83" borderId="318" applyAlignment="0">
      <alignment horizontal="center"/>
    </xf>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29" fillId="83" borderId="318" applyAlignment="0">
      <alignment horizontal="center"/>
    </xf>
    <xf numFmtId="0" fontId="229" fillId="83" borderId="318" applyAlignment="0">
      <alignment horizontal="center"/>
    </xf>
    <xf numFmtId="0" fontId="213" fillId="65" borderId="314" applyNumberFormat="0" applyAlignment="0" applyProtection="0"/>
    <xf numFmtId="0" fontId="216" fillId="78" borderId="316" applyNumberFormat="0" applyAlignment="0" applyProtection="0"/>
    <xf numFmtId="0" fontId="174" fillId="0" borderId="319" applyNumberFormat="0" applyFill="0" applyAlignment="0" applyProtection="0"/>
    <xf numFmtId="0" fontId="216" fillId="78" borderId="316" applyNumberFormat="0" applyAlignment="0" applyProtection="0"/>
    <xf numFmtId="0" fontId="174" fillId="0" borderId="319" applyNumberFormat="0" applyFill="0" applyAlignment="0" applyProtection="0"/>
    <xf numFmtId="182" fontId="225" fillId="0" borderId="313" applyFill="0" applyProtection="0"/>
    <xf numFmtId="200" fontId="225" fillId="0" borderId="313" applyFill="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03" fillId="81" borderId="315" applyNumberFormat="0" applyFont="0" applyAlignment="0" applyProtection="0"/>
    <xf numFmtId="0" fontId="213" fillId="65" borderId="314" applyNumberFormat="0" applyAlignment="0" applyProtection="0"/>
    <xf numFmtId="0" fontId="203" fillId="81" borderId="315" applyNumberFormat="0" applyFont="0" applyAlignment="0" applyProtection="0"/>
    <xf numFmtId="0" fontId="216" fillId="78" borderId="316" applyNumberFormat="0" applyAlignment="0" applyProtection="0"/>
    <xf numFmtId="0" fontId="174" fillId="0" borderId="319" applyNumberFormat="0" applyFill="0" applyAlignment="0" applyProtection="0"/>
    <xf numFmtId="0" fontId="249" fillId="59" borderId="314" applyNumberFormat="0" applyAlignment="0" applyProtection="0"/>
    <xf numFmtId="0" fontId="254" fillId="80" borderId="314" applyNumberFormat="0" applyAlignment="0" applyProtection="0"/>
    <xf numFmtId="0" fontId="257" fillId="59" borderId="316" applyNumberFormat="0" applyAlignment="0" applyProtection="0"/>
    <xf numFmtId="0" fontId="244" fillId="0" borderId="313" applyNumberFormat="0" applyFont="0" applyFill="0" applyAlignment="0" applyProtection="0"/>
    <xf numFmtId="0" fontId="178" fillId="0" borderId="320" applyProtection="0"/>
    <xf numFmtId="0" fontId="176" fillId="81" borderId="315" applyNumberFormat="0" applyFont="0" applyAlignment="0" applyProtection="0"/>
    <xf numFmtId="0" fontId="8" fillId="81" borderId="315" applyNumberFormat="0" applyFont="0" applyAlignment="0" applyProtection="0"/>
    <xf numFmtId="182" fontId="225" fillId="0" borderId="313" applyFill="0" applyProtection="0"/>
    <xf numFmtId="200" fontId="225" fillId="0" borderId="313" applyFill="0" applyProtection="0"/>
    <xf numFmtId="0" fontId="213" fillId="65" borderId="314" applyNumberFormat="0" applyAlignment="0" applyProtection="0"/>
    <xf numFmtId="0" fontId="203" fillId="81" borderId="315" applyNumberFormat="0" applyFont="0" applyAlignment="0" applyProtection="0"/>
    <xf numFmtId="0" fontId="203" fillId="81" borderId="315" applyNumberFormat="0" applyFont="0" applyAlignment="0" applyProtection="0"/>
    <xf numFmtId="182" fontId="225" fillId="0" borderId="313" applyFill="0" applyProtection="0"/>
    <xf numFmtId="200" fontId="225" fillId="0" borderId="313" applyFill="0" applyProtection="0"/>
    <xf numFmtId="0" fontId="153" fillId="0" borderId="312">
      <alignment horizontal="left" vertical="center"/>
    </xf>
    <xf numFmtId="0" fontId="203" fillId="81" borderId="315" applyNumberFormat="0" applyFont="0" applyAlignment="0" applyProtection="0"/>
    <xf numFmtId="0" fontId="153" fillId="0" borderId="312">
      <alignment horizontal="left" vertical="center"/>
    </xf>
    <xf numFmtId="0" fontId="213" fillId="80" borderId="314" applyNumberFormat="0" applyAlignment="0" applyProtection="0"/>
    <xf numFmtId="0" fontId="8" fillId="81" borderId="315" applyNumberFormat="0" applyFont="0" applyAlignment="0" applyProtection="0"/>
    <xf numFmtId="182" fontId="225" fillId="0" borderId="313" applyFill="0" applyProtection="0"/>
    <xf numFmtId="200" fontId="225" fillId="0" borderId="313" applyFill="0" applyProtection="0"/>
    <xf numFmtId="182" fontId="225" fillId="0" borderId="313" applyFill="0" applyProtection="0"/>
    <xf numFmtId="200" fontId="225" fillId="0" borderId="313" applyFill="0" applyProtection="0"/>
    <xf numFmtId="0" fontId="153" fillId="0" borderId="312">
      <alignment horizontal="left" vertical="center"/>
    </xf>
    <xf numFmtId="182" fontId="225" fillId="0" borderId="313" applyFill="0" applyProtection="0"/>
    <xf numFmtId="200" fontId="225" fillId="0" borderId="313" applyFill="0" applyProtection="0"/>
    <xf numFmtId="0" fontId="176" fillId="81" borderId="315" applyNumberFormat="0" applyFont="0" applyAlignment="0" applyProtection="0"/>
    <xf numFmtId="0" fontId="203" fillId="81" borderId="315" applyNumberFormat="0" applyFont="0" applyAlignment="0" applyProtection="0"/>
    <xf numFmtId="0" fontId="213" fillId="65" borderId="314" applyNumberFormat="0" applyAlignment="0" applyProtection="0"/>
    <xf numFmtId="0" fontId="229" fillId="83" borderId="283" applyAlignment="0">
      <alignment horizontal="center"/>
    </xf>
    <xf numFmtId="0" fontId="203" fillId="81" borderId="297" applyNumberFormat="0" applyFont="0" applyAlignment="0" applyProtection="0"/>
    <xf numFmtId="0" fontId="213" fillId="65" borderId="368" applyNumberFormat="0" applyAlignment="0" applyProtection="0"/>
    <xf numFmtId="0" fontId="213" fillId="65" borderId="458" applyNumberFormat="0" applyAlignment="0" applyProtection="0"/>
    <xf numFmtId="0" fontId="229" fillId="83" borderId="606" applyAlignment="0">
      <alignment horizontal="center"/>
    </xf>
    <xf numFmtId="0" fontId="203" fillId="81" borderId="495" applyNumberFormat="0" applyFont="0" applyAlignment="0" applyProtection="0"/>
    <xf numFmtId="200" fontId="225" fillId="0" borderId="565" applyFill="0" applyProtection="0"/>
    <xf numFmtId="0" fontId="213" fillId="65" borderId="413" applyNumberFormat="0" applyAlignment="0" applyProtection="0"/>
    <xf numFmtId="0" fontId="203" fillId="81" borderId="612" applyNumberFormat="0" applyFont="0" applyAlignment="0" applyProtection="0"/>
    <xf numFmtId="200" fontId="225" fillId="0" borderId="547" applyFill="0" applyProtection="0"/>
    <xf numFmtId="0" fontId="249" fillId="59" borderId="557" applyNumberFormat="0" applyAlignment="0" applyProtection="0"/>
    <xf numFmtId="0" fontId="203" fillId="81" borderId="549" applyNumberFormat="0" applyFont="0" applyAlignment="0" applyProtection="0"/>
    <xf numFmtId="0" fontId="203" fillId="81" borderId="558" applyNumberFormat="0" applyFont="0" applyAlignment="0" applyProtection="0"/>
    <xf numFmtId="0" fontId="213" fillId="65" borderId="413" applyNumberFormat="0" applyAlignment="0" applyProtection="0"/>
    <xf numFmtId="0" fontId="213" fillId="65" borderId="503" applyNumberFormat="0" applyAlignment="0" applyProtection="0"/>
    <xf numFmtId="0" fontId="203" fillId="81" borderId="414" applyNumberFormat="0" applyFont="0" applyAlignment="0" applyProtection="0"/>
    <xf numFmtId="0" fontId="229" fillId="83" borderId="463" applyAlignment="0">
      <alignment horizontal="center"/>
    </xf>
    <xf numFmtId="200" fontId="225" fillId="0" borderId="367" applyFill="0" applyProtection="0"/>
    <xf numFmtId="0" fontId="213" fillId="65" borderId="593" applyNumberFormat="0" applyAlignment="0" applyProtection="0"/>
    <xf numFmtId="0" fontId="213" fillId="65" borderId="467" applyNumberFormat="0" applyAlignment="0" applyProtection="0"/>
    <xf numFmtId="0" fontId="213" fillId="65" borderId="593" applyNumberFormat="0" applyAlignment="0" applyProtection="0"/>
    <xf numFmtId="0" fontId="213" fillId="65" borderId="557" applyNumberFormat="0" applyAlignment="0" applyProtection="0"/>
    <xf numFmtId="0" fontId="8" fillId="81" borderId="414" applyNumberFormat="0" applyFont="0" applyAlignment="0" applyProtection="0"/>
    <xf numFmtId="0" fontId="203" fillId="81" borderId="603" applyNumberFormat="0" applyFont="0" applyAlignment="0" applyProtection="0"/>
    <xf numFmtId="200" fontId="225" fillId="0" borderId="502" applyFill="0" applyProtection="0"/>
    <xf numFmtId="0" fontId="229" fillId="83" borderId="553" applyAlignment="0">
      <alignment horizontal="center"/>
    </xf>
    <xf numFmtId="0" fontId="213" fillId="80" borderId="413" applyNumberFormat="0" applyAlignment="0" applyProtection="0"/>
    <xf numFmtId="0" fontId="203" fillId="81" borderId="549" applyNumberFormat="0" applyFont="0" applyAlignment="0" applyProtection="0"/>
    <xf numFmtId="0" fontId="254" fillId="80" borderId="503" applyNumberFormat="0" applyAlignment="0" applyProtection="0"/>
    <xf numFmtId="0" fontId="213" fillId="65" borderId="584" applyNumberFormat="0" applyAlignment="0" applyProtection="0"/>
    <xf numFmtId="0" fontId="213" fillId="65" borderId="566" applyNumberFormat="0" applyAlignment="0" applyProtection="0"/>
    <xf numFmtId="0" fontId="213" fillId="65" borderId="458" applyNumberFormat="0" applyAlignment="0" applyProtection="0"/>
    <xf numFmtId="0" fontId="213" fillId="65" borderId="431" applyNumberFormat="0" applyAlignment="0" applyProtection="0"/>
    <xf numFmtId="0" fontId="213" fillId="65" borderId="368" applyNumberFormat="0" applyAlignment="0" applyProtection="0"/>
    <xf numFmtId="0" fontId="249" fillId="59" borderId="431" applyNumberFormat="0" applyAlignment="0" applyProtection="0"/>
    <xf numFmtId="0" fontId="203" fillId="81" borderId="405" applyNumberFormat="0" applyFont="0" applyAlignment="0" applyProtection="0"/>
    <xf numFmtId="0" fontId="206" fillId="78" borderId="548" applyNumberFormat="0" applyAlignment="0" applyProtection="0"/>
    <xf numFmtId="0" fontId="203" fillId="81" borderId="414" applyNumberFormat="0" applyFont="0" applyAlignment="0" applyProtection="0"/>
    <xf numFmtId="200" fontId="225" fillId="0" borderId="556" applyFill="0" applyProtection="0"/>
    <xf numFmtId="0" fontId="216" fillId="78" borderId="505" applyNumberFormat="0" applyAlignment="0" applyProtection="0"/>
    <xf numFmtId="0" fontId="213" fillId="80" borderId="512" applyNumberFormat="0" applyAlignment="0" applyProtection="0"/>
    <xf numFmtId="0" fontId="229" fillId="83" borderId="418" applyAlignment="0">
      <alignment horizontal="center"/>
    </xf>
    <xf numFmtId="0" fontId="213" fillId="65" borderId="458" applyNumberFormat="0" applyAlignment="0" applyProtection="0"/>
    <xf numFmtId="0" fontId="203" fillId="81" borderId="423" applyNumberFormat="0" applyFont="0" applyAlignment="0" applyProtection="0"/>
    <xf numFmtId="0" fontId="216" fillId="78" borderId="595" applyNumberFormat="0" applyAlignment="0" applyProtection="0"/>
    <xf numFmtId="0" fontId="153" fillId="0" borderId="501">
      <alignment horizontal="left" vertical="center"/>
    </xf>
    <xf numFmtId="0" fontId="213" fillId="65" borderId="458" applyNumberFormat="0" applyAlignment="0" applyProtection="0"/>
    <xf numFmtId="0" fontId="206" fillId="78" borderId="593" applyNumberFormat="0" applyAlignment="0" applyProtection="0"/>
    <xf numFmtId="0" fontId="176" fillId="81" borderId="603" applyNumberFormat="0" applyFont="0" applyAlignment="0" applyProtection="0"/>
    <xf numFmtId="0" fontId="213" fillId="65" borderId="413" applyNumberFormat="0" applyAlignment="0" applyProtection="0"/>
    <xf numFmtId="0" fontId="213" fillId="65" borderId="503" applyNumberFormat="0" applyAlignment="0" applyProtection="0"/>
    <xf numFmtId="0" fontId="176" fillId="81" borderId="369" applyNumberFormat="0" applyFont="0" applyAlignment="0" applyProtection="0"/>
    <xf numFmtId="0" fontId="153" fillId="0" borderId="591">
      <alignment horizontal="left" vertical="center"/>
    </xf>
    <xf numFmtId="0" fontId="174" fillId="0" borderId="506" applyNumberFormat="0" applyFill="0" applyAlignment="0" applyProtection="0"/>
    <xf numFmtId="0" fontId="238" fillId="59" borderId="350" applyNumberFormat="0" applyAlignment="0" applyProtection="0"/>
    <xf numFmtId="0" fontId="229" fillId="83" borderId="345" applyAlignment="0">
      <alignment horizontal="center"/>
    </xf>
    <xf numFmtId="0" fontId="213" fillId="65" borderId="341" applyNumberFormat="0" applyAlignment="0" applyProtection="0"/>
    <xf numFmtId="0" fontId="238" fillId="59"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80" borderId="341" applyNumberFormat="0" applyAlignment="0" applyProtection="0"/>
    <xf numFmtId="0" fontId="213" fillId="65" borderId="341" applyNumberFormat="0" applyAlignment="0" applyProtection="0"/>
    <xf numFmtId="0" fontId="213" fillId="80" borderId="341" applyNumberFormat="0" applyAlignment="0" applyProtection="0"/>
    <xf numFmtId="0" fontId="203" fillId="81" borderId="369" applyNumberFormat="0" applyFont="0" applyAlignment="0" applyProtection="0"/>
    <xf numFmtId="0" fontId="203" fillId="81" borderId="369" applyNumberFormat="0" applyFont="0" applyAlignment="0" applyProtection="0"/>
    <xf numFmtId="200" fontId="225" fillId="0" borderId="610" applyFill="0" applyProtection="0"/>
    <xf numFmtId="182" fontId="225" fillId="0" borderId="367" applyFill="0" applyProtection="0"/>
    <xf numFmtId="0" fontId="8" fillId="81" borderId="342" applyNumberFormat="0" applyFont="0" applyAlignment="0" applyProtection="0"/>
    <xf numFmtId="0" fontId="176"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176" fillId="81" borderId="342" applyNumberFormat="0" applyFont="0" applyAlignment="0" applyProtection="0"/>
    <xf numFmtId="0" fontId="216" fillId="59" borderId="343" applyNumberFormat="0" applyAlignment="0" applyProtection="0"/>
    <xf numFmtId="0" fontId="174" fillId="0" borderId="344" applyNumberFormat="0" applyFill="0" applyAlignment="0" applyProtection="0"/>
    <xf numFmtId="0" fontId="216" fillId="78" borderId="343" applyNumberFormat="0" applyAlignment="0" applyProtection="0"/>
    <xf numFmtId="0" fontId="174" fillId="0" borderId="346" applyNumberFormat="0" applyFill="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153" fillId="0" borderId="366">
      <alignment horizontal="left" vertical="center"/>
    </xf>
    <xf numFmtId="0" fontId="203" fillId="81" borderId="342" applyNumberFormat="0" applyFont="0" applyAlignment="0" applyProtection="0"/>
    <xf numFmtId="0" fontId="206" fillId="78" borderId="341" applyNumberFormat="0" applyAlignment="0" applyProtection="0"/>
    <xf numFmtId="0" fontId="176" fillId="81" borderId="342" applyNumberFormat="0" applyFont="0" applyAlignment="0" applyProtection="0"/>
    <xf numFmtId="0" fontId="238" fillId="59" borderId="341" applyNumberFormat="0" applyAlignment="0" applyProtection="0"/>
    <xf numFmtId="0" fontId="213" fillId="80" borderId="341" applyNumberFormat="0" applyAlignment="0" applyProtection="0"/>
    <xf numFmtId="0" fontId="8" fillId="81" borderId="342" applyNumberFormat="0" applyFont="0" applyAlignment="0" applyProtection="0"/>
    <xf numFmtId="0" fontId="216" fillId="59" borderId="343" applyNumberFormat="0" applyAlignment="0" applyProtection="0"/>
    <xf numFmtId="0" fontId="213" fillId="80" borderId="341" applyNumberFormat="0" applyAlignment="0" applyProtection="0"/>
    <xf numFmtId="0" fontId="176" fillId="81" borderId="342" applyNumberFormat="0" applyFont="0" applyAlignment="0" applyProtection="0"/>
    <xf numFmtId="182" fontId="225" fillId="0" borderId="367" applyFill="0" applyProtection="0"/>
    <xf numFmtId="0" fontId="203" fillId="81" borderId="369" applyNumberFormat="0" applyFont="0" applyAlignment="0" applyProtection="0"/>
    <xf numFmtId="200" fontId="225" fillId="0" borderId="367" applyFill="0" applyProtection="0"/>
    <xf numFmtId="182" fontId="225" fillId="0" borderId="367" applyFill="0" applyProtection="0"/>
    <xf numFmtId="0" fontId="213" fillId="65" borderId="368"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80" borderId="350" applyNumberFormat="0" applyAlignment="0" applyProtection="0"/>
    <xf numFmtId="0" fontId="213" fillId="65" borderId="350" applyNumberFormat="0" applyAlignment="0" applyProtection="0"/>
    <xf numFmtId="0" fontId="213" fillId="80" borderId="350" applyNumberFormat="0" applyAlignment="0" applyProtection="0"/>
    <xf numFmtId="0" fontId="8" fillId="81" borderId="351" applyNumberFormat="0" applyFont="0" applyAlignment="0" applyProtection="0"/>
    <xf numFmtId="0" fontId="176"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176" fillId="81" borderId="351" applyNumberFormat="0" applyFont="0" applyAlignment="0" applyProtection="0"/>
    <xf numFmtId="0" fontId="216" fillId="59" borderId="352" applyNumberFormat="0" applyAlignment="0" applyProtection="0"/>
    <xf numFmtId="0" fontId="174" fillId="0" borderId="353" applyNumberFormat="0" applyFill="0" applyAlignment="0" applyProtection="0"/>
    <xf numFmtId="0" fontId="206" fillId="78" borderId="350" applyNumberFormat="0" applyAlignment="0" applyProtection="0"/>
    <xf numFmtId="0" fontId="206" fillId="78" borderId="350" applyNumberFormat="0" applyAlignment="0" applyProtection="0"/>
    <xf numFmtId="182" fontId="225" fillId="0" borderId="349" applyFill="0" applyProtection="0"/>
    <xf numFmtId="182" fontId="225" fillId="0" borderId="349" applyFill="0" applyProtection="0"/>
    <xf numFmtId="182" fontId="225" fillId="0" borderId="349" applyFill="0" applyProtection="0"/>
    <xf numFmtId="200" fontId="225" fillId="0" borderId="349" applyFill="0" applyProtection="0"/>
    <xf numFmtId="200" fontId="225" fillId="0" borderId="349" applyFill="0" applyProtection="0"/>
    <xf numFmtId="200" fontId="225" fillId="0" borderId="349" applyFill="0" applyProtection="0"/>
    <xf numFmtId="0" fontId="153" fillId="0" borderId="348">
      <alignment horizontal="left" vertical="center"/>
    </xf>
    <xf numFmtId="0" fontId="229" fillId="83" borderId="354" applyAlignment="0">
      <alignment horizontal="center"/>
    </xf>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29" fillId="83" borderId="354" applyAlignment="0">
      <alignment horizontal="center"/>
    </xf>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16" fillId="78" borderId="343" applyNumberFormat="0" applyAlignment="0" applyProtection="0"/>
    <xf numFmtId="0" fontId="174" fillId="0" borderId="346" applyNumberFormat="0" applyFill="0" applyAlignment="0" applyProtection="0"/>
    <xf numFmtId="0" fontId="229" fillId="83" borderId="354" applyAlignment="0">
      <alignment horizontal="center"/>
    </xf>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13" fillId="65" borderId="341" applyNumberForma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6" fillId="78" borderId="341" applyNumberFormat="0" applyAlignment="0" applyProtection="0"/>
    <xf numFmtId="0" fontId="176" fillId="81" borderId="342" applyNumberFormat="0" applyFont="0" applyAlignment="0" applyProtection="0"/>
    <xf numFmtId="0" fontId="238" fillId="59" borderId="341" applyNumberFormat="0" applyAlignment="0" applyProtection="0"/>
    <xf numFmtId="0" fontId="213" fillId="80" borderId="341" applyNumberFormat="0" applyAlignment="0" applyProtection="0"/>
    <xf numFmtId="0" fontId="8" fillId="81" borderId="342" applyNumberFormat="0" applyFont="0" applyAlignment="0" applyProtection="0"/>
    <xf numFmtId="0" fontId="216" fillId="59" borderId="343" applyNumberFormat="0" applyAlignment="0" applyProtection="0"/>
    <xf numFmtId="0" fontId="174" fillId="0" borderId="344" applyNumberFormat="0" applyFill="0" applyAlignment="0" applyProtection="0"/>
    <xf numFmtId="0" fontId="213" fillId="80" borderId="341" applyNumberFormat="0" applyAlignment="0" applyProtection="0"/>
    <xf numFmtId="0" fontId="229" fillId="83" borderId="354" applyAlignment="0">
      <alignment horizontal="center"/>
    </xf>
    <xf numFmtId="0" fontId="176" fillId="81" borderId="342" applyNumberFormat="0" applyFont="0" applyAlignment="0" applyProtection="0"/>
    <xf numFmtId="0" fontId="213" fillId="65" borderId="350" applyNumberFormat="0" applyAlignment="0" applyProtection="0"/>
    <xf numFmtId="0" fontId="216" fillId="78" borderId="352" applyNumberFormat="0" applyAlignment="0" applyProtection="0"/>
    <xf numFmtId="0" fontId="174" fillId="0" borderId="355" applyNumberFormat="0" applyFill="0" applyAlignment="0" applyProtection="0"/>
    <xf numFmtId="0" fontId="216" fillId="78" borderId="352" applyNumberFormat="0" applyAlignment="0" applyProtection="0"/>
    <xf numFmtId="0" fontId="174" fillId="0" borderId="355" applyNumberFormat="0" applyFill="0" applyAlignment="0" applyProtection="0"/>
    <xf numFmtId="182" fontId="225" fillId="0" borderId="349" applyFill="0" applyProtection="0"/>
    <xf numFmtId="200" fontId="225" fillId="0" borderId="349" applyFill="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03" fillId="81" borderId="351" applyNumberFormat="0" applyFont="0" applyAlignment="0" applyProtection="0"/>
    <xf numFmtId="0" fontId="213" fillId="65" borderId="350" applyNumberFormat="0" applyAlignment="0" applyProtection="0"/>
    <xf numFmtId="0" fontId="203" fillId="81" borderId="351" applyNumberFormat="0" applyFont="0" applyAlignment="0" applyProtection="0"/>
    <xf numFmtId="0" fontId="216" fillId="78" borderId="352" applyNumberFormat="0" applyAlignment="0" applyProtection="0"/>
    <xf numFmtId="0" fontId="174" fillId="0" borderId="355" applyNumberFormat="0" applyFill="0" applyAlignment="0" applyProtection="0"/>
    <xf numFmtId="0" fontId="249" fillId="59" borderId="350" applyNumberFormat="0" applyAlignment="0" applyProtection="0"/>
    <xf numFmtId="0" fontId="254" fillId="80" borderId="350" applyNumberFormat="0" applyAlignment="0" applyProtection="0"/>
    <xf numFmtId="0" fontId="257" fillId="59" borderId="352" applyNumberFormat="0" applyAlignment="0" applyProtection="0"/>
    <xf numFmtId="0" fontId="244" fillId="0" borderId="349" applyNumberFormat="0" applyFont="0" applyFill="0" applyAlignment="0" applyProtection="0"/>
    <xf numFmtId="0" fontId="178" fillId="0" borderId="356" applyProtection="0"/>
    <xf numFmtId="0" fontId="176" fillId="81" borderId="351" applyNumberFormat="0" applyFont="0" applyAlignment="0" applyProtection="0"/>
    <xf numFmtId="0" fontId="8" fillId="81" borderId="351" applyNumberFormat="0" applyFont="0" applyAlignment="0" applyProtection="0"/>
    <xf numFmtId="182" fontId="225" fillId="0" borderId="349" applyFill="0" applyProtection="0"/>
    <xf numFmtId="200" fontId="225" fillId="0" borderId="349" applyFill="0" applyProtection="0"/>
    <xf numFmtId="0" fontId="213" fillId="65" borderId="350" applyNumberFormat="0" applyAlignment="0" applyProtection="0"/>
    <xf numFmtId="0" fontId="203" fillId="81" borderId="351" applyNumberFormat="0" applyFont="0" applyAlignment="0" applyProtection="0"/>
    <xf numFmtId="0" fontId="203" fillId="81" borderId="351" applyNumberFormat="0" applyFont="0" applyAlignment="0" applyProtection="0"/>
    <xf numFmtId="182" fontId="225" fillId="0" borderId="349" applyFill="0" applyProtection="0"/>
    <xf numFmtId="200" fontId="225" fillId="0" borderId="349" applyFill="0" applyProtection="0"/>
    <xf numFmtId="0" fontId="153" fillId="0" borderId="348">
      <alignment horizontal="left" vertical="center"/>
    </xf>
    <xf numFmtId="0" fontId="203" fillId="81" borderId="351" applyNumberFormat="0" applyFont="0" applyAlignment="0" applyProtection="0"/>
    <xf numFmtId="0" fontId="153" fillId="0" borderId="348">
      <alignment horizontal="left" vertical="center"/>
    </xf>
    <xf numFmtId="0" fontId="213" fillId="80" borderId="350" applyNumberFormat="0" applyAlignment="0" applyProtection="0"/>
    <xf numFmtId="0" fontId="8" fillId="81" borderId="351" applyNumberFormat="0" applyFont="0" applyAlignment="0" applyProtection="0"/>
    <xf numFmtId="182" fontId="225" fillId="0" borderId="349" applyFill="0" applyProtection="0"/>
    <xf numFmtId="200" fontId="225" fillId="0" borderId="349" applyFill="0" applyProtection="0"/>
    <xf numFmtId="182" fontId="225" fillId="0" borderId="349" applyFill="0" applyProtection="0"/>
    <xf numFmtId="200" fontId="225" fillId="0" borderId="349" applyFill="0" applyProtection="0"/>
    <xf numFmtId="0" fontId="153" fillId="0" borderId="348">
      <alignment horizontal="left" vertical="center"/>
    </xf>
    <xf numFmtId="0" fontId="203" fillId="81" borderId="342" applyNumberFormat="0" applyFont="0" applyAlignment="0" applyProtection="0"/>
    <xf numFmtId="182" fontId="225" fillId="0" borderId="349" applyFill="0" applyProtection="0"/>
    <xf numFmtId="200" fontId="225" fillId="0" borderId="349" applyFill="0" applyProtection="0"/>
    <xf numFmtId="0" fontId="176" fillId="81" borderId="351" applyNumberFormat="0" applyFont="0" applyAlignment="0" applyProtection="0"/>
    <xf numFmtId="0" fontId="203" fillId="81" borderId="351"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03" fillId="81" borderId="342" applyNumberFormat="0" applyFont="0" applyAlignment="0" applyProtection="0"/>
    <xf numFmtId="0" fontId="213" fillId="65" borderId="350" applyNumberFormat="0" applyAlignment="0" applyProtection="0"/>
    <xf numFmtId="0" fontId="238" fillId="59" borderId="359" applyNumberFormat="0" applyAlignment="0" applyProtection="0"/>
    <xf numFmtId="0" fontId="213" fillId="65" borderId="350" applyNumberFormat="0" applyAlignment="0" applyProtection="0"/>
    <xf numFmtId="0" fontId="229" fillId="83" borderId="498" applyAlignment="0">
      <alignment horizontal="center"/>
    </xf>
    <xf numFmtId="0" fontId="229" fillId="83" borderId="561" applyAlignment="0">
      <alignment horizontal="center"/>
    </xf>
    <xf numFmtId="0" fontId="203" fillId="81" borderId="558" applyNumberFormat="0" applyFont="0" applyAlignment="0" applyProtection="0"/>
    <xf numFmtId="182" fontId="225" fillId="0" borderId="367" applyFill="0" applyProtection="0"/>
    <xf numFmtId="200" fontId="225" fillId="0" borderId="367" applyFill="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0" fontId="213" fillId="65" borderId="350" applyNumberFormat="0" applyAlignment="0" applyProtection="0"/>
    <xf numFmtId="200" fontId="225" fillId="0" borderId="367" applyFill="0" applyProtection="0"/>
    <xf numFmtId="0" fontId="206" fillId="78" borderId="350" applyNumberFormat="0" applyAlignment="0" applyProtection="0"/>
    <xf numFmtId="0" fontId="238" fillId="59" borderId="350" applyNumberFormat="0" applyAlignment="0" applyProtection="0"/>
    <xf numFmtId="0" fontId="213" fillId="80" borderId="350" applyNumberFormat="0" applyAlignment="0" applyProtection="0"/>
    <xf numFmtId="0" fontId="213" fillId="80" borderId="350" applyNumberFormat="0" applyAlignment="0" applyProtection="0"/>
    <xf numFmtId="0" fontId="174" fillId="0" borderId="371" applyNumberFormat="0" applyFill="0" applyAlignment="0" applyProtection="0"/>
    <xf numFmtId="0" fontId="206" fillId="78" borderId="476" applyNumberFormat="0" applyAlignment="0" applyProtection="0"/>
    <xf numFmtId="0" fontId="213" fillId="65" borderId="458" applyNumberFormat="0" applyAlignment="0" applyProtection="0"/>
    <xf numFmtId="0" fontId="176" fillId="81" borderId="369" applyNumberFormat="0" applyFont="0" applyAlignment="0" applyProtection="0"/>
    <xf numFmtId="0" fontId="213" fillId="65" borderId="368" applyNumberFormat="0" applyAlignment="0" applyProtection="0"/>
    <xf numFmtId="0" fontId="213" fillId="65" borderId="359" applyNumberFormat="0" applyAlignment="0" applyProtection="0"/>
    <xf numFmtId="0" fontId="206" fillId="78" borderId="368"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80" borderId="359" applyNumberFormat="0" applyAlignment="0" applyProtection="0"/>
    <xf numFmtId="0" fontId="213" fillId="65" borderId="359" applyNumberFormat="0" applyAlignment="0" applyProtection="0"/>
    <xf numFmtId="0" fontId="213" fillId="80" borderId="359" applyNumberFormat="0" applyAlignment="0" applyProtection="0"/>
    <xf numFmtId="0" fontId="8" fillId="81" borderId="360" applyNumberFormat="0" applyFont="0" applyAlignment="0" applyProtection="0"/>
    <xf numFmtId="0" fontId="176"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176" fillId="81" borderId="360" applyNumberFormat="0" applyFont="0" applyAlignment="0" applyProtection="0"/>
    <xf numFmtId="0" fontId="216" fillId="59" borderId="361" applyNumberFormat="0" applyAlignment="0" applyProtection="0"/>
    <xf numFmtId="0" fontId="174" fillId="0" borderId="362" applyNumberFormat="0" applyFill="0" applyAlignment="0" applyProtection="0"/>
    <xf numFmtId="0" fontId="206" fillId="78" borderId="359" applyNumberFormat="0" applyAlignment="0" applyProtection="0"/>
    <xf numFmtId="0" fontId="206" fillId="78" borderId="359" applyNumberFormat="0" applyAlignment="0" applyProtection="0"/>
    <xf numFmtId="182" fontId="225" fillId="0" borderId="358" applyFill="0" applyProtection="0"/>
    <xf numFmtId="182" fontId="225" fillId="0" borderId="358" applyFill="0" applyProtection="0"/>
    <xf numFmtId="182" fontId="225" fillId="0" borderId="358" applyFill="0" applyProtection="0"/>
    <xf numFmtId="200" fontId="225" fillId="0" borderId="358" applyFill="0" applyProtection="0"/>
    <xf numFmtId="200" fontId="225" fillId="0" borderId="358" applyFill="0" applyProtection="0"/>
    <xf numFmtId="200" fontId="225" fillId="0" borderId="358" applyFill="0" applyProtection="0"/>
    <xf numFmtId="0" fontId="153" fillId="0" borderId="357">
      <alignment horizontal="left" vertical="center"/>
    </xf>
    <xf numFmtId="0" fontId="229" fillId="83" borderId="363" applyAlignment="0">
      <alignment horizontal="center"/>
    </xf>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13" fillId="65" borderId="359" applyNumberFormat="0" applyAlignment="0" applyProtection="0"/>
    <xf numFmtId="0" fontId="229" fillId="83" borderId="363" applyAlignment="0">
      <alignment horizontal="center"/>
    </xf>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29" fillId="83" borderId="363" applyAlignment="0">
      <alignment horizontal="center"/>
    </xf>
    <xf numFmtId="0" fontId="229" fillId="83" borderId="363" applyAlignment="0">
      <alignment horizontal="center"/>
    </xf>
    <xf numFmtId="0" fontId="213" fillId="65" borderId="359" applyNumberFormat="0" applyAlignment="0" applyProtection="0"/>
    <xf numFmtId="0" fontId="216" fillId="78" borderId="361" applyNumberFormat="0" applyAlignment="0" applyProtection="0"/>
    <xf numFmtId="0" fontId="174" fillId="0" borderId="364" applyNumberFormat="0" applyFill="0" applyAlignment="0" applyProtection="0"/>
    <xf numFmtId="0" fontId="216" fillId="78" borderId="361" applyNumberFormat="0" applyAlignment="0" applyProtection="0"/>
    <xf numFmtId="0" fontId="174" fillId="0" borderId="364" applyNumberFormat="0" applyFill="0" applyAlignment="0" applyProtection="0"/>
    <xf numFmtId="182" fontId="225" fillId="0" borderId="358" applyFill="0" applyProtection="0"/>
    <xf numFmtId="200" fontId="225" fillId="0" borderId="358" applyFill="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03" fillId="81" borderId="360" applyNumberFormat="0" applyFont="0" applyAlignment="0" applyProtection="0"/>
    <xf numFmtId="0" fontId="213" fillId="65" borderId="359" applyNumberFormat="0" applyAlignment="0" applyProtection="0"/>
    <xf numFmtId="0" fontId="203" fillId="81" borderId="360" applyNumberFormat="0" applyFont="0" applyAlignment="0" applyProtection="0"/>
    <xf numFmtId="0" fontId="216" fillId="78" borderId="361" applyNumberFormat="0" applyAlignment="0" applyProtection="0"/>
    <xf numFmtId="0" fontId="174" fillId="0" borderId="364" applyNumberFormat="0" applyFill="0" applyAlignment="0" applyProtection="0"/>
    <xf numFmtId="0" fontId="249" fillId="59" borderId="359" applyNumberFormat="0" applyAlignment="0" applyProtection="0"/>
    <xf numFmtId="0" fontId="254" fillId="80" borderId="359" applyNumberFormat="0" applyAlignment="0" applyProtection="0"/>
    <xf numFmtId="0" fontId="257" fillId="59" borderId="361" applyNumberFormat="0" applyAlignment="0" applyProtection="0"/>
    <xf numFmtId="0" fontId="244" fillId="0" borderId="358" applyNumberFormat="0" applyFont="0" applyFill="0" applyAlignment="0" applyProtection="0"/>
    <xf numFmtId="0" fontId="178" fillId="0" borderId="365" applyProtection="0"/>
    <xf numFmtId="0" fontId="176" fillId="81" borderId="360" applyNumberFormat="0" applyFont="0" applyAlignment="0" applyProtection="0"/>
    <xf numFmtId="0" fontId="8" fillId="81" borderId="360" applyNumberFormat="0" applyFont="0" applyAlignment="0" applyProtection="0"/>
    <xf numFmtId="182" fontId="225" fillId="0" borderId="358" applyFill="0" applyProtection="0"/>
    <xf numFmtId="200" fontId="225" fillId="0" borderId="358" applyFill="0" applyProtection="0"/>
    <xf numFmtId="0" fontId="213" fillId="65" borderId="359" applyNumberFormat="0" applyAlignment="0" applyProtection="0"/>
    <xf numFmtId="0" fontId="203" fillId="81" borderId="360" applyNumberFormat="0" applyFont="0" applyAlignment="0" applyProtection="0"/>
    <xf numFmtId="0" fontId="203" fillId="81" borderId="360" applyNumberFormat="0" applyFont="0" applyAlignment="0" applyProtection="0"/>
    <xf numFmtId="182" fontId="225" fillId="0" borderId="358" applyFill="0" applyProtection="0"/>
    <xf numFmtId="200" fontId="225" fillId="0" borderId="358" applyFill="0" applyProtection="0"/>
    <xf numFmtId="0" fontId="153" fillId="0" borderId="357">
      <alignment horizontal="left" vertical="center"/>
    </xf>
    <xf numFmtId="0" fontId="203" fillId="81" borderId="360" applyNumberFormat="0" applyFont="0" applyAlignment="0" applyProtection="0"/>
    <xf numFmtId="0" fontId="153" fillId="0" borderId="357">
      <alignment horizontal="left" vertical="center"/>
    </xf>
    <xf numFmtId="0" fontId="213" fillId="80" borderId="359" applyNumberFormat="0" applyAlignment="0" applyProtection="0"/>
    <xf numFmtId="0" fontId="8" fillId="81" borderId="360" applyNumberFormat="0" applyFont="0" applyAlignment="0" applyProtection="0"/>
    <xf numFmtId="182" fontId="225" fillId="0" borderId="358" applyFill="0" applyProtection="0"/>
    <xf numFmtId="200" fontId="225" fillId="0" borderId="358" applyFill="0" applyProtection="0"/>
    <xf numFmtId="182" fontId="225" fillId="0" borderId="358" applyFill="0" applyProtection="0"/>
    <xf numFmtId="200" fontId="225" fillId="0" borderId="358" applyFill="0" applyProtection="0"/>
    <xf numFmtId="0" fontId="153" fillId="0" borderId="357">
      <alignment horizontal="left" vertical="center"/>
    </xf>
    <xf numFmtId="182" fontId="225" fillId="0" borderId="358" applyFill="0" applyProtection="0"/>
    <xf numFmtId="200" fontId="225" fillId="0" borderId="358" applyFill="0" applyProtection="0"/>
    <xf numFmtId="0" fontId="176" fillId="81" borderId="360" applyNumberFormat="0" applyFont="0" applyAlignment="0" applyProtection="0"/>
    <xf numFmtId="0" fontId="203" fillId="81" borderId="360" applyNumberFormat="0" applyFont="0" applyAlignment="0" applyProtection="0"/>
    <xf numFmtId="0" fontId="213" fillId="65" borderId="359" applyNumberFormat="0" applyAlignment="0" applyProtection="0"/>
    <xf numFmtId="0" fontId="229" fillId="83" borderId="328" applyAlignment="0">
      <alignment horizontal="center"/>
    </xf>
    <xf numFmtId="0" fontId="203" fillId="81" borderId="342" applyNumberFormat="0" applyFont="0" applyAlignment="0" applyProtection="0"/>
    <xf numFmtId="0" fontId="229" fillId="83" borderId="418" applyAlignment="0">
      <alignment horizontal="center"/>
    </xf>
    <xf numFmtId="0" fontId="244" fillId="0" borderId="466" applyNumberFormat="0" applyFont="0" applyFill="0" applyAlignment="0" applyProtection="0"/>
    <xf numFmtId="182" fontId="225" fillId="0" borderId="457" applyFill="0" applyProtection="0"/>
    <xf numFmtId="200" fontId="225" fillId="0" borderId="601" applyFill="0" applyProtection="0"/>
    <xf numFmtId="0" fontId="249" fillId="59" borderId="602" applyNumberFormat="0" applyAlignment="0" applyProtection="0"/>
    <xf numFmtId="0" fontId="203" fillId="81" borderId="603" applyNumberFormat="0" applyFont="0" applyAlignment="0" applyProtection="0"/>
    <xf numFmtId="0" fontId="203" fillId="81" borderId="594" applyNumberFormat="0" applyFont="0" applyAlignment="0" applyProtection="0"/>
    <xf numFmtId="0" fontId="153" fillId="0" borderId="591">
      <alignment horizontal="left" vertical="center"/>
    </xf>
    <xf numFmtId="0" fontId="213" fillId="65" borderId="458" applyNumberFormat="0" applyAlignment="0" applyProtection="0"/>
    <xf numFmtId="0" fontId="203" fillId="81" borderId="540" applyNumberFormat="0" applyFont="0" applyAlignment="0" applyProtection="0"/>
    <xf numFmtId="182" fontId="225" fillId="0" borderId="457" applyFill="0" applyProtection="0"/>
    <xf numFmtId="0" fontId="213" fillId="65" borderId="548" applyNumberFormat="0" applyAlignment="0" applyProtection="0"/>
    <xf numFmtId="0" fontId="174" fillId="0" borderId="552" applyNumberFormat="0" applyFill="0" applyAlignment="0" applyProtection="0"/>
    <xf numFmtId="0" fontId="213" fillId="65" borderId="548" applyNumberFormat="0" applyAlignment="0" applyProtection="0"/>
    <xf numFmtId="0" fontId="213" fillId="65" borderId="602" applyNumberFormat="0" applyAlignment="0" applyProtection="0"/>
    <xf numFmtId="0" fontId="213" fillId="65" borderId="593" applyNumberFormat="0" applyAlignment="0" applyProtection="0"/>
    <xf numFmtId="0" fontId="203" fillId="81" borderId="603" applyNumberFormat="0" applyFont="0" applyAlignment="0" applyProtection="0"/>
    <xf numFmtId="0" fontId="203" fillId="81" borderId="540" applyNumberFormat="0" applyFont="0" applyAlignment="0" applyProtection="0"/>
    <xf numFmtId="0" fontId="213" fillId="65" borderId="602" applyNumberFormat="0" applyAlignment="0" applyProtection="0"/>
    <xf numFmtId="0" fontId="203" fillId="81" borderId="612" applyNumberFormat="0" applyFont="0" applyAlignment="0" applyProtection="0"/>
    <xf numFmtId="0" fontId="213" fillId="65" borderId="503" applyNumberFormat="0" applyAlignment="0" applyProtection="0"/>
    <xf numFmtId="0" fontId="213" fillId="65" borderId="548" applyNumberFormat="0" applyAlignment="0" applyProtection="0"/>
    <xf numFmtId="200" fontId="225" fillId="0" borderId="601" applyFill="0" applyProtection="0"/>
    <xf numFmtId="0" fontId="213" fillId="65" borderId="557" applyNumberFormat="0" applyAlignment="0" applyProtection="0"/>
    <xf numFmtId="0" fontId="213" fillId="65" borderId="548" applyNumberFormat="0" applyAlignment="0" applyProtection="0"/>
    <xf numFmtId="0" fontId="213" fillId="65" borderId="503" applyNumberFormat="0" applyAlignment="0" applyProtection="0"/>
    <xf numFmtId="182" fontId="225" fillId="0" borderId="556" applyFill="0" applyProtection="0"/>
    <xf numFmtId="200" fontId="225" fillId="0" borderId="610" applyFill="0" applyProtection="0"/>
    <xf numFmtId="0" fontId="203" fillId="81" borderId="405" applyNumberFormat="0" applyFont="0" applyAlignment="0" applyProtection="0"/>
    <xf numFmtId="0" fontId="213" fillId="65" borderId="413" applyNumberFormat="0" applyAlignment="0" applyProtection="0"/>
    <xf numFmtId="0" fontId="203" fillId="81" borderId="522" applyNumberFormat="0" applyFont="0" applyAlignment="0" applyProtection="0"/>
    <xf numFmtId="0" fontId="174" fillId="0" borderId="544" applyNumberFormat="0" applyFill="0" applyAlignment="0" applyProtection="0"/>
    <xf numFmtId="0" fontId="213" fillId="65" borderId="503" applyNumberFormat="0" applyAlignment="0" applyProtection="0"/>
    <xf numFmtId="0" fontId="176" fillId="81" borderId="603" applyNumberFormat="0" applyFont="0" applyAlignment="0" applyProtection="0"/>
    <xf numFmtId="0" fontId="203" fillId="81" borderId="558" applyNumberFormat="0" applyFont="0" applyAlignment="0" applyProtection="0"/>
    <xf numFmtId="0" fontId="203" fillId="81" borderId="504" applyNumberFormat="0" applyFont="0" applyAlignment="0" applyProtection="0"/>
    <xf numFmtId="0" fontId="213" fillId="65" borderId="458" applyNumberFormat="0" applyAlignment="0" applyProtection="0"/>
    <xf numFmtId="0" fontId="213" fillId="65" borderId="548" applyNumberFormat="0" applyAlignment="0" applyProtection="0"/>
    <xf numFmtId="0" fontId="203" fillId="81" borderId="468" applyNumberFormat="0" applyFont="0" applyAlignment="0" applyProtection="0"/>
    <xf numFmtId="0" fontId="213" fillId="65" borderId="521" applyNumberFormat="0" applyAlignment="0" applyProtection="0"/>
    <xf numFmtId="0" fontId="176" fillId="81" borderId="450" applyNumberFormat="0" applyFont="0" applyAlignment="0" applyProtection="0"/>
    <xf numFmtId="0" fontId="203" fillId="81" borderId="585" applyNumberFormat="0" applyFont="0" applyAlignment="0" applyProtection="0"/>
    <xf numFmtId="0" fontId="203" fillId="81" borderId="594" applyNumberFormat="0" applyFont="0" applyAlignment="0" applyProtection="0"/>
    <xf numFmtId="0" fontId="213" fillId="65" borderId="467" applyNumberFormat="0" applyAlignment="0" applyProtection="0"/>
    <xf numFmtId="0" fontId="238" fillId="59" borderId="548" applyNumberFormat="0" applyAlignment="0" applyProtection="0"/>
    <xf numFmtId="0" fontId="203" fillId="81" borderId="558" applyNumberFormat="0" applyFont="0" applyAlignment="0" applyProtection="0"/>
    <xf numFmtId="0" fontId="176" fillId="81" borderId="414" applyNumberFormat="0" applyFont="0" applyAlignment="0" applyProtection="0"/>
    <xf numFmtId="0" fontId="238" fillId="59" borderId="395" applyNumberFormat="0" applyAlignment="0" applyProtection="0"/>
    <xf numFmtId="0" fontId="229" fillId="83" borderId="390" applyAlignment="0">
      <alignment horizontal="center"/>
    </xf>
    <xf numFmtId="0" fontId="213" fillId="65" borderId="386" applyNumberFormat="0" applyAlignment="0" applyProtection="0"/>
    <xf numFmtId="0" fontId="238" fillId="59"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80" borderId="386" applyNumberFormat="0" applyAlignment="0" applyProtection="0"/>
    <xf numFmtId="0" fontId="213" fillId="65" borderId="386" applyNumberFormat="0" applyAlignment="0" applyProtection="0"/>
    <xf numFmtId="0" fontId="213" fillId="80" borderId="386" applyNumberFormat="0" applyAlignment="0" applyProtection="0"/>
    <xf numFmtId="0" fontId="203" fillId="81" borderId="414" applyNumberFormat="0" applyFont="0" applyAlignment="0" applyProtection="0"/>
    <xf numFmtId="0" fontId="213" fillId="65" borderId="521" applyNumberFormat="0" applyAlignment="0" applyProtection="0"/>
    <xf numFmtId="182" fontId="225" fillId="0" borderId="412" applyFill="0" applyProtection="0"/>
    <xf numFmtId="182" fontId="225" fillId="0" borderId="412" applyFill="0" applyProtection="0"/>
    <xf numFmtId="0" fontId="8" fillId="81" borderId="387" applyNumberFormat="0" applyFont="0" applyAlignment="0" applyProtection="0"/>
    <xf numFmtId="0" fontId="176"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176" fillId="81" borderId="387" applyNumberFormat="0" applyFont="0" applyAlignment="0" applyProtection="0"/>
    <xf numFmtId="0" fontId="216" fillId="59" borderId="388" applyNumberFormat="0" applyAlignment="0" applyProtection="0"/>
    <xf numFmtId="0" fontId="174" fillId="0" borderId="389" applyNumberFormat="0" applyFill="0" applyAlignment="0" applyProtection="0"/>
    <xf numFmtId="0" fontId="216" fillId="78" borderId="388" applyNumberFormat="0" applyAlignment="0" applyProtection="0"/>
    <xf numFmtId="0" fontId="174" fillId="0" borderId="391" applyNumberFormat="0" applyFill="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153" fillId="0" borderId="411">
      <alignment horizontal="left" vertical="center"/>
    </xf>
    <xf numFmtId="0" fontId="203" fillId="81" borderId="387" applyNumberFormat="0" applyFont="0" applyAlignment="0" applyProtection="0"/>
    <xf numFmtId="0" fontId="206" fillId="78" borderId="386" applyNumberFormat="0" applyAlignment="0" applyProtection="0"/>
    <xf numFmtId="0" fontId="176" fillId="81" borderId="387" applyNumberFormat="0" applyFont="0" applyAlignment="0" applyProtection="0"/>
    <xf numFmtId="0" fontId="238" fillId="59" borderId="386" applyNumberFormat="0" applyAlignment="0" applyProtection="0"/>
    <xf numFmtId="0" fontId="213" fillId="80" borderId="386" applyNumberFormat="0" applyAlignment="0" applyProtection="0"/>
    <xf numFmtId="0" fontId="8" fillId="81" borderId="387" applyNumberFormat="0" applyFont="0" applyAlignment="0" applyProtection="0"/>
    <xf numFmtId="0" fontId="216" fillId="59" borderId="388" applyNumberFormat="0" applyAlignment="0" applyProtection="0"/>
    <xf numFmtId="0" fontId="213" fillId="80" borderId="386" applyNumberFormat="0" applyAlignment="0" applyProtection="0"/>
    <xf numFmtId="0" fontId="176" fillId="81" borderId="387" applyNumberFormat="0" applyFont="0" applyAlignment="0" applyProtection="0"/>
    <xf numFmtId="182" fontId="225" fillId="0" borderId="412" applyFill="0" applyProtection="0"/>
    <xf numFmtId="0" fontId="203" fillId="81" borderId="414" applyNumberFormat="0" applyFont="0" applyAlignment="0" applyProtection="0"/>
    <xf numFmtId="200" fontId="225" fillId="0" borderId="520" applyFill="0" applyProtection="0"/>
    <xf numFmtId="200" fontId="225" fillId="0" borderId="412" applyFill="0" applyProtection="0"/>
    <xf numFmtId="0" fontId="174" fillId="0" borderId="562" applyNumberFormat="0" applyFill="0" applyAlignment="0" applyProtection="0"/>
    <xf numFmtId="182" fontId="225" fillId="0" borderId="412" applyFill="0" applyProtection="0"/>
    <xf numFmtId="0" fontId="213" fillId="65" borderId="413" applyNumberFormat="0" applyAlignment="0" applyProtection="0"/>
    <xf numFmtId="0" fontId="213" fillId="65" borderId="458" applyNumberFormat="0" applyAlignment="0" applyProtection="0"/>
    <xf numFmtId="0" fontId="249" fillId="59" borderId="47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80" borderId="395" applyNumberFormat="0" applyAlignment="0" applyProtection="0"/>
    <xf numFmtId="0" fontId="213" fillId="65" borderId="395" applyNumberFormat="0" applyAlignment="0" applyProtection="0"/>
    <xf numFmtId="0" fontId="213" fillId="80" borderId="395" applyNumberFormat="0" applyAlignment="0" applyProtection="0"/>
    <xf numFmtId="0" fontId="8" fillId="81" borderId="396" applyNumberFormat="0" applyFont="0" applyAlignment="0" applyProtection="0"/>
    <xf numFmtId="0" fontId="176"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176" fillId="81" borderId="396" applyNumberFormat="0" applyFont="0" applyAlignment="0" applyProtection="0"/>
    <xf numFmtId="0" fontId="216" fillId="59" borderId="397" applyNumberFormat="0" applyAlignment="0" applyProtection="0"/>
    <xf numFmtId="0" fontId="174" fillId="0" borderId="398" applyNumberFormat="0" applyFill="0" applyAlignment="0" applyProtection="0"/>
    <xf numFmtId="0" fontId="206" fillId="78" borderId="395" applyNumberFormat="0" applyAlignment="0" applyProtection="0"/>
    <xf numFmtId="0" fontId="206" fillId="78" borderId="395" applyNumberFormat="0" applyAlignment="0" applyProtection="0"/>
    <xf numFmtId="182" fontId="225" fillId="0" borderId="394" applyFill="0" applyProtection="0"/>
    <xf numFmtId="182" fontId="225" fillId="0" borderId="394" applyFill="0" applyProtection="0"/>
    <xf numFmtId="182" fontId="225" fillId="0" borderId="394" applyFill="0" applyProtection="0"/>
    <xf numFmtId="200" fontId="225" fillId="0" borderId="394" applyFill="0" applyProtection="0"/>
    <xf numFmtId="200" fontId="225" fillId="0" borderId="394" applyFill="0" applyProtection="0"/>
    <xf numFmtId="200" fontId="225" fillId="0" borderId="394" applyFill="0" applyProtection="0"/>
    <xf numFmtId="0" fontId="153" fillId="0" borderId="393">
      <alignment horizontal="left" vertical="center"/>
    </xf>
    <xf numFmtId="0" fontId="229" fillId="83" borderId="399" applyAlignment="0">
      <alignment horizontal="center"/>
    </xf>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29" fillId="83" borderId="399" applyAlignment="0">
      <alignment horizontal="center"/>
    </xf>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16" fillId="78" borderId="388" applyNumberFormat="0" applyAlignment="0" applyProtection="0"/>
    <xf numFmtId="0" fontId="174" fillId="0" borderId="391" applyNumberFormat="0" applyFill="0" applyAlignment="0" applyProtection="0"/>
    <xf numFmtId="0" fontId="229" fillId="83" borderId="399" applyAlignment="0">
      <alignment horizontal="center"/>
    </xf>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13" fillId="65" borderId="386" applyNumberForma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6" fillId="78" borderId="386" applyNumberFormat="0" applyAlignment="0" applyProtection="0"/>
    <xf numFmtId="0" fontId="176" fillId="81" borderId="387" applyNumberFormat="0" applyFont="0" applyAlignment="0" applyProtection="0"/>
    <xf numFmtId="0" fontId="238" fillId="59" borderId="386" applyNumberFormat="0" applyAlignment="0" applyProtection="0"/>
    <xf numFmtId="0" fontId="213" fillId="80" borderId="386" applyNumberFormat="0" applyAlignment="0" applyProtection="0"/>
    <xf numFmtId="0" fontId="8" fillId="81" borderId="387" applyNumberFormat="0" applyFont="0" applyAlignment="0" applyProtection="0"/>
    <xf numFmtId="0" fontId="216" fillId="59" borderId="388" applyNumberFormat="0" applyAlignment="0" applyProtection="0"/>
    <xf numFmtId="0" fontId="174" fillId="0" borderId="389" applyNumberFormat="0" applyFill="0" applyAlignment="0" applyProtection="0"/>
    <xf numFmtId="0" fontId="213" fillId="80" borderId="386" applyNumberFormat="0" applyAlignment="0" applyProtection="0"/>
    <xf numFmtId="0" fontId="229" fillId="83" borderId="399" applyAlignment="0">
      <alignment horizontal="center"/>
    </xf>
    <xf numFmtId="0" fontId="176" fillId="81" borderId="387" applyNumberFormat="0" applyFont="0" applyAlignment="0" applyProtection="0"/>
    <xf numFmtId="0" fontId="213" fillId="65" borderId="395" applyNumberFormat="0" applyAlignment="0" applyProtection="0"/>
    <xf numFmtId="0" fontId="216" fillId="78" borderId="397" applyNumberFormat="0" applyAlignment="0" applyProtection="0"/>
    <xf numFmtId="0" fontId="174" fillId="0" borderId="400" applyNumberFormat="0" applyFill="0" applyAlignment="0" applyProtection="0"/>
    <xf numFmtId="0" fontId="216" fillId="78" borderId="397" applyNumberFormat="0" applyAlignment="0" applyProtection="0"/>
    <xf numFmtId="0" fontId="174" fillId="0" borderId="400" applyNumberFormat="0" applyFill="0" applyAlignment="0" applyProtection="0"/>
    <xf numFmtId="182" fontId="225" fillId="0" borderId="394" applyFill="0" applyProtection="0"/>
    <xf numFmtId="200" fontId="225" fillId="0" borderId="394" applyFill="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03" fillId="81" borderId="396" applyNumberFormat="0" applyFont="0" applyAlignment="0" applyProtection="0"/>
    <xf numFmtId="0" fontId="213" fillId="65" borderId="395" applyNumberFormat="0" applyAlignment="0" applyProtection="0"/>
    <xf numFmtId="0" fontId="203" fillId="81" borderId="396" applyNumberFormat="0" applyFont="0" applyAlignment="0" applyProtection="0"/>
    <xf numFmtId="0" fontId="216" fillId="78" borderId="397" applyNumberFormat="0" applyAlignment="0" applyProtection="0"/>
    <xf numFmtId="0" fontId="174" fillId="0" borderId="400" applyNumberFormat="0" applyFill="0" applyAlignment="0" applyProtection="0"/>
    <xf numFmtId="0" fontId="249" fillId="59" borderId="395" applyNumberFormat="0" applyAlignment="0" applyProtection="0"/>
    <xf numFmtId="0" fontId="254" fillId="80" borderId="395" applyNumberFormat="0" applyAlignment="0" applyProtection="0"/>
    <xf numFmtId="0" fontId="257" fillId="59" borderId="397" applyNumberFormat="0" applyAlignment="0" applyProtection="0"/>
    <xf numFmtId="0" fontId="244" fillId="0" borderId="394" applyNumberFormat="0" applyFont="0" applyFill="0" applyAlignment="0" applyProtection="0"/>
    <xf numFmtId="0" fontId="178" fillId="0" borderId="401" applyProtection="0"/>
    <xf numFmtId="0" fontId="176" fillId="81" borderId="396" applyNumberFormat="0" applyFont="0" applyAlignment="0" applyProtection="0"/>
    <xf numFmtId="0" fontId="8" fillId="81" borderId="396" applyNumberFormat="0" applyFont="0" applyAlignment="0" applyProtection="0"/>
    <xf numFmtId="182" fontId="225" fillId="0" borderId="394" applyFill="0" applyProtection="0"/>
    <xf numFmtId="200" fontId="225" fillId="0" borderId="394" applyFill="0" applyProtection="0"/>
    <xf numFmtId="0" fontId="213" fillId="65" borderId="395" applyNumberFormat="0" applyAlignment="0" applyProtection="0"/>
    <xf numFmtId="0" fontId="203" fillId="81" borderId="396" applyNumberFormat="0" applyFont="0" applyAlignment="0" applyProtection="0"/>
    <xf numFmtId="0" fontId="203" fillId="81" borderId="396" applyNumberFormat="0" applyFont="0" applyAlignment="0" applyProtection="0"/>
    <xf numFmtId="182" fontId="225" fillId="0" borderId="394" applyFill="0" applyProtection="0"/>
    <xf numFmtId="200" fontId="225" fillId="0" borderId="394" applyFill="0" applyProtection="0"/>
    <xf numFmtId="0" fontId="153" fillId="0" borderId="393">
      <alignment horizontal="left" vertical="center"/>
    </xf>
    <xf numFmtId="0" fontId="203" fillId="81" borderId="396" applyNumberFormat="0" applyFont="0" applyAlignment="0" applyProtection="0"/>
    <xf numFmtId="0" fontId="153" fillId="0" borderId="393">
      <alignment horizontal="left" vertical="center"/>
    </xf>
    <xf numFmtId="0" fontId="213" fillId="80" borderId="395" applyNumberFormat="0" applyAlignment="0" applyProtection="0"/>
    <xf numFmtId="0" fontId="8" fillId="81" borderId="396" applyNumberFormat="0" applyFont="0" applyAlignment="0" applyProtection="0"/>
    <xf numFmtId="182" fontId="225" fillId="0" borderId="394" applyFill="0" applyProtection="0"/>
    <xf numFmtId="200" fontId="225" fillId="0" borderId="394" applyFill="0" applyProtection="0"/>
    <xf numFmtId="182" fontId="225" fillId="0" borderId="394" applyFill="0" applyProtection="0"/>
    <xf numFmtId="200" fontId="225" fillId="0" borderId="394" applyFill="0" applyProtection="0"/>
    <xf numFmtId="0" fontId="153" fillId="0" borderId="393">
      <alignment horizontal="left" vertical="center"/>
    </xf>
    <xf numFmtId="0" fontId="203" fillId="81" borderId="387" applyNumberFormat="0" applyFont="0" applyAlignment="0" applyProtection="0"/>
    <xf numFmtId="182" fontId="225" fillId="0" borderId="394" applyFill="0" applyProtection="0"/>
    <xf numFmtId="200" fontId="225" fillId="0" borderId="394" applyFill="0" applyProtection="0"/>
    <xf numFmtId="0" fontId="176" fillId="81" borderId="396" applyNumberFormat="0" applyFont="0" applyAlignment="0" applyProtection="0"/>
    <xf numFmtId="0" fontId="203" fillId="81" borderId="396"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03" fillId="81" borderId="387" applyNumberFormat="0" applyFont="0" applyAlignment="0" applyProtection="0"/>
    <xf numFmtId="0" fontId="213" fillId="65" borderId="395" applyNumberFormat="0" applyAlignment="0" applyProtection="0"/>
    <xf numFmtId="0" fontId="238" fillId="59" borderId="404" applyNumberFormat="0" applyAlignment="0" applyProtection="0"/>
    <xf numFmtId="0" fontId="213" fillId="65" borderId="395" applyNumberFormat="0" applyAlignment="0" applyProtection="0"/>
    <xf numFmtId="0" fontId="206" fillId="78" borderId="521" applyNumberFormat="0" applyAlignment="0" applyProtection="0"/>
    <xf numFmtId="182" fontId="225" fillId="0" borderId="412" applyFill="0" applyProtection="0"/>
    <xf numFmtId="200" fontId="225" fillId="0" borderId="412" applyFill="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0" fontId="213" fillId="65" borderId="395" applyNumberFormat="0" applyAlignment="0" applyProtection="0"/>
    <xf numFmtId="200" fontId="225" fillId="0" borderId="412" applyFill="0" applyProtection="0"/>
    <xf numFmtId="0" fontId="206" fillId="78" borderId="395" applyNumberFormat="0" applyAlignment="0" applyProtection="0"/>
    <xf numFmtId="0" fontId="238" fillId="59" borderId="395" applyNumberFormat="0" applyAlignment="0" applyProtection="0"/>
    <xf numFmtId="0" fontId="213" fillId="80" borderId="395" applyNumberFormat="0" applyAlignment="0" applyProtection="0"/>
    <xf numFmtId="0" fontId="213" fillId="80" borderId="395" applyNumberFormat="0" applyAlignment="0" applyProtection="0"/>
    <xf numFmtId="0" fontId="174" fillId="0" borderId="416" applyNumberFormat="0" applyFill="0" applyAlignment="0" applyProtection="0"/>
    <xf numFmtId="0" fontId="8" fillId="81" borderId="504" applyNumberFormat="0" applyFont="0" applyAlignment="0" applyProtection="0"/>
    <xf numFmtId="0" fontId="176" fillId="81" borderId="414" applyNumberFormat="0" applyFont="0" applyAlignment="0" applyProtection="0"/>
    <xf numFmtId="0" fontId="213" fillId="65" borderId="413" applyNumberFormat="0" applyAlignment="0" applyProtection="0"/>
    <xf numFmtId="0" fontId="213" fillId="65" borderId="404" applyNumberFormat="0" applyAlignment="0" applyProtection="0"/>
    <xf numFmtId="0" fontId="206" fillId="78" borderId="413"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80" borderId="404" applyNumberFormat="0" applyAlignment="0" applyProtection="0"/>
    <xf numFmtId="0" fontId="213" fillId="65" borderId="404" applyNumberFormat="0" applyAlignment="0" applyProtection="0"/>
    <xf numFmtId="0" fontId="213" fillId="80" borderId="404" applyNumberFormat="0" applyAlignment="0" applyProtection="0"/>
    <xf numFmtId="0" fontId="8" fillId="81" borderId="405" applyNumberFormat="0" applyFont="0" applyAlignment="0" applyProtection="0"/>
    <xf numFmtId="0" fontId="176"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176" fillId="81" borderId="405" applyNumberFormat="0" applyFont="0" applyAlignment="0" applyProtection="0"/>
    <xf numFmtId="0" fontId="216" fillId="59" borderId="406" applyNumberFormat="0" applyAlignment="0" applyProtection="0"/>
    <xf numFmtId="0" fontId="174" fillId="0" borderId="407" applyNumberFormat="0" applyFill="0" applyAlignment="0" applyProtection="0"/>
    <xf numFmtId="0" fontId="206" fillId="78" borderId="404" applyNumberFormat="0" applyAlignment="0" applyProtection="0"/>
    <xf numFmtId="0" fontId="206" fillId="78" borderId="404" applyNumberFormat="0" applyAlignment="0" applyProtection="0"/>
    <xf numFmtId="182" fontId="225" fillId="0" borderId="403" applyFill="0" applyProtection="0"/>
    <xf numFmtId="182" fontId="225" fillId="0" borderId="403" applyFill="0" applyProtection="0"/>
    <xf numFmtId="182" fontId="225" fillId="0" borderId="403" applyFill="0" applyProtection="0"/>
    <xf numFmtId="200" fontId="225" fillId="0" borderId="403" applyFill="0" applyProtection="0"/>
    <xf numFmtId="200" fontId="225" fillId="0" borderId="403" applyFill="0" applyProtection="0"/>
    <xf numFmtId="200" fontId="225" fillId="0" borderId="403" applyFill="0" applyProtection="0"/>
    <xf numFmtId="0" fontId="153" fillId="0" borderId="402">
      <alignment horizontal="left" vertical="center"/>
    </xf>
    <xf numFmtId="0" fontId="229" fillId="83" borderId="408" applyAlignment="0">
      <alignment horizontal="center"/>
    </xf>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13" fillId="65" borderId="404" applyNumberFormat="0" applyAlignment="0" applyProtection="0"/>
    <xf numFmtId="0" fontId="229" fillId="83" borderId="408" applyAlignment="0">
      <alignment horizontal="center"/>
    </xf>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29" fillId="83" borderId="408" applyAlignment="0">
      <alignment horizontal="center"/>
    </xf>
    <xf numFmtId="0" fontId="229" fillId="83" borderId="408" applyAlignment="0">
      <alignment horizontal="center"/>
    </xf>
    <xf numFmtId="0" fontId="213" fillId="65" borderId="404" applyNumberFormat="0" applyAlignment="0" applyProtection="0"/>
    <xf numFmtId="0" fontId="216" fillId="78" borderId="406" applyNumberFormat="0" applyAlignment="0" applyProtection="0"/>
    <xf numFmtId="0" fontId="174" fillId="0" borderId="409" applyNumberFormat="0" applyFill="0" applyAlignment="0" applyProtection="0"/>
    <xf numFmtId="0" fontId="216" fillId="78" borderId="406" applyNumberFormat="0" applyAlignment="0" applyProtection="0"/>
    <xf numFmtId="0" fontId="174" fillId="0" borderId="409" applyNumberFormat="0" applyFill="0" applyAlignment="0" applyProtection="0"/>
    <xf numFmtId="182" fontId="225" fillId="0" borderId="403" applyFill="0" applyProtection="0"/>
    <xf numFmtId="200" fontId="225" fillId="0" borderId="403" applyFill="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03" fillId="81" borderId="405" applyNumberFormat="0" applyFont="0" applyAlignment="0" applyProtection="0"/>
    <xf numFmtId="0" fontId="213" fillId="65" borderId="404" applyNumberFormat="0" applyAlignment="0" applyProtection="0"/>
    <xf numFmtId="0" fontId="203" fillId="81" borderId="405" applyNumberFormat="0" applyFont="0" applyAlignment="0" applyProtection="0"/>
    <xf numFmtId="0" fontId="216" fillId="78" borderId="406" applyNumberFormat="0" applyAlignment="0" applyProtection="0"/>
    <xf numFmtId="0" fontId="174" fillId="0" borderId="409" applyNumberFormat="0" applyFill="0" applyAlignment="0" applyProtection="0"/>
    <xf numFmtId="0" fontId="249" fillId="59" borderId="404" applyNumberFormat="0" applyAlignment="0" applyProtection="0"/>
    <xf numFmtId="0" fontId="254" fillId="80" borderId="404" applyNumberFormat="0" applyAlignment="0" applyProtection="0"/>
    <xf numFmtId="0" fontId="257" fillId="59" borderId="406" applyNumberFormat="0" applyAlignment="0" applyProtection="0"/>
    <xf numFmtId="0" fontId="244" fillId="0" borderId="403" applyNumberFormat="0" applyFont="0" applyFill="0" applyAlignment="0" applyProtection="0"/>
    <xf numFmtId="0" fontId="178" fillId="0" borderId="410" applyProtection="0"/>
    <xf numFmtId="0" fontId="176" fillId="81" borderId="405" applyNumberFormat="0" applyFont="0" applyAlignment="0" applyProtection="0"/>
    <xf numFmtId="0" fontId="8" fillId="81" borderId="405" applyNumberFormat="0" applyFont="0" applyAlignment="0" applyProtection="0"/>
    <xf numFmtId="182" fontId="225" fillId="0" borderId="403" applyFill="0" applyProtection="0"/>
    <xf numFmtId="200" fontId="225" fillId="0" borderId="403" applyFill="0" applyProtection="0"/>
    <xf numFmtId="0" fontId="213" fillId="65" borderId="404" applyNumberFormat="0" applyAlignment="0" applyProtection="0"/>
    <xf numFmtId="0" fontId="203" fillId="81" borderId="405" applyNumberFormat="0" applyFont="0" applyAlignment="0" applyProtection="0"/>
    <xf numFmtId="0" fontId="203" fillId="81" borderId="405" applyNumberFormat="0" applyFont="0" applyAlignment="0" applyProtection="0"/>
    <xf numFmtId="182" fontId="225" fillId="0" borderId="403" applyFill="0" applyProtection="0"/>
    <xf numFmtId="200" fontId="225" fillId="0" borderId="403" applyFill="0" applyProtection="0"/>
    <xf numFmtId="0" fontId="153" fillId="0" borderId="402">
      <alignment horizontal="left" vertical="center"/>
    </xf>
    <xf numFmtId="0" fontId="203" fillId="81" borderId="405" applyNumberFormat="0" applyFont="0" applyAlignment="0" applyProtection="0"/>
    <xf numFmtId="0" fontId="153" fillId="0" borderId="402">
      <alignment horizontal="left" vertical="center"/>
    </xf>
    <xf numFmtId="0" fontId="213" fillId="80" borderId="404" applyNumberFormat="0" applyAlignment="0" applyProtection="0"/>
    <xf numFmtId="0" fontId="8" fillId="81" borderId="405" applyNumberFormat="0" applyFont="0" applyAlignment="0" applyProtection="0"/>
    <xf numFmtId="182" fontId="225" fillId="0" borderId="403" applyFill="0" applyProtection="0"/>
    <xf numFmtId="200" fontId="225" fillId="0" borderId="403" applyFill="0" applyProtection="0"/>
    <xf numFmtId="182" fontId="225" fillId="0" borderId="403" applyFill="0" applyProtection="0"/>
    <xf numFmtId="200" fontId="225" fillId="0" borderId="403" applyFill="0" applyProtection="0"/>
    <xf numFmtId="0" fontId="153" fillId="0" borderId="402">
      <alignment horizontal="left" vertical="center"/>
    </xf>
    <xf numFmtId="182" fontId="225" fillId="0" borderId="403" applyFill="0" applyProtection="0"/>
    <xf numFmtId="200" fontId="225" fillId="0" borderId="403" applyFill="0" applyProtection="0"/>
    <xf numFmtId="0" fontId="176" fillId="81" borderId="405" applyNumberFormat="0" applyFont="0" applyAlignment="0" applyProtection="0"/>
    <xf numFmtId="0" fontId="203" fillId="81" borderId="405" applyNumberFormat="0" applyFont="0" applyAlignment="0" applyProtection="0"/>
    <xf numFmtId="0" fontId="213" fillId="65" borderId="404" applyNumberFormat="0" applyAlignment="0" applyProtection="0"/>
    <xf numFmtId="0" fontId="229" fillId="83" borderId="373" applyAlignment="0">
      <alignment horizontal="center"/>
    </xf>
    <xf numFmtId="0" fontId="203" fillId="81" borderId="387" applyNumberFormat="0" applyFont="0" applyAlignment="0" applyProtection="0"/>
    <xf numFmtId="0" fontId="229" fillId="83" borderId="463" applyAlignment="0">
      <alignment horizontal="center"/>
    </xf>
    <xf numFmtId="0" fontId="244" fillId="0" borderId="511" applyNumberFormat="0" applyFont="0" applyFill="0" applyAlignment="0" applyProtection="0"/>
    <xf numFmtId="182" fontId="225" fillId="0" borderId="502" applyFill="0" applyProtection="0"/>
    <xf numFmtId="0" fontId="213" fillId="65" borderId="503" applyNumberFormat="0" applyAlignment="0" applyProtection="0"/>
    <xf numFmtId="0" fontId="203" fillId="81" borderId="585" applyNumberFormat="0" applyFont="0" applyAlignment="0" applyProtection="0"/>
    <xf numFmtId="182" fontId="225" fillId="0" borderId="502" applyFill="0" applyProtection="0"/>
    <xf numFmtId="0" fontId="213" fillId="65" borderId="593" applyNumberFormat="0" applyAlignment="0" applyProtection="0"/>
    <xf numFmtId="0" fontId="174" fillId="0" borderId="597" applyNumberFormat="0" applyFill="0" applyAlignment="0" applyProtection="0"/>
    <xf numFmtId="0" fontId="213" fillId="65" borderId="593" applyNumberFormat="0" applyAlignment="0" applyProtection="0"/>
    <xf numFmtId="0" fontId="203" fillId="81" borderId="585" applyNumberFormat="0" applyFont="0" applyAlignment="0" applyProtection="0"/>
    <xf numFmtId="0" fontId="213" fillId="65" borderId="548" applyNumberFormat="0" applyAlignment="0" applyProtection="0"/>
    <xf numFmtId="0" fontId="213" fillId="65" borderId="593" applyNumberFormat="0" applyAlignment="0" applyProtection="0"/>
    <xf numFmtId="0" fontId="213" fillId="65" borderId="602" applyNumberFormat="0" applyAlignment="0" applyProtection="0"/>
    <xf numFmtId="0" fontId="213" fillId="65" borderId="593" applyNumberFormat="0" applyAlignment="0" applyProtection="0"/>
    <xf numFmtId="0" fontId="213" fillId="65" borderId="548" applyNumberFormat="0" applyAlignment="0" applyProtection="0"/>
    <xf numFmtId="182" fontId="225" fillId="0" borderId="601" applyFill="0" applyProtection="0"/>
    <xf numFmtId="0" fontId="203" fillId="81" borderId="450" applyNumberFormat="0" applyFont="0" applyAlignment="0" applyProtection="0"/>
    <xf numFmtId="0" fontId="213" fillId="65" borderId="458" applyNumberFormat="0" applyAlignment="0" applyProtection="0"/>
    <xf numFmtId="0" fontId="203" fillId="81" borderId="567" applyNumberFormat="0" applyFont="0" applyAlignment="0" applyProtection="0"/>
    <xf numFmtId="0" fontId="174" fillId="0" borderId="589" applyNumberFormat="0" applyFill="0" applyAlignment="0" applyProtection="0"/>
    <xf numFmtId="0" fontId="213" fillId="65" borderId="548" applyNumberFormat="0" applyAlignment="0" applyProtection="0"/>
    <xf numFmtId="0" fontId="203" fillId="81" borderId="603" applyNumberFormat="0" applyFont="0" applyAlignment="0" applyProtection="0"/>
    <xf numFmtId="0" fontId="203" fillId="81" borderId="549" applyNumberFormat="0" applyFont="0" applyAlignment="0" applyProtection="0"/>
    <xf numFmtId="0" fontId="213" fillId="65" borderId="503" applyNumberFormat="0" applyAlignment="0" applyProtection="0"/>
    <xf numFmtId="0" fontId="213" fillId="65" borderId="593" applyNumberFormat="0" applyAlignment="0" applyProtection="0"/>
    <xf numFmtId="0" fontId="203" fillId="81" borderId="513" applyNumberFormat="0" applyFont="0" applyAlignment="0" applyProtection="0"/>
    <xf numFmtId="0" fontId="213" fillId="65" borderId="566" applyNumberFormat="0" applyAlignment="0" applyProtection="0"/>
    <xf numFmtId="0" fontId="176" fillId="81" borderId="495" applyNumberFormat="0" applyFont="0" applyAlignment="0" applyProtection="0"/>
    <xf numFmtId="0" fontId="213" fillId="65" borderId="512" applyNumberFormat="0" applyAlignment="0" applyProtection="0"/>
    <xf numFmtId="0" fontId="238" fillId="59" borderId="593" applyNumberFormat="0" applyAlignment="0" applyProtection="0"/>
    <xf numFmtId="0" fontId="203" fillId="81" borderId="603" applyNumberFormat="0" applyFont="0" applyAlignment="0" applyProtection="0"/>
    <xf numFmtId="0" fontId="176" fillId="81" borderId="459" applyNumberFormat="0" applyFont="0" applyAlignment="0" applyProtection="0"/>
    <xf numFmtId="0" fontId="238" fillId="59" borderId="440" applyNumberFormat="0" applyAlignment="0" applyProtection="0"/>
    <xf numFmtId="0" fontId="229" fillId="83" borderId="435" applyAlignment="0">
      <alignment horizontal="center"/>
    </xf>
    <xf numFmtId="0" fontId="213" fillId="65" borderId="431" applyNumberFormat="0" applyAlignment="0" applyProtection="0"/>
    <xf numFmtId="0" fontId="238" fillId="59"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80" borderId="431" applyNumberFormat="0" applyAlignment="0" applyProtection="0"/>
    <xf numFmtId="0" fontId="213" fillId="65" borderId="431" applyNumberFormat="0" applyAlignment="0" applyProtection="0"/>
    <xf numFmtId="0" fontId="213" fillId="80" borderId="431" applyNumberFormat="0" applyAlignment="0" applyProtection="0"/>
    <xf numFmtId="0" fontId="203" fillId="81" borderId="459" applyNumberFormat="0" applyFont="0" applyAlignment="0" applyProtection="0"/>
    <xf numFmtId="0" fontId="213" fillId="65" borderId="566" applyNumberFormat="0" applyAlignment="0" applyProtection="0"/>
    <xf numFmtId="182" fontId="225" fillId="0" borderId="457" applyFill="0" applyProtection="0"/>
    <xf numFmtId="182" fontId="225" fillId="0" borderId="457" applyFill="0" applyProtection="0"/>
    <xf numFmtId="0" fontId="8" fillId="81" borderId="432" applyNumberFormat="0" applyFont="0" applyAlignment="0" applyProtection="0"/>
    <xf numFmtId="0" fontId="176"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176" fillId="81" borderId="432" applyNumberFormat="0" applyFont="0" applyAlignment="0" applyProtection="0"/>
    <xf numFmtId="0" fontId="216" fillId="59" borderId="433" applyNumberFormat="0" applyAlignment="0" applyProtection="0"/>
    <xf numFmtId="0" fontId="174" fillId="0" borderId="434" applyNumberFormat="0" applyFill="0" applyAlignment="0" applyProtection="0"/>
    <xf numFmtId="0" fontId="216" fillId="78" borderId="433" applyNumberFormat="0" applyAlignment="0" applyProtection="0"/>
    <xf numFmtId="0" fontId="174" fillId="0" borderId="436" applyNumberFormat="0" applyFill="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153" fillId="0" borderId="456">
      <alignment horizontal="left" vertical="center"/>
    </xf>
    <xf numFmtId="0" fontId="203" fillId="81" borderId="432" applyNumberFormat="0" applyFont="0" applyAlignment="0" applyProtection="0"/>
    <xf numFmtId="0" fontId="206" fillId="78" borderId="431" applyNumberFormat="0" applyAlignment="0" applyProtection="0"/>
    <xf numFmtId="0" fontId="176" fillId="81" borderId="432" applyNumberFormat="0" applyFont="0" applyAlignment="0" applyProtection="0"/>
    <xf numFmtId="0" fontId="238" fillId="59" borderId="431" applyNumberFormat="0" applyAlignment="0" applyProtection="0"/>
    <xf numFmtId="0" fontId="213" fillId="80" borderId="431" applyNumberFormat="0" applyAlignment="0" applyProtection="0"/>
    <xf numFmtId="0" fontId="8" fillId="81" borderId="432" applyNumberFormat="0" applyFont="0" applyAlignment="0" applyProtection="0"/>
    <xf numFmtId="0" fontId="216" fillId="59" borderId="433" applyNumberFormat="0" applyAlignment="0" applyProtection="0"/>
    <xf numFmtId="0" fontId="213" fillId="80" borderId="431" applyNumberFormat="0" applyAlignment="0" applyProtection="0"/>
    <xf numFmtId="0" fontId="176" fillId="81" borderId="432" applyNumberFormat="0" applyFont="0" applyAlignment="0" applyProtection="0"/>
    <xf numFmtId="182" fontId="225" fillId="0" borderId="457" applyFill="0" applyProtection="0"/>
    <xf numFmtId="0" fontId="203" fillId="81" borderId="459" applyNumberFormat="0" applyFont="0" applyAlignment="0" applyProtection="0"/>
    <xf numFmtId="200" fontId="225" fillId="0" borderId="565" applyFill="0" applyProtection="0"/>
    <xf numFmtId="200" fontId="225" fillId="0" borderId="457" applyFill="0" applyProtection="0"/>
    <xf numFmtId="0" fontId="174" fillId="0" borderId="607" applyNumberFormat="0" applyFill="0" applyAlignment="0" applyProtection="0"/>
    <xf numFmtId="182" fontId="225" fillId="0" borderId="457" applyFill="0" applyProtection="0"/>
    <xf numFmtId="0" fontId="213" fillId="65" borderId="458" applyNumberFormat="0" applyAlignment="0" applyProtection="0"/>
    <xf numFmtId="0" fontId="213" fillId="65" borderId="503" applyNumberFormat="0" applyAlignment="0" applyProtection="0"/>
    <xf numFmtId="0" fontId="249" fillId="59" borderId="52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80" borderId="440" applyNumberFormat="0" applyAlignment="0" applyProtection="0"/>
    <xf numFmtId="0" fontId="213" fillId="65" borderId="440" applyNumberFormat="0" applyAlignment="0" applyProtection="0"/>
    <xf numFmtId="0" fontId="213" fillId="80" borderId="440" applyNumberFormat="0" applyAlignment="0" applyProtection="0"/>
    <xf numFmtId="0" fontId="8" fillId="81" borderId="441" applyNumberFormat="0" applyFont="0" applyAlignment="0" applyProtection="0"/>
    <xf numFmtId="0" fontId="176"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176" fillId="81" borderId="441" applyNumberFormat="0" applyFont="0" applyAlignment="0" applyProtection="0"/>
    <xf numFmtId="0" fontId="216" fillId="59" borderId="442" applyNumberFormat="0" applyAlignment="0" applyProtection="0"/>
    <xf numFmtId="0" fontId="174" fillId="0" borderId="443" applyNumberFormat="0" applyFill="0" applyAlignment="0" applyProtection="0"/>
    <xf numFmtId="0" fontId="206" fillId="78" borderId="440" applyNumberFormat="0" applyAlignment="0" applyProtection="0"/>
    <xf numFmtId="0" fontId="206" fillId="78" borderId="440" applyNumberFormat="0" applyAlignment="0" applyProtection="0"/>
    <xf numFmtId="182" fontId="225" fillId="0" borderId="439" applyFill="0" applyProtection="0"/>
    <xf numFmtId="182" fontId="225" fillId="0" borderId="439" applyFill="0" applyProtection="0"/>
    <xf numFmtId="182" fontId="225" fillId="0" borderId="439" applyFill="0" applyProtection="0"/>
    <xf numFmtId="200" fontId="225" fillId="0" borderId="439" applyFill="0" applyProtection="0"/>
    <xf numFmtId="200" fontId="225" fillId="0" borderId="439" applyFill="0" applyProtection="0"/>
    <xf numFmtId="200" fontId="225" fillId="0" borderId="439" applyFill="0" applyProtection="0"/>
    <xf numFmtId="0" fontId="153" fillId="0" borderId="438">
      <alignment horizontal="left" vertical="center"/>
    </xf>
    <xf numFmtId="0" fontId="229" fillId="83" borderId="444" applyAlignment="0">
      <alignment horizontal="center"/>
    </xf>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29" fillId="83" borderId="444" applyAlignment="0">
      <alignment horizontal="center"/>
    </xf>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16" fillId="78" borderId="433" applyNumberFormat="0" applyAlignment="0" applyProtection="0"/>
    <xf numFmtId="0" fontId="174" fillId="0" borderId="436" applyNumberFormat="0" applyFill="0" applyAlignment="0" applyProtection="0"/>
    <xf numFmtId="0" fontId="229" fillId="83" borderId="444" applyAlignment="0">
      <alignment horizontal="center"/>
    </xf>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13" fillId="65" borderId="431" applyNumberForma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6" fillId="78" borderId="431" applyNumberFormat="0" applyAlignment="0" applyProtection="0"/>
    <xf numFmtId="0" fontId="176" fillId="81" borderId="432" applyNumberFormat="0" applyFont="0" applyAlignment="0" applyProtection="0"/>
    <xf numFmtId="0" fontId="238" fillId="59" borderId="431" applyNumberFormat="0" applyAlignment="0" applyProtection="0"/>
    <xf numFmtId="0" fontId="213" fillId="80" borderId="431" applyNumberFormat="0" applyAlignment="0" applyProtection="0"/>
    <xf numFmtId="0" fontId="8" fillId="81" borderId="432" applyNumberFormat="0" applyFont="0" applyAlignment="0" applyProtection="0"/>
    <xf numFmtId="0" fontId="216" fillId="59" borderId="433" applyNumberFormat="0" applyAlignment="0" applyProtection="0"/>
    <xf numFmtId="0" fontId="174" fillId="0" borderId="434" applyNumberFormat="0" applyFill="0" applyAlignment="0" applyProtection="0"/>
    <xf numFmtId="0" fontId="213" fillId="80" borderId="431" applyNumberFormat="0" applyAlignment="0" applyProtection="0"/>
    <xf numFmtId="0" fontId="229" fillId="83" borderId="444" applyAlignment="0">
      <alignment horizontal="center"/>
    </xf>
    <xf numFmtId="0" fontId="176" fillId="81" borderId="432" applyNumberFormat="0" applyFont="0" applyAlignment="0" applyProtection="0"/>
    <xf numFmtId="0" fontId="213" fillId="65" borderId="440" applyNumberFormat="0" applyAlignment="0" applyProtection="0"/>
    <xf numFmtId="0" fontId="216" fillId="78" borderId="442" applyNumberFormat="0" applyAlignment="0" applyProtection="0"/>
    <xf numFmtId="0" fontId="174" fillId="0" borderId="445" applyNumberFormat="0" applyFill="0" applyAlignment="0" applyProtection="0"/>
    <xf numFmtId="0" fontId="216" fillId="78" borderId="442" applyNumberFormat="0" applyAlignment="0" applyProtection="0"/>
    <xf numFmtId="0" fontId="174" fillId="0" borderId="445" applyNumberFormat="0" applyFill="0" applyAlignment="0" applyProtection="0"/>
    <xf numFmtId="182" fontId="225" fillId="0" borderId="439" applyFill="0" applyProtection="0"/>
    <xf numFmtId="200" fontId="225" fillId="0" borderId="439" applyFill="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03" fillId="81" borderId="441" applyNumberFormat="0" applyFont="0" applyAlignment="0" applyProtection="0"/>
    <xf numFmtId="0" fontId="213" fillId="65" borderId="440" applyNumberFormat="0" applyAlignment="0" applyProtection="0"/>
    <xf numFmtId="0" fontId="203" fillId="81" borderId="441" applyNumberFormat="0" applyFont="0" applyAlignment="0" applyProtection="0"/>
    <xf numFmtId="0" fontId="216" fillId="78" borderId="442" applyNumberFormat="0" applyAlignment="0" applyProtection="0"/>
    <xf numFmtId="0" fontId="174" fillId="0" borderId="445" applyNumberFormat="0" applyFill="0" applyAlignment="0" applyProtection="0"/>
    <xf numFmtId="0" fontId="249" fillId="59" borderId="440" applyNumberFormat="0" applyAlignment="0" applyProtection="0"/>
    <xf numFmtId="0" fontId="254" fillId="80" borderId="440" applyNumberFormat="0" applyAlignment="0" applyProtection="0"/>
    <xf numFmtId="0" fontId="257" fillId="59" borderId="442" applyNumberFormat="0" applyAlignment="0" applyProtection="0"/>
    <xf numFmtId="0" fontId="244" fillId="0" borderId="439" applyNumberFormat="0" applyFont="0" applyFill="0" applyAlignment="0" applyProtection="0"/>
    <xf numFmtId="0" fontId="178" fillId="0" borderId="446" applyProtection="0"/>
    <xf numFmtId="0" fontId="176" fillId="81" borderId="441" applyNumberFormat="0" applyFont="0" applyAlignment="0" applyProtection="0"/>
    <xf numFmtId="0" fontId="8" fillId="81" borderId="441" applyNumberFormat="0" applyFont="0" applyAlignment="0" applyProtection="0"/>
    <xf numFmtId="182" fontId="225" fillId="0" borderId="439" applyFill="0" applyProtection="0"/>
    <xf numFmtId="200" fontId="225" fillId="0" borderId="439" applyFill="0" applyProtection="0"/>
    <xf numFmtId="0" fontId="213" fillId="65" borderId="440" applyNumberFormat="0" applyAlignment="0" applyProtection="0"/>
    <xf numFmtId="0" fontId="203" fillId="81" borderId="441" applyNumberFormat="0" applyFont="0" applyAlignment="0" applyProtection="0"/>
    <xf numFmtId="0" fontId="203" fillId="81" borderId="441" applyNumberFormat="0" applyFont="0" applyAlignment="0" applyProtection="0"/>
    <xf numFmtId="182" fontId="225" fillId="0" borderId="439" applyFill="0" applyProtection="0"/>
    <xf numFmtId="200" fontId="225" fillId="0" borderId="439" applyFill="0" applyProtection="0"/>
    <xf numFmtId="0" fontId="153" fillId="0" borderId="438">
      <alignment horizontal="left" vertical="center"/>
    </xf>
    <xf numFmtId="0" fontId="203" fillId="81" borderId="441" applyNumberFormat="0" applyFont="0" applyAlignment="0" applyProtection="0"/>
    <xf numFmtId="0" fontId="153" fillId="0" borderId="438">
      <alignment horizontal="left" vertical="center"/>
    </xf>
    <xf numFmtId="0" fontId="213" fillId="80" borderId="440" applyNumberFormat="0" applyAlignment="0" applyProtection="0"/>
    <xf numFmtId="0" fontId="8" fillId="81" borderId="441" applyNumberFormat="0" applyFont="0" applyAlignment="0" applyProtection="0"/>
    <xf numFmtId="182" fontId="225" fillId="0" borderId="439" applyFill="0" applyProtection="0"/>
    <xf numFmtId="200" fontId="225" fillId="0" borderId="439" applyFill="0" applyProtection="0"/>
    <xf numFmtId="182" fontId="225" fillId="0" borderId="439" applyFill="0" applyProtection="0"/>
    <xf numFmtId="200" fontId="225" fillId="0" borderId="439" applyFill="0" applyProtection="0"/>
    <xf numFmtId="0" fontId="153" fillId="0" borderId="438">
      <alignment horizontal="left" vertical="center"/>
    </xf>
    <xf numFmtId="0" fontId="203" fillId="81" borderId="432" applyNumberFormat="0" applyFont="0" applyAlignment="0" applyProtection="0"/>
    <xf numFmtId="182" fontId="225" fillId="0" borderId="439" applyFill="0" applyProtection="0"/>
    <xf numFmtId="200" fontId="225" fillId="0" borderId="439" applyFill="0" applyProtection="0"/>
    <xf numFmtId="0" fontId="176" fillId="81" borderId="441" applyNumberFormat="0" applyFont="0" applyAlignment="0" applyProtection="0"/>
    <xf numFmtId="0" fontId="203" fillId="81" borderId="441"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03" fillId="81" borderId="432" applyNumberFormat="0" applyFont="0" applyAlignment="0" applyProtection="0"/>
    <xf numFmtId="0" fontId="213" fillId="65" borderId="440" applyNumberFormat="0" applyAlignment="0" applyProtection="0"/>
    <xf numFmtId="0" fontId="238" fillId="59" borderId="449" applyNumberFormat="0" applyAlignment="0" applyProtection="0"/>
    <xf numFmtId="0" fontId="213" fillId="65" borderId="440" applyNumberFormat="0" applyAlignment="0" applyProtection="0"/>
    <xf numFmtId="0" fontId="206" fillId="78" borderId="566" applyNumberFormat="0" applyAlignment="0" applyProtection="0"/>
    <xf numFmtId="182" fontId="225" fillId="0" borderId="457" applyFill="0" applyProtection="0"/>
    <xf numFmtId="200" fontId="225" fillId="0" borderId="457" applyFill="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0" fontId="213" fillId="65" borderId="440" applyNumberFormat="0" applyAlignment="0" applyProtection="0"/>
    <xf numFmtId="200" fontId="225" fillId="0" borderId="457" applyFill="0" applyProtection="0"/>
    <xf numFmtId="0" fontId="206" fillId="78" borderId="440" applyNumberFormat="0" applyAlignment="0" applyProtection="0"/>
    <xf numFmtId="0" fontId="238" fillId="59" borderId="440" applyNumberFormat="0" applyAlignment="0" applyProtection="0"/>
    <xf numFmtId="0" fontId="213" fillId="80" borderId="440" applyNumberFormat="0" applyAlignment="0" applyProtection="0"/>
    <xf numFmtId="0" fontId="213" fillId="80" borderId="440" applyNumberFormat="0" applyAlignment="0" applyProtection="0"/>
    <xf numFmtId="0" fontId="174" fillId="0" borderId="461" applyNumberFormat="0" applyFill="0" applyAlignment="0" applyProtection="0"/>
    <xf numFmtId="0" fontId="8" fillId="81" borderId="549" applyNumberFormat="0" applyFont="0" applyAlignment="0" applyProtection="0"/>
    <xf numFmtId="0" fontId="176" fillId="81" borderId="459" applyNumberFormat="0" applyFont="0" applyAlignment="0" applyProtection="0"/>
    <xf numFmtId="0" fontId="213" fillId="65" borderId="458" applyNumberFormat="0" applyAlignment="0" applyProtection="0"/>
    <xf numFmtId="0" fontId="213" fillId="65" borderId="449" applyNumberFormat="0" applyAlignment="0" applyProtection="0"/>
    <xf numFmtId="0" fontId="206" fillId="78" borderId="458"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80" borderId="449" applyNumberFormat="0" applyAlignment="0" applyProtection="0"/>
    <xf numFmtId="0" fontId="213" fillId="65" borderId="449" applyNumberFormat="0" applyAlignment="0" applyProtection="0"/>
    <xf numFmtId="0" fontId="213" fillId="80" borderId="449" applyNumberFormat="0" applyAlignment="0" applyProtection="0"/>
    <xf numFmtId="0" fontId="8" fillId="81" borderId="450" applyNumberFormat="0" applyFont="0" applyAlignment="0" applyProtection="0"/>
    <xf numFmtId="0" fontId="176"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176" fillId="81" borderId="450" applyNumberFormat="0" applyFont="0" applyAlignment="0" applyProtection="0"/>
    <xf numFmtId="0" fontId="216" fillId="59" borderId="451" applyNumberFormat="0" applyAlignment="0" applyProtection="0"/>
    <xf numFmtId="0" fontId="174" fillId="0" borderId="452" applyNumberFormat="0" applyFill="0" applyAlignment="0" applyProtection="0"/>
    <xf numFmtId="0" fontId="206" fillId="78" borderId="449" applyNumberFormat="0" applyAlignment="0" applyProtection="0"/>
    <xf numFmtId="0" fontId="206" fillId="78" borderId="449" applyNumberFormat="0" applyAlignment="0" applyProtection="0"/>
    <xf numFmtId="182" fontId="225" fillId="0" borderId="448" applyFill="0" applyProtection="0"/>
    <xf numFmtId="182" fontId="225" fillId="0" borderId="448" applyFill="0" applyProtection="0"/>
    <xf numFmtId="182" fontId="225" fillId="0" borderId="448" applyFill="0" applyProtection="0"/>
    <xf numFmtId="200" fontId="225" fillId="0" borderId="448" applyFill="0" applyProtection="0"/>
    <xf numFmtId="200" fontId="225" fillId="0" borderId="448" applyFill="0" applyProtection="0"/>
    <xf numFmtId="200" fontId="225" fillId="0" borderId="448" applyFill="0" applyProtection="0"/>
    <xf numFmtId="0" fontId="153" fillId="0" borderId="447">
      <alignment horizontal="left" vertical="center"/>
    </xf>
    <xf numFmtId="0" fontId="229" fillId="83" borderId="453" applyAlignment="0">
      <alignment horizontal="center"/>
    </xf>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13" fillId="65" borderId="449" applyNumberFormat="0" applyAlignment="0" applyProtection="0"/>
    <xf numFmtId="0" fontId="229" fillId="83" borderId="453" applyAlignment="0">
      <alignment horizontal="center"/>
    </xf>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29" fillId="83" borderId="453" applyAlignment="0">
      <alignment horizontal="center"/>
    </xf>
    <xf numFmtId="0" fontId="229" fillId="83" borderId="453" applyAlignment="0">
      <alignment horizontal="center"/>
    </xf>
    <xf numFmtId="0" fontId="213" fillId="65" borderId="449" applyNumberFormat="0" applyAlignment="0" applyProtection="0"/>
    <xf numFmtId="0" fontId="216" fillId="78" borderId="451" applyNumberFormat="0" applyAlignment="0" applyProtection="0"/>
    <xf numFmtId="0" fontId="174" fillId="0" borderId="454" applyNumberFormat="0" applyFill="0" applyAlignment="0" applyProtection="0"/>
    <xf numFmtId="0" fontId="216" fillId="78" borderId="451" applyNumberFormat="0" applyAlignment="0" applyProtection="0"/>
    <xf numFmtId="0" fontId="174" fillId="0" borderId="454" applyNumberFormat="0" applyFill="0" applyAlignment="0" applyProtection="0"/>
    <xf numFmtId="182" fontId="225" fillId="0" borderId="448" applyFill="0" applyProtection="0"/>
    <xf numFmtId="200" fontId="225" fillId="0" borderId="448" applyFill="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03" fillId="81" borderId="450" applyNumberFormat="0" applyFont="0" applyAlignment="0" applyProtection="0"/>
    <xf numFmtId="0" fontId="213" fillId="65" borderId="449" applyNumberFormat="0" applyAlignment="0" applyProtection="0"/>
    <xf numFmtId="0" fontId="203" fillId="81" borderId="450" applyNumberFormat="0" applyFont="0" applyAlignment="0" applyProtection="0"/>
    <xf numFmtId="0" fontId="216" fillId="78" borderId="451" applyNumberFormat="0" applyAlignment="0" applyProtection="0"/>
    <xf numFmtId="0" fontId="174" fillId="0" borderId="454" applyNumberFormat="0" applyFill="0" applyAlignment="0" applyProtection="0"/>
    <xf numFmtId="0" fontId="249" fillId="59" borderId="449" applyNumberFormat="0" applyAlignment="0" applyProtection="0"/>
    <xf numFmtId="0" fontId="254" fillId="80" borderId="449" applyNumberFormat="0" applyAlignment="0" applyProtection="0"/>
    <xf numFmtId="0" fontId="257" fillId="59" borderId="451" applyNumberFormat="0" applyAlignment="0" applyProtection="0"/>
    <xf numFmtId="0" fontId="244" fillId="0" borderId="448" applyNumberFormat="0" applyFont="0" applyFill="0" applyAlignment="0" applyProtection="0"/>
    <xf numFmtId="0" fontId="178" fillId="0" borderId="455" applyProtection="0"/>
    <xf numFmtId="0" fontId="176" fillId="81" borderId="450" applyNumberFormat="0" applyFont="0" applyAlignment="0" applyProtection="0"/>
    <xf numFmtId="0" fontId="8" fillId="81" borderId="450" applyNumberFormat="0" applyFont="0" applyAlignment="0" applyProtection="0"/>
    <xf numFmtId="182" fontId="225" fillId="0" borderId="448" applyFill="0" applyProtection="0"/>
    <xf numFmtId="200" fontId="225" fillId="0" borderId="448" applyFill="0" applyProtection="0"/>
    <xf numFmtId="0" fontId="213" fillId="65" borderId="449" applyNumberFormat="0" applyAlignment="0" applyProtection="0"/>
    <xf numFmtId="0" fontId="203" fillId="81" borderId="450" applyNumberFormat="0" applyFont="0" applyAlignment="0" applyProtection="0"/>
    <xf numFmtId="0" fontId="203" fillId="81" borderId="450" applyNumberFormat="0" applyFont="0" applyAlignment="0" applyProtection="0"/>
    <xf numFmtId="182" fontId="225" fillId="0" borderId="448" applyFill="0" applyProtection="0"/>
    <xf numFmtId="200" fontId="225" fillId="0" borderId="448" applyFill="0" applyProtection="0"/>
    <xf numFmtId="0" fontId="153" fillId="0" borderId="447">
      <alignment horizontal="left" vertical="center"/>
    </xf>
    <xf numFmtId="0" fontId="203" fillId="81" borderId="450" applyNumberFormat="0" applyFont="0" applyAlignment="0" applyProtection="0"/>
    <xf numFmtId="0" fontId="153" fillId="0" borderId="447">
      <alignment horizontal="left" vertical="center"/>
    </xf>
    <xf numFmtId="0" fontId="213" fillId="80" borderId="449" applyNumberFormat="0" applyAlignment="0" applyProtection="0"/>
    <xf numFmtId="0" fontId="8" fillId="81" borderId="450" applyNumberFormat="0" applyFont="0" applyAlignment="0" applyProtection="0"/>
    <xf numFmtId="182" fontId="225" fillId="0" borderId="448" applyFill="0" applyProtection="0"/>
    <xf numFmtId="200" fontId="225" fillId="0" borderId="448" applyFill="0" applyProtection="0"/>
    <xf numFmtId="182" fontId="225" fillId="0" borderId="448" applyFill="0" applyProtection="0"/>
    <xf numFmtId="200" fontId="225" fillId="0" borderId="448" applyFill="0" applyProtection="0"/>
    <xf numFmtId="0" fontId="153" fillId="0" borderId="447">
      <alignment horizontal="left" vertical="center"/>
    </xf>
    <xf numFmtId="182" fontId="225" fillId="0" borderId="448" applyFill="0" applyProtection="0"/>
    <xf numFmtId="200" fontId="225" fillId="0" borderId="448" applyFill="0" applyProtection="0"/>
    <xf numFmtId="0" fontId="176" fillId="81" borderId="450" applyNumberFormat="0" applyFont="0" applyAlignment="0" applyProtection="0"/>
    <xf numFmtId="0" fontId="203" fillId="81" borderId="450" applyNumberFormat="0" applyFont="0" applyAlignment="0" applyProtection="0"/>
    <xf numFmtId="0" fontId="213" fillId="65" borderId="449" applyNumberFormat="0" applyAlignment="0" applyProtection="0"/>
    <xf numFmtId="0" fontId="229" fillId="83" borderId="418" applyAlignment="0">
      <alignment horizontal="center"/>
    </xf>
    <xf numFmtId="0" fontId="203" fillId="81" borderId="432" applyNumberFormat="0" applyFont="0" applyAlignment="0" applyProtection="0"/>
    <xf numFmtId="0" fontId="229" fillId="83" borderId="508" applyAlignment="0">
      <alignment horizontal="center"/>
    </xf>
    <xf numFmtId="0" fontId="244" fillId="0" borderId="556" applyNumberFormat="0" applyFont="0" applyFill="0" applyAlignment="0" applyProtection="0"/>
    <xf numFmtId="182" fontId="225" fillId="0" borderId="547" applyFill="0" applyProtection="0"/>
    <xf numFmtId="0" fontId="213" fillId="65" borderId="548" applyNumberFormat="0" applyAlignment="0" applyProtection="0"/>
    <xf numFmtId="182" fontId="225" fillId="0" borderId="547" applyFill="0" applyProtection="0"/>
    <xf numFmtId="0" fontId="213" fillId="65" borderId="593" applyNumberFormat="0" applyAlignment="0" applyProtection="0"/>
    <xf numFmtId="0" fontId="213" fillId="65" borderId="593" applyNumberFormat="0" applyAlignment="0" applyProtection="0"/>
    <xf numFmtId="0" fontId="203" fillId="81" borderId="495" applyNumberFormat="0" applyFont="0" applyAlignment="0" applyProtection="0"/>
    <xf numFmtId="0" fontId="213" fillId="65" borderId="503" applyNumberFormat="0" applyAlignment="0" applyProtection="0"/>
    <xf numFmtId="0" fontId="203" fillId="81" borderId="612" applyNumberFormat="0" applyFont="0" applyAlignment="0" applyProtection="0"/>
    <xf numFmtId="0" fontId="213" fillId="65" borderId="593" applyNumberFormat="0" applyAlignment="0" applyProtection="0"/>
    <xf numFmtId="0" fontId="203" fillId="81" borderId="594" applyNumberFormat="0" applyFont="0" applyAlignment="0" applyProtection="0"/>
    <xf numFmtId="0" fontId="213" fillId="65" borderId="548" applyNumberFormat="0" applyAlignment="0" applyProtection="0"/>
    <xf numFmtId="0" fontId="203" fillId="81" borderId="558" applyNumberFormat="0" applyFont="0" applyAlignment="0" applyProtection="0"/>
    <xf numFmtId="0" fontId="213" fillId="65" borderId="611" applyNumberFormat="0" applyAlignment="0" applyProtection="0"/>
    <xf numFmtId="0" fontId="176" fillId="81" borderId="540" applyNumberFormat="0" applyFont="0" applyAlignment="0" applyProtection="0"/>
    <xf numFmtId="0" fontId="213" fillId="65" borderId="557" applyNumberFormat="0" applyAlignment="0" applyProtection="0"/>
    <xf numFmtId="0" fontId="176" fillId="81" borderId="504" applyNumberFormat="0" applyFont="0" applyAlignment="0" applyProtection="0"/>
    <xf numFmtId="0" fontId="238" fillId="59" borderId="485" applyNumberFormat="0" applyAlignment="0" applyProtection="0"/>
    <xf numFmtId="0" fontId="229" fillId="83" borderId="480" applyAlignment="0">
      <alignment horizontal="center"/>
    </xf>
    <xf numFmtId="0" fontId="213" fillId="65" borderId="476" applyNumberFormat="0" applyAlignment="0" applyProtection="0"/>
    <xf numFmtId="0" fontId="238" fillId="59"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80" borderId="476" applyNumberFormat="0" applyAlignment="0" applyProtection="0"/>
    <xf numFmtId="0" fontId="213" fillId="65" borderId="476" applyNumberFormat="0" applyAlignment="0" applyProtection="0"/>
    <xf numFmtId="0" fontId="213" fillId="80" borderId="476" applyNumberFormat="0" applyAlignment="0" applyProtection="0"/>
    <xf numFmtId="0" fontId="203" fillId="81" borderId="504" applyNumberFormat="0" applyFont="0" applyAlignment="0" applyProtection="0"/>
    <xf numFmtId="0" fontId="213" fillId="65" borderId="611" applyNumberFormat="0" applyAlignment="0" applyProtection="0"/>
    <xf numFmtId="182" fontId="225" fillId="0" borderId="502" applyFill="0" applyProtection="0"/>
    <xf numFmtId="182" fontId="225" fillId="0" borderId="502" applyFill="0" applyProtection="0"/>
    <xf numFmtId="0" fontId="8" fillId="81" borderId="477" applyNumberFormat="0" applyFont="0" applyAlignment="0" applyProtection="0"/>
    <xf numFmtId="0" fontId="176"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176" fillId="81" borderId="477" applyNumberFormat="0" applyFont="0" applyAlignment="0" applyProtection="0"/>
    <xf numFmtId="0" fontId="216" fillId="59" borderId="478" applyNumberFormat="0" applyAlignment="0" applyProtection="0"/>
    <xf numFmtId="0" fontId="174" fillId="0" borderId="479" applyNumberFormat="0" applyFill="0" applyAlignment="0" applyProtection="0"/>
    <xf numFmtId="0" fontId="216" fillId="78" borderId="478" applyNumberFormat="0" applyAlignment="0" applyProtection="0"/>
    <xf numFmtId="0" fontId="174" fillId="0" borderId="481" applyNumberFormat="0" applyFill="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153" fillId="0" borderId="501">
      <alignment horizontal="left" vertical="center"/>
    </xf>
    <xf numFmtId="0" fontId="203" fillId="81" borderId="477" applyNumberFormat="0" applyFont="0" applyAlignment="0" applyProtection="0"/>
    <xf numFmtId="0" fontId="206" fillId="78" borderId="476" applyNumberFormat="0" applyAlignment="0" applyProtection="0"/>
    <xf numFmtId="0" fontId="176" fillId="81" borderId="477" applyNumberFormat="0" applyFont="0" applyAlignment="0" applyProtection="0"/>
    <xf numFmtId="0" fontId="238" fillId="59" borderId="476" applyNumberFormat="0" applyAlignment="0" applyProtection="0"/>
    <xf numFmtId="0" fontId="213" fillId="80" borderId="476" applyNumberFormat="0" applyAlignment="0" applyProtection="0"/>
    <xf numFmtId="0" fontId="8" fillId="81" borderId="477" applyNumberFormat="0" applyFont="0" applyAlignment="0" applyProtection="0"/>
    <xf numFmtId="0" fontId="216" fillId="59" borderId="478" applyNumberFormat="0" applyAlignment="0" applyProtection="0"/>
    <xf numFmtId="0" fontId="213" fillId="80" borderId="476" applyNumberFormat="0" applyAlignment="0" applyProtection="0"/>
    <xf numFmtId="0" fontId="176" fillId="81" borderId="477" applyNumberFormat="0" applyFont="0" applyAlignment="0" applyProtection="0"/>
    <xf numFmtId="182" fontId="225" fillId="0" borderId="502" applyFill="0" applyProtection="0"/>
    <xf numFmtId="0" fontId="203" fillId="81" borderId="504" applyNumberFormat="0" applyFont="0" applyAlignment="0" applyProtection="0"/>
    <xf numFmtId="200" fontId="225" fillId="0" borderId="610" applyFill="0" applyProtection="0"/>
    <xf numFmtId="200" fontId="225" fillId="0" borderId="502" applyFill="0" applyProtection="0"/>
    <xf numFmtId="182" fontId="225" fillId="0" borderId="502" applyFill="0" applyProtection="0"/>
    <xf numFmtId="0" fontId="213" fillId="65" borderId="503" applyNumberFormat="0" applyAlignment="0" applyProtection="0"/>
    <xf numFmtId="0" fontId="213" fillId="65" borderId="548" applyNumberFormat="0" applyAlignment="0" applyProtection="0"/>
    <xf numFmtId="0" fontId="249" fillId="59" borderId="56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80" borderId="485" applyNumberFormat="0" applyAlignment="0" applyProtection="0"/>
    <xf numFmtId="0" fontId="213" fillId="65" borderId="485" applyNumberFormat="0" applyAlignment="0" applyProtection="0"/>
    <xf numFmtId="0" fontId="213" fillId="80" borderId="485" applyNumberFormat="0" applyAlignment="0" applyProtection="0"/>
    <xf numFmtId="0" fontId="8" fillId="81" borderId="486" applyNumberFormat="0" applyFont="0" applyAlignment="0" applyProtection="0"/>
    <xf numFmtId="0" fontId="176"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176" fillId="81" borderId="486" applyNumberFormat="0" applyFont="0" applyAlignment="0" applyProtection="0"/>
    <xf numFmtId="0" fontId="216" fillId="59" borderId="487" applyNumberFormat="0" applyAlignment="0" applyProtection="0"/>
    <xf numFmtId="0" fontId="174" fillId="0" borderId="488" applyNumberFormat="0" applyFill="0" applyAlignment="0" applyProtection="0"/>
    <xf numFmtId="0" fontId="206" fillId="78" borderId="485" applyNumberFormat="0" applyAlignment="0" applyProtection="0"/>
    <xf numFmtId="0" fontId="206" fillId="78" borderId="485" applyNumberFormat="0" applyAlignment="0" applyProtection="0"/>
    <xf numFmtId="182" fontId="225" fillId="0" borderId="484" applyFill="0" applyProtection="0"/>
    <xf numFmtId="182" fontId="225" fillId="0" borderId="484" applyFill="0" applyProtection="0"/>
    <xf numFmtId="182" fontId="225" fillId="0" borderId="484" applyFill="0" applyProtection="0"/>
    <xf numFmtId="200" fontId="225" fillId="0" borderId="484" applyFill="0" applyProtection="0"/>
    <xf numFmtId="200" fontId="225" fillId="0" borderId="484" applyFill="0" applyProtection="0"/>
    <xf numFmtId="200" fontId="225" fillId="0" borderId="484" applyFill="0" applyProtection="0"/>
    <xf numFmtId="0" fontId="153" fillId="0" borderId="483">
      <alignment horizontal="left" vertical="center"/>
    </xf>
    <xf numFmtId="0" fontId="229" fillId="83" borderId="489" applyAlignment="0">
      <alignment horizontal="center"/>
    </xf>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29" fillId="83" borderId="489" applyAlignment="0">
      <alignment horizontal="center"/>
    </xf>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16" fillId="78" borderId="478" applyNumberFormat="0" applyAlignment="0" applyProtection="0"/>
    <xf numFmtId="0" fontId="174" fillId="0" borderId="481" applyNumberFormat="0" applyFill="0" applyAlignment="0" applyProtection="0"/>
    <xf numFmtId="0" fontId="229" fillId="83" borderId="489" applyAlignment="0">
      <alignment horizontal="center"/>
    </xf>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13" fillId="65" borderId="476" applyNumberForma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6" fillId="78" borderId="476" applyNumberFormat="0" applyAlignment="0" applyProtection="0"/>
    <xf numFmtId="0" fontId="176" fillId="81" borderId="477" applyNumberFormat="0" applyFont="0" applyAlignment="0" applyProtection="0"/>
    <xf numFmtId="0" fontId="238" fillId="59" borderId="476" applyNumberFormat="0" applyAlignment="0" applyProtection="0"/>
    <xf numFmtId="0" fontId="213" fillId="80" borderId="476" applyNumberFormat="0" applyAlignment="0" applyProtection="0"/>
    <xf numFmtId="0" fontId="8" fillId="81" borderId="477" applyNumberFormat="0" applyFont="0" applyAlignment="0" applyProtection="0"/>
    <xf numFmtId="0" fontId="216" fillId="59" borderId="478" applyNumberFormat="0" applyAlignment="0" applyProtection="0"/>
    <xf numFmtId="0" fontId="174" fillId="0" borderId="479" applyNumberFormat="0" applyFill="0" applyAlignment="0" applyProtection="0"/>
    <xf numFmtId="0" fontId="213" fillId="80" borderId="476" applyNumberFormat="0" applyAlignment="0" applyProtection="0"/>
    <xf numFmtId="0" fontId="229" fillId="83" borderId="489" applyAlignment="0">
      <alignment horizontal="center"/>
    </xf>
    <xf numFmtId="0" fontId="176" fillId="81" borderId="477" applyNumberFormat="0" applyFont="0" applyAlignment="0" applyProtection="0"/>
    <xf numFmtId="0" fontId="213" fillId="65" borderId="485" applyNumberFormat="0" applyAlignment="0" applyProtection="0"/>
    <xf numFmtId="0" fontId="216" fillId="78" borderId="487" applyNumberFormat="0" applyAlignment="0" applyProtection="0"/>
    <xf numFmtId="0" fontId="174" fillId="0" borderId="490" applyNumberFormat="0" applyFill="0" applyAlignment="0" applyProtection="0"/>
    <xf numFmtId="0" fontId="216" fillId="78" borderId="487" applyNumberFormat="0" applyAlignment="0" applyProtection="0"/>
    <xf numFmtId="0" fontId="174" fillId="0" borderId="490" applyNumberFormat="0" applyFill="0" applyAlignment="0" applyProtection="0"/>
    <xf numFmtId="182" fontId="225" fillId="0" borderId="484" applyFill="0" applyProtection="0"/>
    <xf numFmtId="200" fontId="225" fillId="0" borderId="484" applyFill="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03" fillId="81" borderId="486" applyNumberFormat="0" applyFont="0" applyAlignment="0" applyProtection="0"/>
    <xf numFmtId="0" fontId="213" fillId="65" borderId="485" applyNumberFormat="0" applyAlignment="0" applyProtection="0"/>
    <xf numFmtId="0" fontId="203" fillId="81" borderId="486" applyNumberFormat="0" applyFont="0" applyAlignment="0" applyProtection="0"/>
    <xf numFmtId="0" fontId="216" fillId="78" borderId="487" applyNumberFormat="0" applyAlignment="0" applyProtection="0"/>
    <xf numFmtId="0" fontId="174" fillId="0" borderId="490" applyNumberFormat="0" applyFill="0" applyAlignment="0" applyProtection="0"/>
    <xf numFmtId="0" fontId="249" fillId="59" borderId="485" applyNumberFormat="0" applyAlignment="0" applyProtection="0"/>
    <xf numFmtId="0" fontId="254" fillId="80" borderId="485" applyNumberFormat="0" applyAlignment="0" applyProtection="0"/>
    <xf numFmtId="0" fontId="257" fillId="59" borderId="487" applyNumberFormat="0" applyAlignment="0" applyProtection="0"/>
    <xf numFmtId="0" fontId="244" fillId="0" borderId="484" applyNumberFormat="0" applyFont="0" applyFill="0" applyAlignment="0" applyProtection="0"/>
    <xf numFmtId="0" fontId="178" fillId="0" borderId="491" applyProtection="0"/>
    <xf numFmtId="0" fontId="176" fillId="81" borderId="486" applyNumberFormat="0" applyFont="0" applyAlignment="0" applyProtection="0"/>
    <xf numFmtId="0" fontId="8" fillId="81" borderId="486" applyNumberFormat="0" applyFont="0" applyAlignment="0" applyProtection="0"/>
    <xf numFmtId="182" fontId="225" fillId="0" borderId="484" applyFill="0" applyProtection="0"/>
    <xf numFmtId="200" fontId="225" fillId="0" borderId="484" applyFill="0" applyProtection="0"/>
    <xf numFmtId="0" fontId="213" fillId="65" borderId="485" applyNumberFormat="0" applyAlignment="0" applyProtection="0"/>
    <xf numFmtId="0" fontId="203" fillId="81" borderId="486" applyNumberFormat="0" applyFont="0" applyAlignment="0" applyProtection="0"/>
    <xf numFmtId="0" fontId="203" fillId="81" borderId="486" applyNumberFormat="0" applyFont="0" applyAlignment="0" applyProtection="0"/>
    <xf numFmtId="182" fontId="225" fillId="0" borderId="484" applyFill="0" applyProtection="0"/>
    <xf numFmtId="200" fontId="225" fillId="0" borderId="484" applyFill="0" applyProtection="0"/>
    <xf numFmtId="0" fontId="153" fillId="0" borderId="483">
      <alignment horizontal="left" vertical="center"/>
    </xf>
    <xf numFmtId="0" fontId="203" fillId="81" borderId="486" applyNumberFormat="0" applyFont="0" applyAlignment="0" applyProtection="0"/>
    <xf numFmtId="0" fontId="153" fillId="0" borderId="483">
      <alignment horizontal="left" vertical="center"/>
    </xf>
    <xf numFmtId="0" fontId="213" fillId="80" borderId="485" applyNumberFormat="0" applyAlignment="0" applyProtection="0"/>
    <xf numFmtId="0" fontId="8" fillId="81" borderId="486" applyNumberFormat="0" applyFont="0" applyAlignment="0" applyProtection="0"/>
    <xf numFmtId="182" fontId="225" fillId="0" borderId="484" applyFill="0" applyProtection="0"/>
    <xf numFmtId="200" fontId="225" fillId="0" borderId="484" applyFill="0" applyProtection="0"/>
    <xf numFmtId="182" fontId="225" fillId="0" borderId="484" applyFill="0" applyProtection="0"/>
    <xf numFmtId="200" fontId="225" fillId="0" borderId="484" applyFill="0" applyProtection="0"/>
    <xf numFmtId="0" fontId="153" fillId="0" borderId="483">
      <alignment horizontal="left" vertical="center"/>
    </xf>
    <xf numFmtId="0" fontId="203" fillId="81" borderId="477" applyNumberFormat="0" applyFont="0" applyAlignment="0" applyProtection="0"/>
    <xf numFmtId="182" fontId="225" fillId="0" borderId="484" applyFill="0" applyProtection="0"/>
    <xf numFmtId="200" fontId="225" fillId="0" borderId="484" applyFill="0" applyProtection="0"/>
    <xf numFmtId="0" fontId="176" fillId="81" borderId="486" applyNumberFormat="0" applyFont="0" applyAlignment="0" applyProtection="0"/>
    <xf numFmtId="0" fontId="203" fillId="81" borderId="486"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03" fillId="81" borderId="477" applyNumberFormat="0" applyFont="0" applyAlignment="0" applyProtection="0"/>
    <xf numFmtId="0" fontId="213" fillId="65" borderId="485" applyNumberFormat="0" applyAlignment="0" applyProtection="0"/>
    <xf numFmtId="0" fontId="238" fillId="59" borderId="494" applyNumberFormat="0" applyAlignment="0" applyProtection="0"/>
    <xf numFmtId="0" fontId="213" fillId="65" borderId="485" applyNumberFormat="0" applyAlignment="0" applyProtection="0"/>
    <xf numFmtId="0" fontId="206" fillId="78" borderId="611" applyNumberFormat="0" applyAlignment="0" applyProtection="0"/>
    <xf numFmtId="182" fontId="225" fillId="0" borderId="502" applyFill="0" applyProtection="0"/>
    <xf numFmtId="200" fontId="225" fillId="0" borderId="502" applyFill="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0" fontId="213" fillId="65" borderId="485" applyNumberFormat="0" applyAlignment="0" applyProtection="0"/>
    <xf numFmtId="200" fontId="225" fillId="0" borderId="502" applyFill="0" applyProtection="0"/>
    <xf numFmtId="0" fontId="206" fillId="78" borderId="485" applyNumberFormat="0" applyAlignment="0" applyProtection="0"/>
    <xf numFmtId="0" fontId="238" fillId="59" borderId="485" applyNumberFormat="0" applyAlignment="0" applyProtection="0"/>
    <xf numFmtId="0" fontId="213" fillId="80" borderId="485" applyNumberFormat="0" applyAlignment="0" applyProtection="0"/>
    <xf numFmtId="0" fontId="213" fillId="80" borderId="485" applyNumberFormat="0" applyAlignment="0" applyProtection="0"/>
    <xf numFmtId="0" fontId="174" fillId="0" borderId="506" applyNumberFormat="0" applyFill="0" applyAlignment="0" applyProtection="0"/>
    <xf numFmtId="0" fontId="8" fillId="81" borderId="594" applyNumberFormat="0" applyFont="0" applyAlignment="0" applyProtection="0"/>
    <xf numFmtId="0" fontId="176" fillId="81" borderId="504" applyNumberFormat="0" applyFont="0" applyAlignment="0" applyProtection="0"/>
    <xf numFmtId="0" fontId="213" fillId="65" borderId="503" applyNumberFormat="0" applyAlignment="0" applyProtection="0"/>
    <xf numFmtId="0" fontId="213" fillId="65" borderId="494" applyNumberFormat="0" applyAlignment="0" applyProtection="0"/>
    <xf numFmtId="0" fontId="206" fillId="78" borderId="503"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80" borderId="494" applyNumberFormat="0" applyAlignment="0" applyProtection="0"/>
    <xf numFmtId="0" fontId="213" fillId="65" borderId="494" applyNumberFormat="0" applyAlignment="0" applyProtection="0"/>
    <xf numFmtId="0" fontId="213" fillId="80" borderId="494" applyNumberFormat="0" applyAlignment="0" applyProtection="0"/>
    <xf numFmtId="0" fontId="8" fillId="81" borderId="495" applyNumberFormat="0" applyFont="0" applyAlignment="0" applyProtection="0"/>
    <xf numFmtId="0" fontId="176"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176" fillId="81" borderId="495" applyNumberFormat="0" applyFont="0" applyAlignment="0" applyProtection="0"/>
    <xf numFmtId="0" fontId="216" fillId="59" borderId="496" applyNumberFormat="0" applyAlignment="0" applyProtection="0"/>
    <xf numFmtId="0" fontId="174" fillId="0" borderId="497" applyNumberFormat="0" applyFill="0" applyAlignment="0" applyProtection="0"/>
    <xf numFmtId="0" fontId="206" fillId="78" borderId="494" applyNumberFormat="0" applyAlignment="0" applyProtection="0"/>
    <xf numFmtId="0" fontId="206" fillId="78" borderId="494" applyNumberFormat="0" applyAlignment="0" applyProtection="0"/>
    <xf numFmtId="182" fontId="225" fillId="0" borderId="493" applyFill="0" applyProtection="0"/>
    <xf numFmtId="182" fontId="225" fillId="0" borderId="493" applyFill="0" applyProtection="0"/>
    <xf numFmtId="182" fontId="225" fillId="0" borderId="493" applyFill="0" applyProtection="0"/>
    <xf numFmtId="200" fontId="225" fillId="0" borderId="493" applyFill="0" applyProtection="0"/>
    <xf numFmtId="200" fontId="225" fillId="0" borderId="493" applyFill="0" applyProtection="0"/>
    <xf numFmtId="200" fontId="225" fillId="0" borderId="493" applyFill="0" applyProtection="0"/>
    <xf numFmtId="0" fontId="153" fillId="0" borderId="492">
      <alignment horizontal="left" vertical="center"/>
    </xf>
    <xf numFmtId="0" fontId="229" fillId="83" borderId="498" applyAlignment="0">
      <alignment horizontal="center"/>
    </xf>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13" fillId="65" borderId="494" applyNumberFormat="0" applyAlignment="0" applyProtection="0"/>
    <xf numFmtId="0" fontId="229" fillId="83" borderId="498" applyAlignment="0">
      <alignment horizontal="center"/>
    </xf>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29" fillId="83" borderId="498" applyAlignment="0">
      <alignment horizontal="center"/>
    </xf>
    <xf numFmtId="0" fontId="229" fillId="83" borderId="498" applyAlignment="0">
      <alignment horizontal="center"/>
    </xf>
    <xf numFmtId="0" fontId="213" fillId="65" borderId="494" applyNumberFormat="0" applyAlignment="0" applyProtection="0"/>
    <xf numFmtId="0" fontId="216" fillId="78" borderId="496" applyNumberFormat="0" applyAlignment="0" applyProtection="0"/>
    <xf numFmtId="0" fontId="174" fillId="0" borderId="499" applyNumberFormat="0" applyFill="0" applyAlignment="0" applyProtection="0"/>
    <xf numFmtId="0" fontId="216" fillId="78" borderId="496" applyNumberFormat="0" applyAlignment="0" applyProtection="0"/>
    <xf numFmtId="0" fontId="174" fillId="0" borderId="499" applyNumberFormat="0" applyFill="0" applyAlignment="0" applyProtection="0"/>
    <xf numFmtId="182" fontId="225" fillId="0" borderId="493" applyFill="0" applyProtection="0"/>
    <xf numFmtId="200" fontId="225" fillId="0" borderId="493" applyFill="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03" fillId="81" borderId="495" applyNumberFormat="0" applyFont="0" applyAlignment="0" applyProtection="0"/>
    <xf numFmtId="0" fontId="213" fillId="65" borderId="494" applyNumberFormat="0" applyAlignment="0" applyProtection="0"/>
    <xf numFmtId="0" fontId="203" fillId="81" borderId="495" applyNumberFormat="0" applyFont="0" applyAlignment="0" applyProtection="0"/>
    <xf numFmtId="0" fontId="216" fillId="78" borderId="496" applyNumberFormat="0" applyAlignment="0" applyProtection="0"/>
    <xf numFmtId="0" fontId="174" fillId="0" borderId="499" applyNumberFormat="0" applyFill="0" applyAlignment="0" applyProtection="0"/>
    <xf numFmtId="0" fontId="249" fillId="59" borderId="494" applyNumberFormat="0" applyAlignment="0" applyProtection="0"/>
    <xf numFmtId="0" fontId="254" fillId="80" borderId="494" applyNumberFormat="0" applyAlignment="0" applyProtection="0"/>
    <xf numFmtId="0" fontId="257" fillId="59" borderId="496" applyNumberFormat="0" applyAlignment="0" applyProtection="0"/>
    <xf numFmtId="0" fontId="244" fillId="0" borderId="493" applyNumberFormat="0" applyFont="0" applyFill="0" applyAlignment="0" applyProtection="0"/>
    <xf numFmtId="0" fontId="178" fillId="0" borderId="500" applyProtection="0"/>
    <xf numFmtId="0" fontId="176" fillId="81" borderId="495" applyNumberFormat="0" applyFont="0" applyAlignment="0" applyProtection="0"/>
    <xf numFmtId="0" fontId="8" fillId="81" borderId="495" applyNumberFormat="0" applyFont="0" applyAlignment="0" applyProtection="0"/>
    <xf numFmtId="182" fontId="225" fillId="0" borderId="493" applyFill="0" applyProtection="0"/>
    <xf numFmtId="200" fontId="225" fillId="0" borderId="493" applyFill="0" applyProtection="0"/>
    <xf numFmtId="0" fontId="213" fillId="65" borderId="494" applyNumberFormat="0" applyAlignment="0" applyProtection="0"/>
    <xf numFmtId="0" fontId="203" fillId="81" borderId="495" applyNumberFormat="0" applyFont="0" applyAlignment="0" applyProtection="0"/>
    <xf numFmtId="0" fontId="203" fillId="81" borderId="495" applyNumberFormat="0" applyFont="0" applyAlignment="0" applyProtection="0"/>
    <xf numFmtId="182" fontId="225" fillId="0" borderId="493" applyFill="0" applyProtection="0"/>
    <xf numFmtId="200" fontId="225" fillId="0" borderId="493" applyFill="0" applyProtection="0"/>
    <xf numFmtId="0" fontId="153" fillId="0" borderId="492">
      <alignment horizontal="left" vertical="center"/>
    </xf>
    <xf numFmtId="0" fontId="203" fillId="81" borderId="495" applyNumberFormat="0" applyFont="0" applyAlignment="0" applyProtection="0"/>
    <xf numFmtId="0" fontId="153" fillId="0" borderId="492">
      <alignment horizontal="left" vertical="center"/>
    </xf>
    <xf numFmtId="0" fontId="213" fillId="80" borderId="494" applyNumberFormat="0" applyAlignment="0" applyProtection="0"/>
    <xf numFmtId="0" fontId="8" fillId="81" borderId="495" applyNumberFormat="0" applyFont="0" applyAlignment="0" applyProtection="0"/>
    <xf numFmtId="182" fontId="225" fillId="0" borderId="493" applyFill="0" applyProtection="0"/>
    <xf numFmtId="200" fontId="225" fillId="0" borderId="493" applyFill="0" applyProtection="0"/>
    <xf numFmtId="182" fontId="225" fillId="0" borderId="493" applyFill="0" applyProtection="0"/>
    <xf numFmtId="200" fontId="225" fillId="0" borderId="493" applyFill="0" applyProtection="0"/>
    <xf numFmtId="0" fontId="153" fillId="0" borderId="492">
      <alignment horizontal="left" vertical="center"/>
    </xf>
    <xf numFmtId="182" fontId="225" fillId="0" borderId="493" applyFill="0" applyProtection="0"/>
    <xf numFmtId="200" fontId="225" fillId="0" borderId="493" applyFill="0" applyProtection="0"/>
    <xf numFmtId="0" fontId="176" fillId="81" borderId="495" applyNumberFormat="0" applyFont="0" applyAlignment="0" applyProtection="0"/>
    <xf numFmtId="0" fontId="203" fillId="81" borderId="495" applyNumberFormat="0" applyFont="0" applyAlignment="0" applyProtection="0"/>
    <xf numFmtId="0" fontId="213" fillId="65" borderId="494" applyNumberFormat="0" applyAlignment="0" applyProtection="0"/>
    <xf numFmtId="0" fontId="229" fillId="83" borderId="463" applyAlignment="0">
      <alignment horizontal="center"/>
    </xf>
    <xf numFmtId="0" fontId="203" fillId="81" borderId="477" applyNumberFormat="0" applyFont="0" applyAlignment="0" applyProtection="0"/>
    <xf numFmtId="0" fontId="229" fillId="83" borderId="553" applyAlignment="0">
      <alignment horizontal="center"/>
    </xf>
    <xf numFmtId="0" fontId="244" fillId="0" borderId="601" applyNumberFormat="0" applyFont="0" applyFill="0" applyAlignment="0" applyProtection="0"/>
    <xf numFmtId="182" fontId="225" fillId="0" borderId="592" applyFill="0" applyProtection="0"/>
    <xf numFmtId="0" fontId="213" fillId="65" borderId="593" applyNumberFormat="0" applyAlignment="0" applyProtection="0"/>
    <xf numFmtId="182" fontId="225" fillId="0" borderId="592" applyFill="0" applyProtection="0"/>
    <xf numFmtId="0" fontId="203" fillId="81" borderId="540" applyNumberFormat="0" applyFont="0" applyAlignment="0" applyProtection="0"/>
    <xf numFmtId="0" fontId="213" fillId="65" borderId="548" applyNumberFormat="0" applyAlignment="0" applyProtection="0"/>
    <xf numFmtId="0" fontId="213" fillId="65" borderId="593" applyNumberFormat="0" applyAlignment="0" applyProtection="0"/>
    <xf numFmtId="0" fontId="203" fillId="81" borderId="603" applyNumberFormat="0" applyFont="0" applyAlignment="0" applyProtection="0"/>
    <xf numFmtId="0" fontId="176" fillId="81" borderId="585" applyNumberFormat="0" applyFont="0" applyAlignment="0" applyProtection="0"/>
    <xf numFmtId="0" fontId="213" fillId="65" borderId="602" applyNumberFormat="0" applyAlignment="0" applyProtection="0"/>
    <xf numFmtId="0" fontId="176" fillId="81" borderId="549" applyNumberFormat="0" applyFont="0" applyAlignment="0" applyProtection="0"/>
    <xf numFmtId="0" fontId="238" fillId="59" borderId="530" applyNumberFormat="0" applyAlignment="0" applyProtection="0"/>
    <xf numFmtId="0" fontId="229" fillId="83" borderId="525" applyAlignment="0">
      <alignment horizontal="center"/>
    </xf>
    <xf numFmtId="0" fontId="213" fillId="65" borderId="521" applyNumberFormat="0" applyAlignment="0" applyProtection="0"/>
    <xf numFmtId="0" fontId="238" fillId="59"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80" borderId="521" applyNumberFormat="0" applyAlignment="0" applyProtection="0"/>
    <xf numFmtId="0" fontId="213" fillId="65" borderId="521" applyNumberFormat="0" applyAlignment="0" applyProtection="0"/>
    <xf numFmtId="0" fontId="213" fillId="80" borderId="521" applyNumberFormat="0" applyAlignment="0" applyProtection="0"/>
    <xf numFmtId="0" fontId="203" fillId="81" borderId="549" applyNumberFormat="0" applyFont="0" applyAlignment="0" applyProtection="0"/>
    <xf numFmtId="182" fontId="225" fillId="0" borderId="547" applyFill="0" applyProtection="0"/>
    <xf numFmtId="182" fontId="225" fillId="0" borderId="547" applyFill="0" applyProtection="0"/>
    <xf numFmtId="0" fontId="8" fillId="81" borderId="522" applyNumberFormat="0" applyFont="0" applyAlignment="0" applyProtection="0"/>
    <xf numFmtId="0" fontId="176"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176" fillId="81" borderId="522" applyNumberFormat="0" applyFont="0" applyAlignment="0" applyProtection="0"/>
    <xf numFmtId="0" fontId="216" fillId="59" borderId="523" applyNumberFormat="0" applyAlignment="0" applyProtection="0"/>
    <xf numFmtId="0" fontId="174" fillId="0" borderId="524" applyNumberFormat="0" applyFill="0" applyAlignment="0" applyProtection="0"/>
    <xf numFmtId="0" fontId="216" fillId="78" borderId="523" applyNumberFormat="0" applyAlignment="0" applyProtection="0"/>
    <xf numFmtId="0" fontId="174" fillId="0" borderId="526" applyNumberFormat="0" applyFill="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153" fillId="0" borderId="546">
      <alignment horizontal="left" vertical="center"/>
    </xf>
    <xf numFmtId="0" fontId="203" fillId="81" borderId="522" applyNumberFormat="0" applyFont="0" applyAlignment="0" applyProtection="0"/>
    <xf numFmtId="0" fontId="206" fillId="78" borderId="521" applyNumberFormat="0" applyAlignment="0" applyProtection="0"/>
    <xf numFmtId="0" fontId="176" fillId="81" borderId="522" applyNumberFormat="0" applyFont="0" applyAlignment="0" applyProtection="0"/>
    <xf numFmtId="0" fontId="238" fillId="59" borderId="521" applyNumberFormat="0" applyAlignment="0" applyProtection="0"/>
    <xf numFmtId="0" fontId="213" fillId="80" borderId="521" applyNumberFormat="0" applyAlignment="0" applyProtection="0"/>
    <xf numFmtId="0" fontId="8" fillId="81" borderId="522" applyNumberFormat="0" applyFont="0" applyAlignment="0" applyProtection="0"/>
    <xf numFmtId="0" fontId="216" fillId="59" borderId="523" applyNumberFormat="0" applyAlignment="0" applyProtection="0"/>
    <xf numFmtId="0" fontId="213" fillId="80" borderId="521" applyNumberFormat="0" applyAlignment="0" applyProtection="0"/>
    <xf numFmtId="0" fontId="176" fillId="81" borderId="522" applyNumberFormat="0" applyFont="0" applyAlignment="0" applyProtection="0"/>
    <xf numFmtId="182" fontId="225" fillId="0" borderId="547" applyFill="0" applyProtection="0"/>
    <xf numFmtId="0" fontId="203" fillId="81" borderId="549" applyNumberFormat="0" applyFont="0" applyAlignment="0" applyProtection="0"/>
    <xf numFmtId="200" fontId="225" fillId="0" borderId="547" applyFill="0" applyProtection="0"/>
    <xf numFmtId="182" fontId="225" fillId="0" borderId="547" applyFill="0" applyProtection="0"/>
    <xf numFmtId="0" fontId="213" fillId="65" borderId="548" applyNumberFormat="0" applyAlignment="0" applyProtection="0"/>
    <xf numFmtId="0" fontId="213" fillId="65" borderId="593" applyNumberFormat="0" applyAlignment="0" applyProtection="0"/>
    <xf numFmtId="0" fontId="249" fillId="59" borderId="61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80" borderId="530" applyNumberFormat="0" applyAlignment="0" applyProtection="0"/>
    <xf numFmtId="0" fontId="213" fillId="65" borderId="530" applyNumberFormat="0" applyAlignment="0" applyProtection="0"/>
    <xf numFmtId="0" fontId="213" fillId="80" borderId="530" applyNumberFormat="0" applyAlignment="0" applyProtection="0"/>
    <xf numFmtId="0" fontId="8" fillId="81" borderId="531" applyNumberFormat="0" applyFont="0" applyAlignment="0" applyProtection="0"/>
    <xf numFmtId="0" fontId="176"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176" fillId="81" borderId="531" applyNumberFormat="0" applyFont="0" applyAlignment="0" applyProtection="0"/>
    <xf numFmtId="0" fontId="216" fillId="59" borderId="532" applyNumberFormat="0" applyAlignment="0" applyProtection="0"/>
    <xf numFmtId="0" fontId="174" fillId="0" borderId="533" applyNumberFormat="0" applyFill="0" applyAlignment="0" applyProtection="0"/>
    <xf numFmtId="0" fontId="206" fillId="78" borderId="530" applyNumberFormat="0" applyAlignment="0" applyProtection="0"/>
    <xf numFmtId="0" fontId="206" fillId="78" borderId="530" applyNumberFormat="0" applyAlignment="0" applyProtection="0"/>
    <xf numFmtId="182" fontId="225" fillId="0" borderId="529" applyFill="0" applyProtection="0"/>
    <xf numFmtId="182" fontId="225" fillId="0" borderId="529" applyFill="0" applyProtection="0"/>
    <xf numFmtId="182" fontId="225" fillId="0" borderId="529" applyFill="0" applyProtection="0"/>
    <xf numFmtId="200" fontId="225" fillId="0" borderId="529" applyFill="0" applyProtection="0"/>
    <xf numFmtId="200" fontId="225" fillId="0" borderId="529" applyFill="0" applyProtection="0"/>
    <xf numFmtId="200" fontId="225" fillId="0" borderId="529" applyFill="0" applyProtection="0"/>
    <xf numFmtId="0" fontId="153" fillId="0" borderId="528">
      <alignment horizontal="left" vertical="center"/>
    </xf>
    <xf numFmtId="0" fontId="229" fillId="83" borderId="534" applyAlignment="0">
      <alignment horizontal="center"/>
    </xf>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29" fillId="83" borderId="534" applyAlignment="0">
      <alignment horizontal="center"/>
    </xf>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16" fillId="78" borderId="523" applyNumberFormat="0" applyAlignment="0" applyProtection="0"/>
    <xf numFmtId="0" fontId="174" fillId="0" borderId="526" applyNumberFormat="0" applyFill="0" applyAlignment="0" applyProtection="0"/>
    <xf numFmtId="0" fontId="229" fillId="83" borderId="534" applyAlignment="0">
      <alignment horizontal="center"/>
    </xf>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13" fillId="65" borderId="521" applyNumberForma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6" fillId="78" borderId="521" applyNumberFormat="0" applyAlignment="0" applyProtection="0"/>
    <xf numFmtId="0" fontId="176" fillId="81" borderId="522" applyNumberFormat="0" applyFont="0" applyAlignment="0" applyProtection="0"/>
    <xf numFmtId="0" fontId="238" fillId="59" borderId="521" applyNumberFormat="0" applyAlignment="0" applyProtection="0"/>
    <xf numFmtId="0" fontId="213" fillId="80" borderId="521" applyNumberFormat="0" applyAlignment="0" applyProtection="0"/>
    <xf numFmtId="0" fontId="8" fillId="81" borderId="522" applyNumberFormat="0" applyFont="0" applyAlignment="0" applyProtection="0"/>
    <xf numFmtId="0" fontId="216" fillId="59" borderId="523" applyNumberFormat="0" applyAlignment="0" applyProtection="0"/>
    <xf numFmtId="0" fontId="174" fillId="0" borderId="524" applyNumberFormat="0" applyFill="0" applyAlignment="0" applyProtection="0"/>
    <xf numFmtId="0" fontId="213" fillId="80" borderId="521" applyNumberFormat="0" applyAlignment="0" applyProtection="0"/>
    <xf numFmtId="0" fontId="229" fillId="83" borderId="534" applyAlignment="0">
      <alignment horizontal="center"/>
    </xf>
    <xf numFmtId="0" fontId="176" fillId="81" borderId="522" applyNumberFormat="0" applyFont="0" applyAlignment="0" applyProtection="0"/>
    <xf numFmtId="0" fontId="213" fillId="65" borderId="530" applyNumberFormat="0" applyAlignment="0" applyProtection="0"/>
    <xf numFmtId="0" fontId="216" fillId="78" borderId="532" applyNumberFormat="0" applyAlignment="0" applyProtection="0"/>
    <xf numFmtId="0" fontId="174" fillId="0" borderId="535" applyNumberFormat="0" applyFill="0" applyAlignment="0" applyProtection="0"/>
    <xf numFmtId="0" fontId="216" fillId="78" borderId="532" applyNumberFormat="0" applyAlignment="0" applyProtection="0"/>
    <xf numFmtId="0" fontId="174" fillId="0" borderId="535" applyNumberFormat="0" applyFill="0" applyAlignment="0" applyProtection="0"/>
    <xf numFmtId="182" fontId="225" fillId="0" borderId="529" applyFill="0" applyProtection="0"/>
    <xf numFmtId="200" fontId="225" fillId="0" borderId="529" applyFill="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03" fillId="81" borderId="531" applyNumberFormat="0" applyFont="0" applyAlignment="0" applyProtection="0"/>
    <xf numFmtId="0" fontId="213" fillId="65" borderId="530" applyNumberFormat="0" applyAlignment="0" applyProtection="0"/>
    <xf numFmtId="0" fontId="203" fillId="81" borderId="531" applyNumberFormat="0" applyFont="0" applyAlignment="0" applyProtection="0"/>
    <xf numFmtId="0" fontId="216" fillId="78" borderId="532" applyNumberFormat="0" applyAlignment="0" applyProtection="0"/>
    <xf numFmtId="0" fontId="174" fillId="0" borderId="535" applyNumberFormat="0" applyFill="0" applyAlignment="0" applyProtection="0"/>
    <xf numFmtId="0" fontId="249" fillId="59" borderId="530" applyNumberFormat="0" applyAlignment="0" applyProtection="0"/>
    <xf numFmtId="0" fontId="254" fillId="80" borderId="530" applyNumberFormat="0" applyAlignment="0" applyProtection="0"/>
    <xf numFmtId="0" fontId="257" fillId="59" borderId="532" applyNumberFormat="0" applyAlignment="0" applyProtection="0"/>
    <xf numFmtId="0" fontId="244" fillId="0" borderId="529" applyNumberFormat="0" applyFont="0" applyFill="0" applyAlignment="0" applyProtection="0"/>
    <xf numFmtId="0" fontId="178" fillId="0" borderId="536" applyProtection="0"/>
    <xf numFmtId="0" fontId="176" fillId="81" borderId="531" applyNumberFormat="0" applyFont="0" applyAlignment="0" applyProtection="0"/>
    <xf numFmtId="0" fontId="8" fillId="81" borderId="531" applyNumberFormat="0" applyFont="0" applyAlignment="0" applyProtection="0"/>
    <xf numFmtId="182" fontId="225" fillId="0" borderId="529" applyFill="0" applyProtection="0"/>
    <xf numFmtId="200" fontId="225" fillId="0" borderId="529" applyFill="0" applyProtection="0"/>
    <xf numFmtId="0" fontId="213" fillId="65" borderId="530" applyNumberFormat="0" applyAlignment="0" applyProtection="0"/>
    <xf numFmtId="0" fontId="203" fillId="81" borderId="531" applyNumberFormat="0" applyFont="0" applyAlignment="0" applyProtection="0"/>
    <xf numFmtId="0" fontId="203" fillId="81" borderId="531" applyNumberFormat="0" applyFont="0" applyAlignment="0" applyProtection="0"/>
    <xf numFmtId="182" fontId="225" fillId="0" borderId="529" applyFill="0" applyProtection="0"/>
    <xf numFmtId="200" fontId="225" fillId="0" borderId="529" applyFill="0" applyProtection="0"/>
    <xf numFmtId="0" fontId="153" fillId="0" borderId="528">
      <alignment horizontal="left" vertical="center"/>
    </xf>
    <xf numFmtId="0" fontId="203" fillId="81" borderId="531" applyNumberFormat="0" applyFont="0" applyAlignment="0" applyProtection="0"/>
    <xf numFmtId="0" fontId="153" fillId="0" borderId="528">
      <alignment horizontal="left" vertical="center"/>
    </xf>
    <xf numFmtId="0" fontId="213" fillId="80" borderId="530" applyNumberFormat="0" applyAlignment="0" applyProtection="0"/>
    <xf numFmtId="0" fontId="8" fillId="81" borderId="531" applyNumberFormat="0" applyFont="0" applyAlignment="0" applyProtection="0"/>
    <xf numFmtId="182" fontId="225" fillId="0" borderId="529" applyFill="0" applyProtection="0"/>
    <xf numFmtId="200" fontId="225" fillId="0" borderId="529" applyFill="0" applyProtection="0"/>
    <xf numFmtId="182" fontId="225" fillId="0" borderId="529" applyFill="0" applyProtection="0"/>
    <xf numFmtId="200" fontId="225" fillId="0" borderId="529" applyFill="0" applyProtection="0"/>
    <xf numFmtId="0" fontId="153" fillId="0" borderId="528">
      <alignment horizontal="left" vertical="center"/>
    </xf>
    <xf numFmtId="0" fontId="203" fillId="81" borderId="522" applyNumberFormat="0" applyFont="0" applyAlignment="0" applyProtection="0"/>
    <xf numFmtId="182" fontId="225" fillId="0" borderId="529" applyFill="0" applyProtection="0"/>
    <xf numFmtId="200" fontId="225" fillId="0" borderId="529" applyFill="0" applyProtection="0"/>
    <xf numFmtId="0" fontId="176" fillId="81" borderId="531" applyNumberFormat="0" applyFont="0" applyAlignment="0" applyProtection="0"/>
    <xf numFmtId="0" fontId="203" fillId="81" borderId="531"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03" fillId="81" borderId="522" applyNumberFormat="0" applyFont="0" applyAlignment="0" applyProtection="0"/>
    <xf numFmtId="0" fontId="213" fillId="65" borderId="530" applyNumberFormat="0" applyAlignment="0" applyProtection="0"/>
    <xf numFmtId="0" fontId="238" fillId="59" borderId="539" applyNumberFormat="0" applyAlignment="0" applyProtection="0"/>
    <xf numFmtId="0" fontId="213" fillId="65" borderId="530" applyNumberFormat="0" applyAlignment="0" applyProtection="0"/>
    <xf numFmtId="182" fontId="225" fillId="0" borderId="547" applyFill="0" applyProtection="0"/>
    <xf numFmtId="200" fontId="225" fillId="0" borderId="547" applyFill="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0" fontId="213" fillId="65" borderId="530" applyNumberFormat="0" applyAlignment="0" applyProtection="0"/>
    <xf numFmtId="200" fontId="225" fillId="0" borderId="547" applyFill="0" applyProtection="0"/>
    <xf numFmtId="0" fontId="206" fillId="78" borderId="530" applyNumberFormat="0" applyAlignment="0" applyProtection="0"/>
    <xf numFmtId="0" fontId="238" fillId="59" borderId="530" applyNumberFormat="0" applyAlignment="0" applyProtection="0"/>
    <xf numFmtId="0" fontId="213" fillId="80" borderId="530" applyNumberFormat="0" applyAlignment="0" applyProtection="0"/>
    <xf numFmtId="0" fontId="213" fillId="80" borderId="530" applyNumberFormat="0" applyAlignment="0" applyProtection="0"/>
    <xf numFmtId="0" fontId="174" fillId="0" borderId="551" applyNumberFormat="0" applyFill="0" applyAlignment="0" applyProtection="0"/>
    <xf numFmtId="0" fontId="176" fillId="81" borderId="549" applyNumberFormat="0" applyFont="0" applyAlignment="0" applyProtection="0"/>
    <xf numFmtId="0" fontId="213" fillId="65" borderId="548" applyNumberFormat="0" applyAlignment="0" applyProtection="0"/>
    <xf numFmtId="0" fontId="213" fillId="65" borderId="539" applyNumberFormat="0" applyAlignment="0" applyProtection="0"/>
    <xf numFmtId="0" fontId="206" fillId="78" borderId="548"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80" borderId="539" applyNumberFormat="0" applyAlignment="0" applyProtection="0"/>
    <xf numFmtId="0" fontId="213" fillId="65" borderId="539" applyNumberFormat="0" applyAlignment="0" applyProtection="0"/>
    <xf numFmtId="0" fontId="213" fillId="80" borderId="539" applyNumberFormat="0" applyAlignment="0" applyProtection="0"/>
    <xf numFmtId="0" fontId="8" fillId="81" borderId="540" applyNumberFormat="0" applyFont="0" applyAlignment="0" applyProtection="0"/>
    <xf numFmtId="0" fontId="176"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176" fillId="81" borderId="540" applyNumberFormat="0" applyFont="0" applyAlignment="0" applyProtection="0"/>
    <xf numFmtId="0" fontId="216" fillId="59" borderId="541" applyNumberFormat="0" applyAlignment="0" applyProtection="0"/>
    <xf numFmtId="0" fontId="174" fillId="0" borderId="542" applyNumberFormat="0" applyFill="0" applyAlignment="0" applyProtection="0"/>
    <xf numFmtId="0" fontId="206" fillId="78" borderId="539" applyNumberFormat="0" applyAlignment="0" applyProtection="0"/>
    <xf numFmtId="0" fontId="206" fillId="78" borderId="539" applyNumberFormat="0" applyAlignment="0" applyProtection="0"/>
    <xf numFmtId="182" fontId="225" fillId="0" borderId="538" applyFill="0" applyProtection="0"/>
    <xf numFmtId="182" fontId="225" fillId="0" borderId="538" applyFill="0" applyProtection="0"/>
    <xf numFmtId="182" fontId="225" fillId="0" borderId="538" applyFill="0" applyProtection="0"/>
    <xf numFmtId="200" fontId="225" fillId="0" borderId="538" applyFill="0" applyProtection="0"/>
    <xf numFmtId="200" fontId="225" fillId="0" borderId="538" applyFill="0" applyProtection="0"/>
    <xf numFmtId="200" fontId="225" fillId="0" borderId="538" applyFill="0" applyProtection="0"/>
    <xf numFmtId="0" fontId="153" fillId="0" borderId="537">
      <alignment horizontal="left" vertical="center"/>
    </xf>
    <xf numFmtId="0" fontId="229" fillId="83" borderId="543" applyAlignment="0">
      <alignment horizontal="center"/>
    </xf>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13" fillId="65" borderId="539" applyNumberFormat="0" applyAlignment="0" applyProtection="0"/>
    <xf numFmtId="0" fontId="229" fillId="83" borderId="543" applyAlignment="0">
      <alignment horizontal="center"/>
    </xf>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29" fillId="83" borderId="543" applyAlignment="0">
      <alignment horizontal="center"/>
    </xf>
    <xf numFmtId="0" fontId="229" fillId="83" borderId="543" applyAlignment="0">
      <alignment horizontal="center"/>
    </xf>
    <xf numFmtId="0" fontId="213" fillId="65" borderId="539" applyNumberFormat="0" applyAlignment="0" applyProtection="0"/>
    <xf numFmtId="0" fontId="216" fillId="78" borderId="541" applyNumberFormat="0" applyAlignment="0" applyProtection="0"/>
    <xf numFmtId="0" fontId="174" fillId="0" borderId="544" applyNumberFormat="0" applyFill="0" applyAlignment="0" applyProtection="0"/>
    <xf numFmtId="0" fontId="216" fillId="78" borderId="541" applyNumberFormat="0" applyAlignment="0" applyProtection="0"/>
    <xf numFmtId="0" fontId="174" fillId="0" borderId="544" applyNumberFormat="0" applyFill="0" applyAlignment="0" applyProtection="0"/>
    <xf numFmtId="182" fontId="225" fillId="0" borderId="538" applyFill="0" applyProtection="0"/>
    <xf numFmtId="200" fontId="225" fillId="0" borderId="538" applyFill="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13" fillId="65" borderId="539" applyNumberFormat="0" applyAlignment="0" applyProtection="0"/>
    <xf numFmtId="0" fontId="203" fillId="81" borderId="540" applyNumberFormat="0" applyFont="0" applyAlignment="0" applyProtection="0"/>
    <xf numFmtId="0" fontId="216" fillId="78" borderId="541" applyNumberFormat="0" applyAlignment="0" applyProtection="0"/>
    <xf numFmtId="0" fontId="174" fillId="0" borderId="544" applyNumberFormat="0" applyFill="0" applyAlignment="0" applyProtection="0"/>
    <xf numFmtId="0" fontId="249" fillId="59" borderId="539" applyNumberFormat="0" applyAlignment="0" applyProtection="0"/>
    <xf numFmtId="0" fontId="254" fillId="80" borderId="539" applyNumberFormat="0" applyAlignment="0" applyProtection="0"/>
    <xf numFmtId="0" fontId="257" fillId="59" borderId="541" applyNumberFormat="0" applyAlignment="0" applyProtection="0"/>
    <xf numFmtId="0" fontId="244" fillId="0" borderId="538" applyNumberFormat="0" applyFont="0" applyFill="0" applyAlignment="0" applyProtection="0"/>
    <xf numFmtId="0" fontId="178" fillId="0" borderId="545" applyProtection="0"/>
    <xf numFmtId="0" fontId="176" fillId="81" borderId="540" applyNumberFormat="0" applyFont="0" applyAlignment="0" applyProtection="0"/>
    <xf numFmtId="0" fontId="8" fillId="81" borderId="540" applyNumberFormat="0" applyFont="0" applyAlignment="0" applyProtection="0"/>
    <xf numFmtId="182" fontId="225" fillId="0" borderId="538" applyFill="0" applyProtection="0"/>
    <xf numFmtId="200" fontId="225" fillId="0" borderId="538" applyFill="0" applyProtection="0"/>
    <xf numFmtId="0" fontId="213" fillId="65" borderId="539" applyNumberFormat="0" applyAlignment="0" applyProtection="0"/>
    <xf numFmtId="0" fontId="203" fillId="81" borderId="540" applyNumberFormat="0" applyFont="0" applyAlignment="0" applyProtection="0"/>
    <xf numFmtId="0" fontId="203" fillId="81" borderId="540" applyNumberFormat="0" applyFont="0" applyAlignment="0" applyProtection="0"/>
    <xf numFmtId="182" fontId="225" fillId="0" borderId="538" applyFill="0" applyProtection="0"/>
    <xf numFmtId="200" fontId="225" fillId="0" borderId="538" applyFill="0" applyProtection="0"/>
    <xf numFmtId="0" fontId="153" fillId="0" borderId="537">
      <alignment horizontal="left" vertical="center"/>
    </xf>
    <xf numFmtId="0" fontId="203" fillId="81" borderId="540" applyNumberFormat="0" applyFont="0" applyAlignment="0" applyProtection="0"/>
    <xf numFmtId="0" fontId="153" fillId="0" borderId="537">
      <alignment horizontal="left" vertical="center"/>
    </xf>
    <xf numFmtId="0" fontId="213" fillId="80" borderId="539" applyNumberFormat="0" applyAlignment="0" applyProtection="0"/>
    <xf numFmtId="0" fontId="8" fillId="81" borderId="540" applyNumberFormat="0" applyFont="0" applyAlignment="0" applyProtection="0"/>
    <xf numFmtId="182" fontId="225" fillId="0" borderId="538" applyFill="0" applyProtection="0"/>
    <xf numFmtId="200" fontId="225" fillId="0" borderId="538" applyFill="0" applyProtection="0"/>
    <xf numFmtId="182" fontId="225" fillId="0" borderId="538" applyFill="0" applyProtection="0"/>
    <xf numFmtId="200" fontId="225" fillId="0" borderId="538" applyFill="0" applyProtection="0"/>
    <xf numFmtId="0" fontId="153" fillId="0" borderId="537">
      <alignment horizontal="left" vertical="center"/>
    </xf>
    <xf numFmtId="182" fontId="225" fillId="0" borderId="538" applyFill="0" applyProtection="0"/>
    <xf numFmtId="200" fontId="225" fillId="0" borderId="538" applyFill="0" applyProtection="0"/>
    <xf numFmtId="0" fontId="176" fillId="81" borderId="540" applyNumberFormat="0" applyFont="0" applyAlignment="0" applyProtection="0"/>
    <xf numFmtId="0" fontId="203" fillId="81" borderId="540" applyNumberFormat="0" applyFont="0" applyAlignment="0" applyProtection="0"/>
    <xf numFmtId="0" fontId="213" fillId="65" borderId="539" applyNumberFormat="0" applyAlignment="0" applyProtection="0"/>
    <xf numFmtId="0" fontId="229" fillId="83" borderId="508" applyAlignment="0">
      <alignment horizontal="center"/>
    </xf>
    <xf numFmtId="0" fontId="203" fillId="81" borderId="522" applyNumberFormat="0" applyFont="0" applyAlignment="0" applyProtection="0"/>
    <xf numFmtId="0" fontId="229" fillId="83" borderId="598" applyAlignment="0">
      <alignment horizontal="center"/>
    </xf>
    <xf numFmtId="0" fontId="203" fillId="81" borderId="585" applyNumberFormat="0" applyFont="0" applyAlignment="0" applyProtection="0"/>
    <xf numFmtId="0" fontId="213" fillId="65" borderId="593" applyNumberFormat="0" applyAlignment="0" applyProtection="0"/>
    <xf numFmtId="0" fontId="176" fillId="81" borderId="594" applyNumberFormat="0" applyFont="0" applyAlignment="0" applyProtection="0"/>
    <xf numFmtId="0" fontId="238" fillId="59" borderId="575" applyNumberFormat="0" applyAlignment="0" applyProtection="0"/>
    <xf numFmtId="0" fontId="229" fillId="83" borderId="570" applyAlignment="0">
      <alignment horizontal="center"/>
    </xf>
    <xf numFmtId="0" fontId="213" fillId="65" borderId="566" applyNumberFormat="0" applyAlignment="0" applyProtection="0"/>
    <xf numFmtId="0" fontId="238" fillId="59"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80" borderId="566" applyNumberFormat="0" applyAlignment="0" applyProtection="0"/>
    <xf numFmtId="0" fontId="213" fillId="65" borderId="566" applyNumberFormat="0" applyAlignment="0" applyProtection="0"/>
    <xf numFmtId="0" fontId="213" fillId="80" borderId="566" applyNumberFormat="0" applyAlignment="0" applyProtection="0"/>
    <xf numFmtId="0" fontId="203" fillId="81" borderId="594" applyNumberFormat="0" applyFont="0" applyAlignment="0" applyProtection="0"/>
    <xf numFmtId="182" fontId="225" fillId="0" borderId="592" applyFill="0" applyProtection="0"/>
    <xf numFmtId="182" fontId="225" fillId="0" borderId="592" applyFill="0" applyProtection="0"/>
    <xf numFmtId="0" fontId="8" fillId="81" borderId="567" applyNumberFormat="0" applyFont="0" applyAlignment="0" applyProtection="0"/>
    <xf numFmtId="0" fontId="176"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176" fillId="81" borderId="567" applyNumberFormat="0" applyFont="0" applyAlignment="0" applyProtection="0"/>
    <xf numFmtId="0" fontId="216" fillId="59" borderId="568" applyNumberFormat="0" applyAlignment="0" applyProtection="0"/>
    <xf numFmtId="0" fontId="174" fillId="0" borderId="569" applyNumberFormat="0" applyFill="0" applyAlignment="0" applyProtection="0"/>
    <xf numFmtId="0" fontId="216" fillId="78" borderId="568" applyNumberFormat="0" applyAlignment="0" applyProtection="0"/>
    <xf numFmtId="0" fontId="174" fillId="0" borderId="571" applyNumberFormat="0" applyFill="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153" fillId="0" borderId="591">
      <alignment horizontal="left" vertical="center"/>
    </xf>
    <xf numFmtId="0" fontId="203" fillId="81" borderId="567" applyNumberFormat="0" applyFont="0" applyAlignment="0" applyProtection="0"/>
    <xf numFmtId="0" fontId="206" fillId="78" borderId="566" applyNumberFormat="0" applyAlignment="0" applyProtection="0"/>
    <xf numFmtId="0" fontId="176" fillId="81" borderId="567" applyNumberFormat="0" applyFont="0" applyAlignment="0" applyProtection="0"/>
    <xf numFmtId="0" fontId="238" fillId="59" borderId="566" applyNumberFormat="0" applyAlignment="0" applyProtection="0"/>
    <xf numFmtId="0" fontId="213" fillId="80" borderId="566" applyNumberFormat="0" applyAlignment="0" applyProtection="0"/>
    <xf numFmtId="0" fontId="8" fillId="81" borderId="567" applyNumberFormat="0" applyFont="0" applyAlignment="0" applyProtection="0"/>
    <xf numFmtId="0" fontId="216" fillId="59" borderId="568" applyNumberFormat="0" applyAlignment="0" applyProtection="0"/>
    <xf numFmtId="0" fontId="213" fillId="80" borderId="566" applyNumberFormat="0" applyAlignment="0" applyProtection="0"/>
    <xf numFmtId="0" fontId="176" fillId="81" borderId="567" applyNumberFormat="0" applyFont="0" applyAlignment="0" applyProtection="0"/>
    <xf numFmtId="182" fontId="225" fillId="0" borderId="592" applyFill="0" applyProtection="0"/>
    <xf numFmtId="0" fontId="203" fillId="81" borderId="594" applyNumberFormat="0" applyFont="0" applyAlignment="0" applyProtection="0"/>
    <xf numFmtId="200" fontId="225" fillId="0" borderId="592" applyFill="0" applyProtection="0"/>
    <xf numFmtId="182" fontId="225" fillId="0" borderId="592" applyFill="0" applyProtection="0"/>
    <xf numFmtId="0" fontId="213" fillId="65" borderId="593"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80" borderId="575" applyNumberFormat="0" applyAlignment="0" applyProtection="0"/>
    <xf numFmtId="0" fontId="213" fillId="65" borderId="575" applyNumberFormat="0" applyAlignment="0" applyProtection="0"/>
    <xf numFmtId="0" fontId="213" fillId="80" borderId="575" applyNumberFormat="0" applyAlignment="0" applyProtection="0"/>
    <xf numFmtId="0" fontId="8" fillId="81" borderId="576" applyNumberFormat="0" applyFont="0" applyAlignment="0" applyProtection="0"/>
    <xf numFmtId="0" fontId="176"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176" fillId="81" borderId="576" applyNumberFormat="0" applyFont="0" applyAlignment="0" applyProtection="0"/>
    <xf numFmtId="0" fontId="216" fillId="59" borderId="577" applyNumberFormat="0" applyAlignment="0" applyProtection="0"/>
    <xf numFmtId="0" fontId="174" fillId="0" borderId="578" applyNumberFormat="0" applyFill="0" applyAlignment="0" applyProtection="0"/>
    <xf numFmtId="0" fontId="206" fillId="78" borderId="575" applyNumberFormat="0" applyAlignment="0" applyProtection="0"/>
    <xf numFmtId="0" fontId="206" fillId="78" borderId="575" applyNumberFormat="0" applyAlignment="0" applyProtection="0"/>
    <xf numFmtId="182" fontId="225" fillId="0" borderId="574" applyFill="0" applyProtection="0"/>
    <xf numFmtId="182" fontId="225" fillId="0" borderId="574" applyFill="0" applyProtection="0"/>
    <xf numFmtId="182" fontId="225" fillId="0" borderId="574" applyFill="0" applyProtection="0"/>
    <xf numFmtId="200" fontId="225" fillId="0" borderId="574" applyFill="0" applyProtection="0"/>
    <xf numFmtId="200" fontId="225" fillId="0" borderId="574" applyFill="0" applyProtection="0"/>
    <xf numFmtId="200" fontId="225" fillId="0" borderId="574" applyFill="0" applyProtection="0"/>
    <xf numFmtId="0" fontId="153" fillId="0" borderId="573">
      <alignment horizontal="left" vertical="center"/>
    </xf>
    <xf numFmtId="0" fontId="229" fillId="83" borderId="579" applyAlignment="0">
      <alignment horizontal="center"/>
    </xf>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29" fillId="83" borderId="579" applyAlignment="0">
      <alignment horizontal="center"/>
    </xf>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16" fillId="78" borderId="568" applyNumberFormat="0" applyAlignment="0" applyProtection="0"/>
    <xf numFmtId="0" fontId="174" fillId="0" borderId="571" applyNumberFormat="0" applyFill="0" applyAlignment="0" applyProtection="0"/>
    <xf numFmtId="0" fontId="229" fillId="83" borderId="579" applyAlignment="0">
      <alignment horizontal="center"/>
    </xf>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13" fillId="65" borderId="566" applyNumberForma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6" fillId="78" borderId="566" applyNumberFormat="0" applyAlignment="0" applyProtection="0"/>
    <xf numFmtId="0" fontId="176" fillId="81" borderId="567" applyNumberFormat="0" applyFont="0" applyAlignment="0" applyProtection="0"/>
    <xf numFmtId="0" fontId="238" fillId="59" borderId="566" applyNumberFormat="0" applyAlignment="0" applyProtection="0"/>
    <xf numFmtId="0" fontId="213" fillId="80" borderId="566" applyNumberFormat="0" applyAlignment="0" applyProtection="0"/>
    <xf numFmtId="0" fontId="8" fillId="81" borderId="567" applyNumberFormat="0" applyFont="0" applyAlignment="0" applyProtection="0"/>
    <xf numFmtId="0" fontId="216" fillId="59" borderId="568" applyNumberFormat="0" applyAlignment="0" applyProtection="0"/>
    <xf numFmtId="0" fontId="174" fillId="0" borderId="569" applyNumberFormat="0" applyFill="0" applyAlignment="0" applyProtection="0"/>
    <xf numFmtId="0" fontId="213" fillId="80" borderId="566" applyNumberFormat="0" applyAlignment="0" applyProtection="0"/>
    <xf numFmtId="0" fontId="229" fillId="83" borderId="579" applyAlignment="0">
      <alignment horizontal="center"/>
    </xf>
    <xf numFmtId="0" fontId="176" fillId="81" borderId="567" applyNumberFormat="0" applyFont="0" applyAlignment="0" applyProtection="0"/>
    <xf numFmtId="0" fontId="213" fillId="65" borderId="575" applyNumberFormat="0" applyAlignment="0" applyProtection="0"/>
    <xf numFmtId="0" fontId="216" fillId="78" borderId="577" applyNumberFormat="0" applyAlignment="0" applyProtection="0"/>
    <xf numFmtId="0" fontId="174" fillId="0" borderId="580" applyNumberFormat="0" applyFill="0" applyAlignment="0" applyProtection="0"/>
    <xf numFmtId="0" fontId="216" fillId="78" borderId="577" applyNumberFormat="0" applyAlignment="0" applyProtection="0"/>
    <xf numFmtId="0" fontId="174" fillId="0" borderId="580" applyNumberFormat="0" applyFill="0" applyAlignment="0" applyProtection="0"/>
    <xf numFmtId="182" fontId="225" fillId="0" borderId="574" applyFill="0" applyProtection="0"/>
    <xf numFmtId="200" fontId="225" fillId="0" borderId="574" applyFill="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03" fillId="81" borderId="576" applyNumberFormat="0" applyFont="0" applyAlignment="0" applyProtection="0"/>
    <xf numFmtId="0" fontId="213" fillId="65" borderId="575" applyNumberFormat="0" applyAlignment="0" applyProtection="0"/>
    <xf numFmtId="0" fontId="203" fillId="81" borderId="576" applyNumberFormat="0" applyFont="0" applyAlignment="0" applyProtection="0"/>
    <xf numFmtId="0" fontId="216" fillId="78" borderId="577" applyNumberFormat="0" applyAlignment="0" applyProtection="0"/>
    <xf numFmtId="0" fontId="174" fillId="0" borderId="580" applyNumberFormat="0" applyFill="0" applyAlignment="0" applyProtection="0"/>
    <xf numFmtId="0" fontId="249" fillId="59" borderId="575" applyNumberFormat="0" applyAlignment="0" applyProtection="0"/>
    <xf numFmtId="0" fontId="254" fillId="80" borderId="575" applyNumberFormat="0" applyAlignment="0" applyProtection="0"/>
    <xf numFmtId="0" fontId="257" fillId="59" borderId="577" applyNumberFormat="0" applyAlignment="0" applyProtection="0"/>
    <xf numFmtId="0" fontId="244" fillId="0" borderId="574" applyNumberFormat="0" applyFont="0" applyFill="0" applyAlignment="0" applyProtection="0"/>
    <xf numFmtId="0" fontId="178" fillId="0" borderId="581" applyProtection="0"/>
    <xf numFmtId="0" fontId="176" fillId="81" borderId="576" applyNumberFormat="0" applyFont="0" applyAlignment="0" applyProtection="0"/>
    <xf numFmtId="0" fontId="8" fillId="81" borderId="576" applyNumberFormat="0" applyFont="0" applyAlignment="0" applyProtection="0"/>
    <xf numFmtId="182" fontId="225" fillId="0" borderId="574" applyFill="0" applyProtection="0"/>
    <xf numFmtId="200" fontId="225" fillId="0" borderId="574" applyFill="0" applyProtection="0"/>
    <xf numFmtId="0" fontId="213" fillId="65" borderId="575" applyNumberFormat="0" applyAlignment="0" applyProtection="0"/>
    <xf numFmtId="0" fontId="203" fillId="81" borderId="576" applyNumberFormat="0" applyFont="0" applyAlignment="0" applyProtection="0"/>
    <xf numFmtId="0" fontId="203" fillId="81" borderId="576" applyNumberFormat="0" applyFont="0" applyAlignment="0" applyProtection="0"/>
    <xf numFmtId="182" fontId="225" fillId="0" borderId="574" applyFill="0" applyProtection="0"/>
    <xf numFmtId="200" fontId="225" fillId="0" borderId="574" applyFill="0" applyProtection="0"/>
    <xf numFmtId="0" fontId="153" fillId="0" borderId="573">
      <alignment horizontal="left" vertical="center"/>
    </xf>
    <xf numFmtId="0" fontId="203" fillId="81" borderId="576" applyNumberFormat="0" applyFont="0" applyAlignment="0" applyProtection="0"/>
    <xf numFmtId="0" fontId="153" fillId="0" borderId="573">
      <alignment horizontal="left" vertical="center"/>
    </xf>
    <xf numFmtId="0" fontId="213" fillId="80" borderId="575" applyNumberFormat="0" applyAlignment="0" applyProtection="0"/>
    <xf numFmtId="0" fontId="8" fillId="81" borderId="576" applyNumberFormat="0" applyFont="0" applyAlignment="0" applyProtection="0"/>
    <xf numFmtId="182" fontId="225" fillId="0" borderId="574" applyFill="0" applyProtection="0"/>
    <xf numFmtId="200" fontId="225" fillId="0" borderId="574" applyFill="0" applyProtection="0"/>
    <xf numFmtId="182" fontId="225" fillId="0" borderId="574" applyFill="0" applyProtection="0"/>
    <xf numFmtId="200" fontId="225" fillId="0" borderId="574" applyFill="0" applyProtection="0"/>
    <xf numFmtId="0" fontId="153" fillId="0" borderId="573">
      <alignment horizontal="left" vertical="center"/>
    </xf>
    <xf numFmtId="0" fontId="203" fillId="81" borderId="567" applyNumberFormat="0" applyFont="0" applyAlignment="0" applyProtection="0"/>
    <xf numFmtId="182" fontId="225" fillId="0" borderId="574" applyFill="0" applyProtection="0"/>
    <xf numFmtId="200" fontId="225" fillId="0" borderId="574" applyFill="0" applyProtection="0"/>
    <xf numFmtId="0" fontId="176" fillId="81" borderId="576" applyNumberFormat="0" applyFont="0" applyAlignment="0" applyProtection="0"/>
    <xf numFmtId="0" fontId="203" fillId="81" borderId="576"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03" fillId="81" borderId="567" applyNumberFormat="0" applyFont="0" applyAlignment="0" applyProtection="0"/>
    <xf numFmtId="0" fontId="213" fillId="65" borderId="575" applyNumberFormat="0" applyAlignment="0" applyProtection="0"/>
    <xf numFmtId="0" fontId="238" fillId="59" borderId="584" applyNumberFormat="0" applyAlignment="0" applyProtection="0"/>
    <xf numFmtId="0" fontId="213" fillId="65" borderId="575" applyNumberFormat="0" applyAlignment="0" applyProtection="0"/>
    <xf numFmtId="182" fontId="225" fillId="0" borderId="592" applyFill="0" applyProtection="0"/>
    <xf numFmtId="200" fontId="225" fillId="0" borderId="592" applyFill="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0" fontId="213" fillId="65" borderId="575" applyNumberFormat="0" applyAlignment="0" applyProtection="0"/>
    <xf numFmtId="200" fontId="225" fillId="0" borderId="592" applyFill="0" applyProtection="0"/>
    <xf numFmtId="0" fontId="206" fillId="78" borderId="575" applyNumberFormat="0" applyAlignment="0" applyProtection="0"/>
    <xf numFmtId="0" fontId="238" fillId="59" borderId="575" applyNumberFormat="0" applyAlignment="0" applyProtection="0"/>
    <xf numFmtId="0" fontId="213" fillId="80" borderId="575" applyNumberFormat="0" applyAlignment="0" applyProtection="0"/>
    <xf numFmtId="0" fontId="213" fillId="80" borderId="575" applyNumberFormat="0" applyAlignment="0" applyProtection="0"/>
    <xf numFmtId="0" fontId="174" fillId="0" borderId="596" applyNumberFormat="0" applyFill="0" applyAlignment="0" applyProtection="0"/>
    <xf numFmtId="0" fontId="176" fillId="81" borderId="594" applyNumberFormat="0" applyFont="0" applyAlignment="0" applyProtection="0"/>
    <xf numFmtId="0" fontId="213" fillId="65" borderId="593" applyNumberFormat="0" applyAlignment="0" applyProtection="0"/>
    <xf numFmtId="0" fontId="213" fillId="65" borderId="584" applyNumberFormat="0" applyAlignment="0" applyProtection="0"/>
    <xf numFmtId="0" fontId="206" fillId="78" borderId="593"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80" borderId="584" applyNumberFormat="0" applyAlignment="0" applyProtection="0"/>
    <xf numFmtId="0" fontId="8"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216" fillId="59" borderId="586" applyNumberFormat="0" applyAlignment="0" applyProtection="0"/>
    <xf numFmtId="0" fontId="174" fillId="0" borderId="587" applyNumberFormat="0" applyFill="0" applyAlignment="0" applyProtection="0"/>
    <xf numFmtId="0" fontId="206" fillId="78" borderId="584" applyNumberFormat="0" applyAlignment="0" applyProtection="0"/>
    <xf numFmtId="0" fontId="206" fillId="78" borderId="584" applyNumberFormat="0" applyAlignment="0" applyProtection="0"/>
    <xf numFmtId="182" fontId="225" fillId="0" borderId="583" applyFill="0" applyProtection="0"/>
    <xf numFmtId="182" fontId="225" fillId="0" borderId="583" applyFill="0" applyProtection="0"/>
    <xf numFmtId="182" fontId="225" fillId="0" borderId="583" applyFill="0" applyProtection="0"/>
    <xf numFmtId="200" fontId="225" fillId="0" borderId="583" applyFill="0" applyProtection="0"/>
    <xf numFmtId="200" fontId="225" fillId="0" borderId="583" applyFill="0" applyProtection="0"/>
    <xf numFmtId="200" fontId="225" fillId="0" borderId="583" applyFill="0" applyProtection="0"/>
    <xf numFmtId="0" fontId="153" fillId="0" borderId="582">
      <alignment horizontal="left" vertical="center"/>
    </xf>
    <xf numFmtId="0" fontId="229" fillId="83" borderId="588" applyAlignment="0">
      <alignment horizontal="center"/>
    </xf>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29" fillId="83" borderId="588" applyAlignment="0">
      <alignment horizontal="center"/>
    </xf>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29" fillId="83" borderId="588" applyAlignment="0">
      <alignment horizontal="center"/>
    </xf>
    <xf numFmtId="0" fontId="229" fillId="83" borderId="588" applyAlignment="0">
      <alignment horizontal="center"/>
    </xf>
    <xf numFmtId="0" fontId="213" fillId="65" borderId="584" applyNumberFormat="0" applyAlignment="0" applyProtection="0"/>
    <xf numFmtId="0" fontId="216" fillId="78" borderId="586" applyNumberFormat="0" applyAlignment="0" applyProtection="0"/>
    <xf numFmtId="0" fontId="174" fillId="0" borderId="589" applyNumberFormat="0" applyFill="0" applyAlignment="0" applyProtection="0"/>
    <xf numFmtId="0" fontId="216" fillId="78" borderId="586" applyNumberFormat="0" applyAlignment="0" applyProtection="0"/>
    <xf numFmtId="0" fontId="174" fillId="0" borderId="589" applyNumberFormat="0" applyFill="0" applyAlignment="0" applyProtection="0"/>
    <xf numFmtId="182" fontId="225" fillId="0" borderId="583" applyFill="0" applyProtection="0"/>
    <xf numFmtId="200" fontId="225" fillId="0" borderId="583" applyFill="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213" fillId="65" borderId="584" applyNumberFormat="0" applyAlignment="0" applyProtection="0"/>
    <xf numFmtId="0" fontId="203" fillId="81" borderId="585" applyNumberFormat="0" applyFont="0" applyAlignment="0" applyProtection="0"/>
    <xf numFmtId="0" fontId="216" fillId="78" borderId="586" applyNumberFormat="0" applyAlignment="0" applyProtection="0"/>
    <xf numFmtId="0" fontId="174" fillId="0" borderId="589" applyNumberFormat="0" applyFill="0" applyAlignment="0" applyProtection="0"/>
    <xf numFmtId="0" fontId="249" fillId="59" borderId="584" applyNumberFormat="0" applyAlignment="0" applyProtection="0"/>
    <xf numFmtId="0" fontId="254" fillId="80" borderId="584" applyNumberFormat="0" applyAlignment="0" applyProtection="0"/>
    <xf numFmtId="0" fontId="257" fillId="59" borderId="586" applyNumberFormat="0" applyAlignment="0" applyProtection="0"/>
    <xf numFmtId="0" fontId="244" fillId="0" borderId="583" applyNumberFormat="0" applyFont="0" applyFill="0" applyAlignment="0" applyProtection="0"/>
    <xf numFmtId="0" fontId="178" fillId="0" borderId="590" applyProtection="0"/>
    <xf numFmtId="0" fontId="176" fillId="81" borderId="585" applyNumberFormat="0" applyFont="0" applyAlignment="0" applyProtection="0"/>
    <xf numFmtId="0" fontId="8" fillId="81" borderId="585" applyNumberFormat="0" applyFont="0" applyAlignment="0" applyProtection="0"/>
    <xf numFmtId="182" fontId="225" fillId="0" borderId="583" applyFill="0" applyProtection="0"/>
    <xf numFmtId="200" fontId="225" fillId="0" borderId="583" applyFill="0" applyProtection="0"/>
    <xf numFmtId="0" fontId="213" fillId="65" borderId="584" applyNumberFormat="0" applyAlignment="0" applyProtection="0"/>
    <xf numFmtId="0" fontId="203" fillId="81" borderId="585" applyNumberFormat="0" applyFont="0" applyAlignment="0" applyProtection="0"/>
    <xf numFmtId="0" fontId="203" fillId="81" borderId="585" applyNumberFormat="0" applyFont="0" applyAlignment="0" applyProtection="0"/>
    <xf numFmtId="182" fontId="225" fillId="0" borderId="583" applyFill="0" applyProtection="0"/>
    <xf numFmtId="200" fontId="225" fillId="0" borderId="583" applyFill="0" applyProtection="0"/>
    <xf numFmtId="0" fontId="153" fillId="0" borderId="582">
      <alignment horizontal="left" vertical="center"/>
    </xf>
    <xf numFmtId="0" fontId="203" fillId="81" borderId="585" applyNumberFormat="0" applyFont="0" applyAlignment="0" applyProtection="0"/>
    <xf numFmtId="0" fontId="153" fillId="0" borderId="582">
      <alignment horizontal="left" vertical="center"/>
    </xf>
    <xf numFmtId="0" fontId="213" fillId="80" borderId="584" applyNumberFormat="0" applyAlignment="0" applyProtection="0"/>
    <xf numFmtId="0" fontId="8" fillId="81" borderId="585" applyNumberFormat="0" applyFont="0" applyAlignment="0" applyProtection="0"/>
    <xf numFmtId="182" fontId="225" fillId="0" borderId="583" applyFill="0" applyProtection="0"/>
    <xf numFmtId="200" fontId="225" fillId="0" borderId="583" applyFill="0" applyProtection="0"/>
    <xf numFmtId="182" fontId="225" fillId="0" borderId="583" applyFill="0" applyProtection="0"/>
    <xf numFmtId="200" fontId="225" fillId="0" borderId="583" applyFill="0" applyProtection="0"/>
    <xf numFmtId="0" fontId="153" fillId="0" borderId="582">
      <alignment horizontal="left" vertical="center"/>
    </xf>
    <xf numFmtId="182" fontId="225" fillId="0" borderId="583" applyFill="0" applyProtection="0"/>
    <xf numFmtId="200" fontId="225" fillId="0" borderId="583" applyFill="0" applyProtection="0"/>
    <xf numFmtId="0" fontId="176" fillId="81" borderId="585" applyNumberFormat="0" applyFont="0" applyAlignment="0" applyProtection="0"/>
    <xf numFmtId="0" fontId="203" fillId="81" borderId="585" applyNumberFormat="0" applyFont="0" applyAlignment="0" applyProtection="0"/>
    <xf numFmtId="0" fontId="213" fillId="65" borderId="584" applyNumberFormat="0" applyAlignment="0" applyProtection="0"/>
    <xf numFmtId="0" fontId="229" fillId="83" borderId="553" applyAlignment="0">
      <alignment horizontal="center"/>
    </xf>
    <xf numFmtId="0" fontId="203" fillId="81" borderId="567" applyNumberFormat="0" applyFont="0" applyAlignment="0" applyProtection="0"/>
    <xf numFmtId="0" fontId="176" fillId="81" borderId="639" applyNumberFormat="0" applyFont="0" applyAlignment="0" applyProtection="0"/>
    <xf numFmtId="0" fontId="238" fillId="59" borderId="620" applyNumberFormat="0" applyAlignment="0" applyProtection="0"/>
    <xf numFmtId="0" fontId="229" fillId="83" borderId="615" applyAlignment="0">
      <alignment horizontal="center"/>
    </xf>
    <xf numFmtId="0" fontId="213" fillId="65" borderId="611" applyNumberFormat="0" applyAlignment="0" applyProtection="0"/>
    <xf numFmtId="0" fontId="238" fillId="59"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80" borderId="611" applyNumberFormat="0" applyAlignment="0" applyProtection="0"/>
    <xf numFmtId="0" fontId="213" fillId="65" borderId="611" applyNumberFormat="0" applyAlignment="0" applyProtection="0"/>
    <xf numFmtId="0" fontId="213" fillId="80" borderId="611" applyNumberFormat="0" applyAlignment="0" applyProtection="0"/>
    <xf numFmtId="0" fontId="203" fillId="81" borderId="639" applyNumberFormat="0" applyFont="0" applyAlignment="0" applyProtection="0"/>
    <xf numFmtId="182" fontId="225" fillId="0" borderId="637" applyFill="0" applyProtection="0"/>
    <xf numFmtId="0" fontId="8" fillId="81" borderId="612" applyNumberFormat="0" applyFont="0" applyAlignment="0" applyProtection="0"/>
    <xf numFmtId="0" fontId="176"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176" fillId="81" borderId="612" applyNumberFormat="0" applyFont="0" applyAlignment="0" applyProtection="0"/>
    <xf numFmtId="0" fontId="216" fillId="59" borderId="613" applyNumberFormat="0" applyAlignment="0" applyProtection="0"/>
    <xf numFmtId="0" fontId="174" fillId="0" borderId="614" applyNumberFormat="0" applyFill="0" applyAlignment="0" applyProtection="0"/>
    <xf numFmtId="0" fontId="216" fillId="78" borderId="613" applyNumberFormat="0" applyAlignment="0" applyProtection="0"/>
    <xf numFmtId="0" fontId="174" fillId="0" borderId="616" applyNumberFormat="0" applyFill="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153" fillId="0" borderId="636">
      <alignment horizontal="left" vertical="center"/>
    </xf>
    <xf numFmtId="0" fontId="203" fillId="81" borderId="612" applyNumberFormat="0" applyFont="0" applyAlignment="0" applyProtection="0"/>
    <xf numFmtId="0" fontId="206" fillId="78" borderId="611" applyNumberFormat="0" applyAlignment="0" applyProtection="0"/>
    <xf numFmtId="0" fontId="176" fillId="81" borderId="612" applyNumberFormat="0" applyFont="0" applyAlignment="0" applyProtection="0"/>
    <xf numFmtId="0" fontId="238" fillId="59" borderId="611" applyNumberFormat="0" applyAlignment="0" applyProtection="0"/>
    <xf numFmtId="0" fontId="213" fillId="80" borderId="611" applyNumberFormat="0" applyAlignment="0" applyProtection="0"/>
    <xf numFmtId="0" fontId="8" fillId="81" borderId="612" applyNumberFormat="0" applyFont="0" applyAlignment="0" applyProtection="0"/>
    <xf numFmtId="0" fontId="216" fillId="59" borderId="613" applyNumberFormat="0" applyAlignment="0" applyProtection="0"/>
    <xf numFmtId="0" fontId="213" fillId="80" borderId="611" applyNumberFormat="0" applyAlignment="0" applyProtection="0"/>
    <xf numFmtId="0" fontId="176" fillId="81" borderId="612" applyNumberFormat="0" applyFont="0" applyAlignment="0" applyProtection="0"/>
    <xf numFmtId="182" fontId="225" fillId="0" borderId="637" applyFill="0" applyProtection="0"/>
    <xf numFmtId="0" fontId="203" fillId="81" borderId="639" applyNumberFormat="0" applyFont="0" applyAlignment="0" applyProtection="0"/>
    <xf numFmtId="200" fontId="225" fillId="0" borderId="637" applyFill="0" applyProtection="0"/>
    <xf numFmtId="182" fontId="225" fillId="0" borderId="637" applyFill="0" applyProtection="0"/>
    <xf numFmtId="0" fontId="213" fillId="65" borderId="638"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80" borderId="620" applyNumberFormat="0" applyAlignment="0" applyProtection="0"/>
    <xf numFmtId="0" fontId="213" fillId="65" borderId="620" applyNumberFormat="0" applyAlignment="0" applyProtection="0"/>
    <xf numFmtId="0" fontId="213" fillId="80" borderId="620" applyNumberFormat="0" applyAlignment="0" applyProtection="0"/>
    <xf numFmtId="0" fontId="8" fillId="81" borderId="621" applyNumberFormat="0" applyFont="0" applyAlignment="0" applyProtection="0"/>
    <xf numFmtId="0" fontId="176"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176" fillId="81" borderId="621" applyNumberFormat="0" applyFont="0" applyAlignment="0" applyProtection="0"/>
    <xf numFmtId="0" fontId="216" fillId="59" borderId="622" applyNumberFormat="0" applyAlignment="0" applyProtection="0"/>
    <xf numFmtId="0" fontId="174" fillId="0" borderId="623" applyNumberFormat="0" applyFill="0" applyAlignment="0" applyProtection="0"/>
    <xf numFmtId="0" fontId="206" fillId="78" borderId="620" applyNumberFormat="0" applyAlignment="0" applyProtection="0"/>
    <xf numFmtId="0" fontId="206" fillId="78" borderId="620" applyNumberFormat="0" applyAlignment="0" applyProtection="0"/>
    <xf numFmtId="182" fontId="225" fillId="0" borderId="619" applyFill="0" applyProtection="0"/>
    <xf numFmtId="182" fontId="225" fillId="0" borderId="619" applyFill="0" applyProtection="0"/>
    <xf numFmtId="182" fontId="225" fillId="0" borderId="619" applyFill="0" applyProtection="0"/>
    <xf numFmtId="200" fontId="225" fillId="0" borderId="619" applyFill="0" applyProtection="0"/>
    <xf numFmtId="200" fontId="225" fillId="0" borderId="619" applyFill="0" applyProtection="0"/>
    <xf numFmtId="200" fontId="225" fillId="0" borderId="619" applyFill="0" applyProtection="0"/>
    <xf numFmtId="0" fontId="153" fillId="0" borderId="618">
      <alignment horizontal="left" vertical="center"/>
    </xf>
    <xf numFmtId="0" fontId="229" fillId="83" borderId="624" applyAlignment="0">
      <alignment horizontal="center"/>
    </xf>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29" fillId="83" borderId="624" applyAlignment="0">
      <alignment horizontal="center"/>
    </xf>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16" fillId="78" borderId="613" applyNumberFormat="0" applyAlignment="0" applyProtection="0"/>
    <xf numFmtId="0" fontId="174" fillId="0" borderId="616" applyNumberFormat="0" applyFill="0" applyAlignment="0" applyProtection="0"/>
    <xf numFmtId="0" fontId="229" fillId="83" borderId="624" applyAlignment="0">
      <alignment horizontal="center"/>
    </xf>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13" fillId="65" borderId="611" applyNumberForma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6" fillId="78" borderId="611" applyNumberFormat="0" applyAlignment="0" applyProtection="0"/>
    <xf numFmtId="0" fontId="176" fillId="81" borderId="612" applyNumberFormat="0" applyFont="0" applyAlignment="0" applyProtection="0"/>
    <xf numFmtId="0" fontId="238" fillId="59" borderId="611" applyNumberFormat="0" applyAlignment="0" applyProtection="0"/>
    <xf numFmtId="0" fontId="213" fillId="80" borderId="611" applyNumberFormat="0" applyAlignment="0" applyProtection="0"/>
    <xf numFmtId="0" fontId="8" fillId="81" borderId="612" applyNumberFormat="0" applyFont="0" applyAlignment="0" applyProtection="0"/>
    <xf numFmtId="0" fontId="216" fillId="59" borderId="613" applyNumberFormat="0" applyAlignment="0" applyProtection="0"/>
    <xf numFmtId="0" fontId="174" fillId="0" borderId="614" applyNumberFormat="0" applyFill="0" applyAlignment="0" applyProtection="0"/>
    <xf numFmtId="0" fontId="213" fillId="80" borderId="611" applyNumberFormat="0" applyAlignment="0" applyProtection="0"/>
    <xf numFmtId="0" fontId="229" fillId="83" borderId="624" applyAlignment="0">
      <alignment horizontal="center"/>
    </xf>
    <xf numFmtId="0" fontId="176" fillId="81" borderId="612" applyNumberFormat="0" applyFont="0" applyAlignment="0" applyProtection="0"/>
    <xf numFmtId="0" fontId="213" fillId="65" borderId="620" applyNumberFormat="0" applyAlignment="0" applyProtection="0"/>
    <xf numFmtId="0" fontId="216" fillId="78" borderId="622" applyNumberFormat="0" applyAlignment="0" applyProtection="0"/>
    <xf numFmtId="0" fontId="174" fillId="0" borderId="625" applyNumberFormat="0" applyFill="0" applyAlignment="0" applyProtection="0"/>
    <xf numFmtId="0" fontId="216" fillId="78" borderId="622" applyNumberFormat="0" applyAlignment="0" applyProtection="0"/>
    <xf numFmtId="0" fontId="174" fillId="0" borderId="625" applyNumberFormat="0" applyFill="0" applyAlignment="0" applyProtection="0"/>
    <xf numFmtId="182" fontId="225" fillId="0" borderId="619" applyFill="0" applyProtection="0"/>
    <xf numFmtId="200" fontId="225" fillId="0" borderId="619" applyFill="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03" fillId="81" borderId="621" applyNumberFormat="0" applyFont="0" applyAlignment="0" applyProtection="0"/>
    <xf numFmtId="0" fontId="213" fillId="65" borderId="620" applyNumberFormat="0" applyAlignment="0" applyProtection="0"/>
    <xf numFmtId="0" fontId="203" fillId="81" borderId="621" applyNumberFormat="0" applyFont="0" applyAlignment="0" applyProtection="0"/>
    <xf numFmtId="0" fontId="216" fillId="78" borderId="622" applyNumberFormat="0" applyAlignment="0" applyProtection="0"/>
    <xf numFmtId="0" fontId="174" fillId="0" borderId="625" applyNumberFormat="0" applyFill="0" applyAlignment="0" applyProtection="0"/>
    <xf numFmtId="0" fontId="249" fillId="59" borderId="620" applyNumberFormat="0" applyAlignment="0" applyProtection="0"/>
    <xf numFmtId="0" fontId="254" fillId="80" borderId="620" applyNumberFormat="0" applyAlignment="0" applyProtection="0"/>
    <xf numFmtId="0" fontId="257" fillId="59" borderId="622" applyNumberFormat="0" applyAlignment="0" applyProtection="0"/>
    <xf numFmtId="0" fontId="244" fillId="0" borderId="619" applyNumberFormat="0" applyFont="0" applyFill="0" applyAlignment="0" applyProtection="0"/>
    <xf numFmtId="0" fontId="178" fillId="0" borderId="626" applyProtection="0"/>
    <xf numFmtId="0" fontId="176" fillId="81" borderId="621" applyNumberFormat="0" applyFont="0" applyAlignment="0" applyProtection="0"/>
    <xf numFmtId="0" fontId="8" fillId="81" borderId="621" applyNumberFormat="0" applyFont="0" applyAlignment="0" applyProtection="0"/>
    <xf numFmtId="182" fontId="225" fillId="0" borderId="619" applyFill="0" applyProtection="0"/>
    <xf numFmtId="200" fontId="225" fillId="0" borderId="619" applyFill="0" applyProtection="0"/>
    <xf numFmtId="0" fontId="213" fillId="65" borderId="620" applyNumberFormat="0" applyAlignment="0" applyProtection="0"/>
    <xf numFmtId="0" fontId="203" fillId="81" borderId="621" applyNumberFormat="0" applyFont="0" applyAlignment="0" applyProtection="0"/>
    <xf numFmtId="0" fontId="203" fillId="81" borderId="621" applyNumberFormat="0" applyFont="0" applyAlignment="0" applyProtection="0"/>
    <xf numFmtId="182" fontId="225" fillId="0" borderId="619" applyFill="0" applyProtection="0"/>
    <xf numFmtId="200" fontId="225" fillId="0" borderId="619" applyFill="0" applyProtection="0"/>
    <xf numFmtId="0" fontId="153" fillId="0" borderId="618">
      <alignment horizontal="left" vertical="center"/>
    </xf>
    <xf numFmtId="0" fontId="203" fillId="81" borderId="621" applyNumberFormat="0" applyFont="0" applyAlignment="0" applyProtection="0"/>
    <xf numFmtId="0" fontId="153" fillId="0" borderId="618">
      <alignment horizontal="left" vertical="center"/>
    </xf>
    <xf numFmtId="0" fontId="213" fillId="80" borderId="620" applyNumberFormat="0" applyAlignment="0" applyProtection="0"/>
    <xf numFmtId="0" fontId="8" fillId="81" borderId="621" applyNumberFormat="0" applyFont="0" applyAlignment="0" applyProtection="0"/>
    <xf numFmtId="182" fontId="225" fillId="0" borderId="619" applyFill="0" applyProtection="0"/>
    <xf numFmtId="200" fontId="225" fillId="0" borderId="619" applyFill="0" applyProtection="0"/>
    <xf numFmtId="182" fontId="225" fillId="0" borderId="619" applyFill="0" applyProtection="0"/>
    <xf numFmtId="200" fontId="225" fillId="0" borderId="619" applyFill="0" applyProtection="0"/>
    <xf numFmtId="0" fontId="153" fillId="0" borderId="618">
      <alignment horizontal="left" vertical="center"/>
    </xf>
    <xf numFmtId="0" fontId="203" fillId="81" borderId="612" applyNumberFormat="0" applyFont="0" applyAlignment="0" applyProtection="0"/>
    <xf numFmtId="182" fontId="225" fillId="0" borderId="619" applyFill="0" applyProtection="0"/>
    <xf numFmtId="200" fontId="225" fillId="0" borderId="619" applyFill="0" applyProtection="0"/>
    <xf numFmtId="0" fontId="176" fillId="81" borderId="621" applyNumberFormat="0" applyFont="0" applyAlignment="0" applyProtection="0"/>
    <xf numFmtId="0" fontId="203" fillId="81" borderId="621"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03" fillId="81" borderId="612" applyNumberFormat="0" applyFont="0" applyAlignment="0" applyProtection="0"/>
    <xf numFmtId="0" fontId="213" fillId="65" borderId="620" applyNumberFormat="0" applyAlignment="0" applyProtection="0"/>
    <xf numFmtId="0" fontId="238" fillId="59" borderId="629" applyNumberFormat="0" applyAlignment="0" applyProtection="0"/>
    <xf numFmtId="0" fontId="213" fillId="65" borderId="620" applyNumberFormat="0" applyAlignment="0" applyProtection="0"/>
    <xf numFmtId="182" fontId="225" fillId="0" borderId="637" applyFill="0" applyProtection="0"/>
    <xf numFmtId="200" fontId="225" fillId="0" borderId="637" applyFill="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0" fontId="213" fillId="65" borderId="620" applyNumberFormat="0" applyAlignment="0" applyProtection="0"/>
    <xf numFmtId="200" fontId="225" fillId="0" borderId="637" applyFill="0" applyProtection="0"/>
    <xf numFmtId="0" fontId="206" fillId="78" borderId="620" applyNumberFormat="0" applyAlignment="0" applyProtection="0"/>
    <xf numFmtId="0" fontId="238" fillId="59" borderId="620" applyNumberFormat="0" applyAlignment="0" applyProtection="0"/>
    <xf numFmtId="0" fontId="213" fillId="80" borderId="620" applyNumberFormat="0" applyAlignment="0" applyProtection="0"/>
    <xf numFmtId="0" fontId="213" fillId="80" borderId="620" applyNumberFormat="0" applyAlignment="0" applyProtection="0"/>
    <xf numFmtId="0" fontId="174" fillId="0" borderId="641" applyNumberFormat="0" applyFill="0" applyAlignment="0" applyProtection="0"/>
    <xf numFmtId="0" fontId="176" fillId="81" borderId="639" applyNumberFormat="0" applyFont="0" applyAlignment="0" applyProtection="0"/>
    <xf numFmtId="0" fontId="213" fillId="65" borderId="629" applyNumberFormat="0" applyAlignment="0" applyProtection="0"/>
    <xf numFmtId="0" fontId="206" fillId="78" borderId="638"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80" borderId="629" applyNumberFormat="0" applyAlignment="0" applyProtection="0"/>
    <xf numFmtId="0" fontId="8"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216" fillId="59" borderId="631" applyNumberFormat="0" applyAlignment="0" applyProtection="0"/>
    <xf numFmtId="0" fontId="174" fillId="0" borderId="632" applyNumberFormat="0" applyFill="0" applyAlignment="0" applyProtection="0"/>
    <xf numFmtId="0" fontId="206" fillId="78" borderId="629" applyNumberFormat="0" applyAlignment="0" applyProtection="0"/>
    <xf numFmtId="0" fontId="206" fillId="78" borderId="629" applyNumberFormat="0" applyAlignment="0" applyProtection="0"/>
    <xf numFmtId="182" fontId="225" fillId="0" borderId="628" applyFill="0" applyProtection="0"/>
    <xf numFmtId="182" fontId="225" fillId="0" borderId="628" applyFill="0" applyProtection="0"/>
    <xf numFmtId="182"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0" fontId="153" fillId="0" borderId="627">
      <alignment horizontal="left" vertical="center"/>
    </xf>
    <xf numFmtId="0" fontId="229" fillId="83" borderId="633" applyAlignment="0">
      <alignment horizontal="center"/>
    </xf>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29" fillId="83" borderId="633" applyAlignment="0">
      <alignment horizontal="center"/>
    </xf>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29" fillId="83" borderId="633" applyAlignment="0">
      <alignment horizontal="center"/>
    </xf>
    <xf numFmtId="0" fontId="229" fillId="83" borderId="633" applyAlignment="0">
      <alignment horizontal="center"/>
    </xf>
    <xf numFmtId="0" fontId="213" fillId="65" borderId="629" applyNumberFormat="0" applyAlignment="0" applyProtection="0"/>
    <xf numFmtId="0" fontId="216" fillId="78" borderId="631" applyNumberFormat="0" applyAlignment="0" applyProtection="0"/>
    <xf numFmtId="0" fontId="174" fillId="0" borderId="634" applyNumberFormat="0" applyFill="0" applyAlignment="0" applyProtection="0"/>
    <xf numFmtId="0" fontId="216" fillId="78" borderId="631" applyNumberFormat="0" applyAlignment="0" applyProtection="0"/>
    <xf numFmtId="0" fontId="174" fillId="0" borderId="634" applyNumberFormat="0" applyFill="0" applyAlignment="0" applyProtection="0"/>
    <xf numFmtId="182" fontId="225" fillId="0" borderId="628" applyFill="0" applyProtection="0"/>
    <xf numFmtId="200" fontId="225" fillId="0" borderId="628" applyFill="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13" fillId="65" borderId="629" applyNumberFormat="0" applyAlignment="0" applyProtection="0"/>
    <xf numFmtId="0" fontId="203" fillId="81" borderId="630" applyNumberFormat="0" applyFont="0" applyAlignment="0" applyProtection="0"/>
    <xf numFmtId="0" fontId="216" fillId="78" borderId="631" applyNumberFormat="0" applyAlignment="0" applyProtection="0"/>
    <xf numFmtId="0" fontId="174" fillId="0" borderId="634" applyNumberFormat="0" applyFill="0" applyAlignment="0" applyProtection="0"/>
    <xf numFmtId="0" fontId="249" fillId="59" borderId="629" applyNumberFormat="0" applyAlignment="0" applyProtection="0"/>
    <xf numFmtId="0" fontId="254" fillId="80" borderId="629" applyNumberFormat="0" applyAlignment="0" applyProtection="0"/>
    <xf numFmtId="0" fontId="257" fillId="59" borderId="631" applyNumberFormat="0" applyAlignment="0" applyProtection="0"/>
    <xf numFmtId="0" fontId="244" fillId="0" borderId="628" applyNumberFormat="0" applyFont="0" applyFill="0" applyAlignment="0" applyProtection="0"/>
    <xf numFmtId="0" fontId="178" fillId="0" borderId="635" applyProtection="0"/>
    <xf numFmtId="0" fontId="176" fillId="81" borderId="630" applyNumberFormat="0" applyFont="0" applyAlignment="0" applyProtection="0"/>
    <xf numFmtId="0" fontId="8" fillId="81" borderId="630" applyNumberFormat="0" applyFont="0" applyAlignment="0" applyProtection="0"/>
    <xf numFmtId="182" fontId="225" fillId="0" borderId="628" applyFill="0" applyProtection="0"/>
    <xf numFmtId="200" fontId="225" fillId="0" borderId="628" applyFill="0" applyProtection="0"/>
    <xf numFmtId="0" fontId="213" fillId="65" borderId="629" applyNumberFormat="0" applyAlignment="0" applyProtection="0"/>
    <xf numFmtId="0" fontId="203" fillId="81" borderId="630" applyNumberFormat="0" applyFont="0" applyAlignment="0" applyProtection="0"/>
    <xf numFmtId="0" fontId="203" fillId="81" borderId="630" applyNumberFormat="0" applyFont="0" applyAlignment="0" applyProtection="0"/>
    <xf numFmtId="182" fontId="225" fillId="0" borderId="628" applyFill="0" applyProtection="0"/>
    <xf numFmtId="200" fontId="225" fillId="0" borderId="628" applyFill="0" applyProtection="0"/>
    <xf numFmtId="0" fontId="153" fillId="0" borderId="627">
      <alignment horizontal="left" vertical="center"/>
    </xf>
    <xf numFmtId="0" fontId="203" fillId="81" borderId="630" applyNumberFormat="0" applyFont="0" applyAlignment="0" applyProtection="0"/>
    <xf numFmtId="0" fontId="153" fillId="0" borderId="627">
      <alignment horizontal="left" vertical="center"/>
    </xf>
    <xf numFmtId="0" fontId="213" fillId="80" borderId="629" applyNumberFormat="0" applyAlignment="0" applyProtection="0"/>
    <xf numFmtId="0" fontId="8" fillId="81" borderId="630" applyNumberFormat="0" applyFont="0" applyAlignment="0" applyProtection="0"/>
    <xf numFmtId="182" fontId="225" fillId="0" borderId="628" applyFill="0" applyProtection="0"/>
    <xf numFmtId="200" fontId="225" fillId="0" borderId="628" applyFill="0" applyProtection="0"/>
    <xf numFmtId="182" fontId="225" fillId="0" borderId="628" applyFill="0" applyProtection="0"/>
    <xf numFmtId="200" fontId="225" fillId="0" borderId="628" applyFill="0" applyProtection="0"/>
    <xf numFmtId="0" fontId="153" fillId="0" borderId="627">
      <alignment horizontal="left" vertical="center"/>
    </xf>
    <xf numFmtId="182" fontId="225" fillId="0" borderId="628" applyFill="0" applyProtection="0"/>
    <xf numFmtId="200" fontId="225" fillId="0" borderId="628" applyFill="0" applyProtection="0"/>
    <xf numFmtId="0" fontId="176" fillId="81" borderId="630" applyNumberFormat="0" applyFont="0" applyAlignment="0" applyProtection="0"/>
    <xf numFmtId="0" fontId="203" fillId="81" borderId="630" applyNumberFormat="0" applyFont="0" applyAlignment="0" applyProtection="0"/>
    <xf numFmtId="0" fontId="213" fillId="65" borderId="629" applyNumberFormat="0" applyAlignment="0" applyProtection="0"/>
    <xf numFmtId="0" fontId="229" fillId="83" borderId="598" applyAlignment="0">
      <alignment horizontal="center"/>
    </xf>
    <xf numFmtId="0" fontId="203" fillId="81" borderId="612" applyNumberFormat="0" applyFont="0" applyAlignment="0" applyProtection="0"/>
    <xf numFmtId="0" fontId="229" fillId="83" borderId="642" applyAlignment="0">
      <alignment horizontal="center"/>
    </xf>
    <xf numFmtId="0" fontId="229" fillId="83" borderId="642" applyAlignment="0">
      <alignment horizontal="center"/>
    </xf>
    <xf numFmtId="0" fontId="178" fillId="0" borderId="643" applyProtection="0"/>
    <xf numFmtId="0" fontId="203" fillId="81" borderId="746" applyNumberFormat="0" applyFont="0" applyAlignment="0" applyProtection="0"/>
    <xf numFmtId="0" fontId="229" fillId="83" borderId="839" applyAlignment="0">
      <alignment horizontal="center"/>
    </xf>
    <xf numFmtId="0" fontId="213" fillId="65" borderId="952" applyNumberFormat="0" applyAlignment="0" applyProtection="0"/>
    <xf numFmtId="0" fontId="174" fillId="0" borderId="1038" applyNumberFormat="0" applyFill="0" applyAlignment="0" applyProtection="0"/>
    <xf numFmtId="0" fontId="203" fillId="81" borderId="773" applyNumberFormat="0" applyFont="0" applyAlignment="0" applyProtection="0"/>
    <xf numFmtId="0" fontId="213" fillId="80" borderId="952" applyNumberFormat="0" applyAlignment="0" applyProtection="0"/>
    <xf numFmtId="0" fontId="213" fillId="65" borderId="916" applyNumberFormat="0" applyAlignment="0" applyProtection="0"/>
    <xf numFmtId="0" fontId="213" fillId="80" borderId="1015" applyNumberFormat="0" applyAlignment="0" applyProtection="0"/>
    <xf numFmtId="0" fontId="229" fillId="83" borderId="1064" applyAlignment="0">
      <alignment horizontal="center"/>
    </xf>
    <xf numFmtId="0" fontId="153" fillId="0" borderId="1040">
      <alignment horizontal="left" vertical="center"/>
    </xf>
    <xf numFmtId="0" fontId="203" fillId="81" borderId="791" applyNumberFormat="0" applyFont="0" applyAlignment="0" applyProtection="0"/>
    <xf numFmtId="0" fontId="203" fillId="81" borderId="773" applyNumberFormat="0" applyFont="0" applyAlignment="0" applyProtection="0"/>
    <xf numFmtId="182" fontId="225" fillId="0" borderId="1059" applyFill="0" applyProtection="0"/>
    <xf numFmtId="0" fontId="213" fillId="65" borderId="817" applyNumberFormat="0" applyAlignment="0" applyProtection="0"/>
    <xf numFmtId="0" fontId="213" fillId="65" borderId="790" applyNumberFormat="0" applyAlignment="0" applyProtection="0"/>
    <xf numFmtId="182" fontId="225" fillId="0" borderId="1005" applyFill="0" applyProtection="0"/>
    <xf numFmtId="0" fontId="203" fillId="81" borderId="971" applyNumberFormat="0" applyFont="0" applyAlignment="0" applyProtection="0"/>
    <xf numFmtId="0" fontId="257" fillId="59" borderId="792" applyNumberFormat="0" applyAlignment="0" applyProtection="0"/>
    <xf numFmtId="0" fontId="203" fillId="81" borderId="827" applyNumberFormat="0" applyFont="0" applyAlignment="0" applyProtection="0"/>
    <xf numFmtId="0" fontId="213" fillId="65" borderId="961" applyNumberFormat="0" applyAlignment="0" applyProtection="0"/>
    <xf numFmtId="0" fontId="203" fillId="81" borderId="818" applyNumberFormat="0" applyFont="0" applyAlignment="0" applyProtection="0"/>
    <xf numFmtId="0" fontId="203" fillId="81" borderId="746" applyNumberFormat="0" applyFont="0" applyAlignment="0" applyProtection="0"/>
    <xf numFmtId="0" fontId="213" fillId="65" borderId="1051" applyNumberFormat="0" applyAlignment="0" applyProtection="0"/>
    <xf numFmtId="0" fontId="213" fillId="65" borderId="620" applyNumberFormat="0" applyAlignment="0" applyProtection="0"/>
    <xf numFmtId="0" fontId="229" fillId="83" borderId="1002" applyAlignment="0">
      <alignment horizontal="center"/>
    </xf>
    <xf numFmtId="0" fontId="213" fillId="65" borderId="1015" applyNumberFormat="0" applyAlignment="0" applyProtection="0"/>
    <xf numFmtId="0" fontId="213" fillId="65" borderId="1042" applyNumberFormat="0" applyAlignment="0" applyProtection="0"/>
    <xf numFmtId="0" fontId="203" fillId="81" borderId="773" applyNumberFormat="0" applyFont="0" applyAlignment="0" applyProtection="0"/>
    <xf numFmtId="0" fontId="213" fillId="65" borderId="691" applyNumberFormat="0" applyAlignment="0" applyProtection="0"/>
    <xf numFmtId="0" fontId="213" fillId="80" borderId="691" applyNumberFormat="0" applyAlignment="0" applyProtection="0"/>
    <xf numFmtId="0" fontId="153" fillId="0" borderId="815">
      <alignment horizontal="left" vertical="center"/>
    </xf>
    <xf numFmtId="0" fontId="176" fillId="81" borderId="1061" applyNumberFormat="0" applyFont="0" applyAlignment="0" applyProtection="0"/>
    <xf numFmtId="0" fontId="213" fillId="65" borderId="727" applyNumberFormat="0" applyAlignment="0" applyProtection="0"/>
    <xf numFmtId="0" fontId="213" fillId="65" borderId="745" applyNumberFormat="0" applyAlignment="0" applyProtection="0"/>
    <xf numFmtId="0" fontId="203" fillId="81" borderId="746" applyNumberFormat="0" applyFont="0" applyAlignment="0" applyProtection="0"/>
    <xf numFmtId="0" fontId="213" fillId="65" borderId="1042" applyNumberFormat="0" applyAlignment="0" applyProtection="0"/>
    <xf numFmtId="0" fontId="203" fillId="81" borderId="791" applyNumberFormat="0" applyFont="0" applyAlignment="0" applyProtection="0"/>
    <xf numFmtId="200" fontId="225" fillId="0" borderId="789" applyFill="0" applyProtection="0"/>
    <xf numFmtId="0" fontId="213" fillId="65" borderId="790" applyNumberFormat="0" applyAlignment="0" applyProtection="0"/>
    <xf numFmtId="200" fontId="225" fillId="0" borderId="906" applyFill="0" applyProtection="0"/>
    <xf numFmtId="0" fontId="203" fillId="81" borderId="908" applyNumberFormat="0" applyFont="0" applyAlignment="0" applyProtection="0"/>
    <xf numFmtId="0" fontId="213" fillId="80" borderId="880" applyNumberFormat="0" applyAlignment="0" applyProtection="0"/>
    <xf numFmtId="0" fontId="203" fillId="81" borderId="1052" applyNumberFormat="0" applyFont="0" applyAlignment="0" applyProtection="0"/>
    <xf numFmtId="0" fontId="213" fillId="80" borderId="862" applyNumberFormat="0" applyAlignment="0" applyProtection="0"/>
    <xf numFmtId="0" fontId="203" fillId="81" borderId="908" applyNumberFormat="0" applyFont="0" applyAlignment="0" applyProtection="0"/>
    <xf numFmtId="0" fontId="203" fillId="81" borderId="962" applyNumberFormat="0" applyFont="0" applyAlignment="0" applyProtection="0"/>
    <xf numFmtId="0" fontId="174" fillId="0" borderId="956" applyNumberFormat="0" applyFill="0" applyAlignment="0" applyProtection="0"/>
    <xf numFmtId="0" fontId="203" fillId="81" borderId="746" applyNumberFormat="0" applyFont="0" applyAlignment="0" applyProtection="0"/>
    <xf numFmtId="0" fontId="257" fillId="59" borderId="747" applyNumberFormat="0" applyAlignment="0" applyProtection="0"/>
    <xf numFmtId="0" fontId="213" fillId="65" borderId="817" applyNumberFormat="0" applyAlignment="0" applyProtection="0"/>
    <xf numFmtId="0" fontId="206" fillId="78" borderId="1006" applyNumberFormat="0" applyAlignment="0" applyProtection="0"/>
    <xf numFmtId="0" fontId="213" fillId="65" borderId="1051" applyNumberFormat="0" applyAlignment="0" applyProtection="0"/>
    <xf numFmtId="0" fontId="213" fillId="65" borderId="1042" applyNumberFormat="0" applyAlignment="0" applyProtection="0"/>
    <xf numFmtId="0" fontId="176" fillId="81" borderId="746" applyNumberFormat="0" applyFont="0" applyAlignment="0" applyProtection="0"/>
    <xf numFmtId="0" fontId="213" fillId="65" borderId="772" applyNumberFormat="0" applyAlignment="0" applyProtection="0"/>
    <xf numFmtId="0" fontId="244" fillId="0" borderId="744" applyNumberFormat="0" applyFont="0" applyFill="0" applyAlignment="0" applyProtection="0"/>
    <xf numFmtId="0" fontId="178" fillId="0" borderId="751" applyProtection="0"/>
    <xf numFmtId="200" fontId="225" fillId="0" borderId="744" applyFill="0" applyProtection="0"/>
    <xf numFmtId="0" fontId="213" fillId="65" borderId="1042" applyNumberFormat="0" applyAlignment="0" applyProtection="0"/>
    <xf numFmtId="0" fontId="229" fillId="83" borderId="884" applyAlignment="0">
      <alignment horizontal="center"/>
    </xf>
    <xf numFmtId="0" fontId="206" fillId="78" borderId="907" applyNumberFormat="0" applyAlignment="0" applyProtection="0"/>
    <xf numFmtId="182" fontId="225" fillId="0" borderId="744" applyFill="0" applyProtection="0"/>
    <xf numFmtId="0" fontId="153" fillId="0" borderId="968">
      <alignment horizontal="left" vertical="center"/>
    </xf>
    <xf numFmtId="0" fontId="8" fillId="81" borderId="827" applyNumberFormat="0" applyFont="0" applyAlignment="0" applyProtection="0"/>
    <xf numFmtId="0" fontId="8" fillId="81" borderId="971" applyNumberFormat="0" applyFont="0" applyAlignment="0" applyProtection="0"/>
    <xf numFmtId="0" fontId="213" fillId="65" borderId="835" applyNumberFormat="0" applyAlignment="0" applyProtection="0"/>
    <xf numFmtId="0" fontId="216" fillId="59" borderId="819" applyNumberFormat="0" applyAlignment="0" applyProtection="0"/>
    <xf numFmtId="0" fontId="203" fillId="81" borderId="953" applyNumberFormat="0" applyFont="0" applyAlignment="0" applyProtection="0"/>
    <xf numFmtId="0" fontId="213" fillId="65" borderId="907" applyNumberFormat="0" applyAlignment="0" applyProtection="0"/>
    <xf numFmtId="0" fontId="153" fillId="0" borderId="743">
      <alignment horizontal="left" vertical="center"/>
    </xf>
    <xf numFmtId="0" fontId="203" fillId="81" borderId="917" applyNumberFormat="0" applyFont="0" applyAlignment="0" applyProtection="0"/>
    <xf numFmtId="182" fontId="225" fillId="0" borderId="906" applyFill="0" applyProtection="0"/>
    <xf numFmtId="0" fontId="216" fillId="78" borderId="981" applyNumberFormat="0" applyAlignment="0" applyProtection="0"/>
    <xf numFmtId="0" fontId="213" fillId="65" borderId="952" applyNumberFormat="0" applyAlignment="0" applyProtection="0"/>
    <xf numFmtId="182" fontId="225" fillId="0" borderId="834" applyFill="0" applyProtection="0"/>
    <xf numFmtId="0" fontId="203" fillId="81" borderId="863" applyNumberFormat="0" applyFont="0" applyAlignment="0" applyProtection="0"/>
    <xf numFmtId="0" fontId="8" fillId="81" borderId="908" applyNumberFormat="0" applyFont="0" applyAlignment="0" applyProtection="0"/>
    <xf numFmtId="0" fontId="213" fillId="65" borderId="997" applyNumberFormat="0" applyAlignment="0" applyProtection="0"/>
    <xf numFmtId="0" fontId="213" fillId="65" borderId="907" applyNumberFormat="0" applyAlignment="0" applyProtection="0"/>
    <xf numFmtId="0" fontId="213" fillId="80" borderId="997" applyNumberFormat="0" applyAlignment="0" applyProtection="0"/>
    <xf numFmtId="0" fontId="203" fillId="81" borderId="818" applyNumberFormat="0" applyFont="0" applyAlignment="0" applyProtection="0"/>
    <xf numFmtId="0" fontId="213" fillId="65" borderId="907" applyNumberFormat="0" applyAlignment="0" applyProtection="0"/>
    <xf numFmtId="0" fontId="213" fillId="65" borderId="997" applyNumberFormat="0" applyAlignment="0" applyProtection="0"/>
    <xf numFmtId="0" fontId="213" fillId="65" borderId="745" applyNumberFormat="0" applyAlignment="0" applyProtection="0"/>
    <xf numFmtId="0" fontId="213" fillId="65" borderId="835" applyNumberFormat="0" applyAlignment="0" applyProtection="0"/>
    <xf numFmtId="0" fontId="213" fillId="65" borderId="997" applyNumberFormat="0" applyAlignment="0" applyProtection="0"/>
    <xf numFmtId="0" fontId="249" fillId="59" borderId="691" applyNumberFormat="0" applyAlignment="0" applyProtection="0"/>
    <xf numFmtId="0" fontId="203" fillId="81" borderId="971" applyNumberFormat="0" applyFont="0" applyAlignment="0" applyProtection="0"/>
    <xf numFmtId="0" fontId="203" fillId="81" borderId="1052" applyNumberFormat="0" applyFont="0" applyAlignment="0" applyProtection="0"/>
    <xf numFmtId="0" fontId="213" fillId="65" borderId="961" applyNumberFormat="0" applyAlignment="0" applyProtection="0"/>
    <xf numFmtId="0" fontId="213" fillId="65" borderId="772" applyNumberFormat="0" applyAlignment="0" applyProtection="0"/>
    <xf numFmtId="0" fontId="176" fillId="81" borderId="1061" applyNumberFormat="0" applyFont="0" applyAlignment="0" applyProtection="0"/>
    <xf numFmtId="0" fontId="203" fillId="81" borderId="962" applyNumberFormat="0" applyFont="0" applyAlignment="0" applyProtection="0"/>
    <xf numFmtId="182" fontId="225" fillId="0" borderId="744" applyFill="0" applyProtection="0"/>
    <xf numFmtId="0" fontId="203" fillId="81" borderId="827" applyNumberFormat="0" applyFont="0" applyAlignment="0" applyProtection="0"/>
    <xf numFmtId="200" fontId="225" fillId="0" borderId="744" applyFill="0" applyProtection="0"/>
    <xf numFmtId="0" fontId="203" fillId="81" borderId="908" applyNumberFormat="0" applyFont="0" applyAlignment="0" applyProtection="0"/>
    <xf numFmtId="0" fontId="213" fillId="65" borderId="1051" applyNumberFormat="0" applyAlignment="0" applyProtection="0"/>
    <xf numFmtId="0" fontId="203" fillId="81" borderId="971" applyNumberFormat="0" applyFont="0" applyAlignment="0" applyProtection="0"/>
    <xf numFmtId="0" fontId="229" fillId="83" borderId="777" applyAlignment="0">
      <alignment horizontal="center"/>
    </xf>
    <xf numFmtId="0" fontId="213" fillId="80" borderId="772" applyNumberFormat="0" applyAlignment="0" applyProtection="0"/>
    <xf numFmtId="0" fontId="213" fillId="80" borderId="952" applyNumberFormat="0" applyAlignment="0" applyProtection="0"/>
    <xf numFmtId="0" fontId="213" fillId="80" borderId="916" applyNumberFormat="0" applyAlignment="0" applyProtection="0"/>
    <xf numFmtId="0" fontId="213" fillId="65" borderId="871" applyNumberFormat="0" applyAlignment="0" applyProtection="0"/>
    <xf numFmtId="0" fontId="213" fillId="65" borderId="790" applyNumberFormat="0" applyAlignment="0" applyProtection="0"/>
    <xf numFmtId="200" fontId="225" fillId="0" borderId="996" applyFill="0" applyProtection="0"/>
    <xf numFmtId="0" fontId="213" fillId="65" borderId="772" applyNumberFormat="0" applyAlignment="0" applyProtection="0"/>
    <xf numFmtId="0" fontId="213" fillId="65" borderId="835" applyNumberFormat="0" applyAlignment="0" applyProtection="0"/>
    <xf numFmtId="0" fontId="203" fillId="81" borderId="863" applyNumberFormat="0" applyFont="0" applyAlignment="0" applyProtection="0"/>
    <xf numFmtId="0" fontId="213" fillId="65" borderId="790" applyNumberFormat="0" applyAlignment="0" applyProtection="0"/>
    <xf numFmtId="0" fontId="203" fillId="81" borderId="908" applyNumberFormat="0" applyFont="0" applyAlignment="0" applyProtection="0"/>
    <xf numFmtId="0" fontId="203" fillId="81" borderId="917" applyNumberFormat="0" applyFont="0" applyAlignment="0" applyProtection="0"/>
    <xf numFmtId="0" fontId="216" fillId="78" borderId="864" applyNumberFormat="0" applyAlignment="0" applyProtection="0"/>
    <xf numFmtId="0" fontId="213" fillId="65" borderId="1060" applyNumberFormat="0" applyAlignment="0" applyProtection="0"/>
    <xf numFmtId="0" fontId="203" fillId="81" borderId="998" applyNumberFormat="0" applyFont="0" applyAlignment="0" applyProtection="0"/>
    <xf numFmtId="0" fontId="153" fillId="0" borderId="869">
      <alignment horizontal="left" vertical="center"/>
    </xf>
    <xf numFmtId="0" fontId="238" fillId="59" borderId="997" applyNumberFormat="0" applyAlignment="0" applyProtection="0"/>
    <xf numFmtId="0" fontId="8" fillId="81" borderId="746" applyNumberFormat="0" applyFont="0" applyAlignment="0" applyProtection="0"/>
    <xf numFmtId="0" fontId="203" fillId="81" borderId="746" applyNumberFormat="0" applyFont="0" applyAlignment="0" applyProtection="0"/>
    <xf numFmtId="0" fontId="203" fillId="81" borderId="1007" applyNumberFormat="0" applyFont="0" applyAlignment="0" applyProtection="0"/>
    <xf numFmtId="0" fontId="153" fillId="0" borderId="1058">
      <alignment horizontal="left" vertical="center"/>
    </xf>
    <xf numFmtId="0" fontId="213" fillId="65" borderId="907" applyNumberFormat="0" applyAlignment="0" applyProtection="0"/>
    <xf numFmtId="0" fontId="176" fillId="81" borderId="881" applyNumberFormat="0" applyFont="0" applyAlignment="0" applyProtection="0"/>
    <xf numFmtId="0" fontId="213" fillId="65" borderId="817" applyNumberFormat="0" applyAlignment="0" applyProtection="0"/>
    <xf numFmtId="0" fontId="229" fillId="83" borderId="1010" applyAlignment="0">
      <alignment horizontal="center"/>
    </xf>
    <xf numFmtId="182" fontId="225" fillId="0" borderId="1059" applyFill="0" applyProtection="0"/>
    <xf numFmtId="0" fontId="203" fillId="81" borderId="953" applyNumberFormat="0" applyFont="0" applyAlignment="0" applyProtection="0"/>
    <xf numFmtId="0" fontId="213" fillId="65" borderId="826" applyNumberFormat="0" applyAlignment="0" applyProtection="0"/>
    <xf numFmtId="0" fontId="254" fillId="80" borderId="745" applyNumberFormat="0" applyAlignment="0" applyProtection="0"/>
    <xf numFmtId="0" fontId="206" fillId="78" borderId="952" applyNumberFormat="0" applyAlignment="0" applyProtection="0"/>
    <xf numFmtId="182" fontId="225" fillId="0" borderId="960" applyFill="0" applyProtection="0"/>
    <xf numFmtId="0" fontId="229" fillId="83" borderId="867" applyAlignment="0">
      <alignment horizontal="center"/>
    </xf>
    <xf numFmtId="0" fontId="213" fillId="65" borderId="817" applyNumberFormat="0" applyAlignment="0" applyProtection="0"/>
    <xf numFmtId="0" fontId="176" fillId="81" borderId="863" applyNumberFormat="0" applyFont="0" applyAlignment="0" applyProtection="0"/>
    <xf numFmtId="0" fontId="203" fillId="81" borderId="1016" applyNumberFormat="0" applyFont="0" applyAlignment="0" applyProtection="0"/>
    <xf numFmtId="0" fontId="213" fillId="65" borderId="790" applyNumberFormat="0" applyAlignment="0" applyProtection="0"/>
    <xf numFmtId="0" fontId="213" fillId="65" borderId="790" applyNumberFormat="0" applyAlignment="0" applyProtection="0"/>
    <xf numFmtId="0" fontId="213" fillId="65" borderId="772" applyNumberFormat="0" applyAlignment="0" applyProtection="0"/>
    <xf numFmtId="0" fontId="203" fillId="81" borderId="791" applyNumberFormat="0" applyFont="0" applyAlignment="0" applyProtection="0"/>
    <xf numFmtId="0" fontId="176" fillId="81" borderId="908" applyNumberFormat="0" applyFont="0" applyAlignment="0" applyProtection="0"/>
    <xf numFmtId="0" fontId="213" fillId="65" borderId="1060" applyNumberFormat="0" applyAlignment="0" applyProtection="0"/>
    <xf numFmtId="0" fontId="229" fillId="83" borderId="947" applyAlignment="0">
      <alignment horizontal="center"/>
    </xf>
    <xf numFmtId="0" fontId="213" fillId="65" borderId="862" applyNumberFormat="0" applyAlignment="0" applyProtection="0"/>
    <xf numFmtId="0" fontId="229" fillId="83" borderId="920" applyAlignment="0">
      <alignment horizontal="center"/>
    </xf>
    <xf numFmtId="0" fontId="216" fillId="59" borderId="1062" applyNumberFormat="0" applyAlignment="0" applyProtection="0"/>
    <xf numFmtId="182" fontId="225" fillId="0" borderId="834" applyFill="0" applyProtection="0"/>
    <xf numFmtId="0" fontId="213" fillId="65" borderId="862" applyNumberFormat="0" applyAlignment="0" applyProtection="0"/>
    <xf numFmtId="0" fontId="244" fillId="0" borderId="690" applyNumberFormat="0" applyFont="0" applyFill="0" applyAlignment="0" applyProtection="0"/>
    <xf numFmtId="0" fontId="213" fillId="65" borderId="817" applyNumberFormat="0" applyAlignment="0" applyProtection="0"/>
    <xf numFmtId="0" fontId="213" fillId="65" borderId="916" applyNumberFormat="0" applyAlignment="0" applyProtection="0"/>
    <xf numFmtId="0" fontId="203" fillId="81" borderId="998" applyNumberFormat="0" applyFont="0" applyAlignment="0" applyProtection="0"/>
    <xf numFmtId="0" fontId="213" fillId="65" borderId="817" applyNumberFormat="0" applyAlignment="0" applyProtection="0"/>
    <xf numFmtId="182" fontId="225" fillId="0" borderId="969" applyFill="0" applyProtection="0"/>
    <xf numFmtId="0" fontId="213" fillId="65" borderId="907" applyNumberFormat="0" applyAlignment="0" applyProtection="0"/>
    <xf numFmtId="0" fontId="174" fillId="0" borderId="903" applyNumberFormat="0" applyFill="0" applyAlignment="0" applyProtection="0"/>
    <xf numFmtId="0" fontId="238" fillId="59" borderId="826" applyNumberFormat="0" applyAlignment="0" applyProtection="0"/>
    <xf numFmtId="0" fontId="213" fillId="65" borderId="1042" applyNumberFormat="0" applyAlignment="0" applyProtection="0"/>
    <xf numFmtId="182" fontId="225" fillId="0" borderId="771" applyFill="0" applyProtection="0"/>
    <xf numFmtId="0" fontId="213" fillId="65" borderId="727" applyNumberFormat="0" applyAlignment="0" applyProtection="0"/>
    <xf numFmtId="0" fontId="213" fillId="65" borderId="772" applyNumberFormat="0" applyAlignment="0" applyProtection="0"/>
    <xf numFmtId="0" fontId="176" fillId="81" borderId="998" applyNumberFormat="0" applyFont="0" applyAlignment="0" applyProtection="0"/>
    <xf numFmtId="200" fontId="225" fillId="0" borderId="771" applyFill="0" applyProtection="0"/>
    <xf numFmtId="0" fontId="203" fillId="81" borderId="746" applyNumberFormat="0" applyFont="0" applyAlignment="0" applyProtection="0"/>
    <xf numFmtId="0" fontId="206" fillId="78" borderId="862" applyNumberFormat="0" applyAlignment="0" applyProtection="0"/>
    <xf numFmtId="0" fontId="203" fillId="81" borderId="944" applyNumberFormat="0" applyFont="0" applyAlignment="0" applyProtection="0"/>
    <xf numFmtId="0" fontId="203" fillId="81" borderId="818" applyNumberFormat="0" applyFont="0" applyAlignment="0" applyProtection="0"/>
    <xf numFmtId="0" fontId="216" fillId="59" borderId="1044" applyNumberFormat="0" applyAlignment="0" applyProtection="0"/>
    <xf numFmtId="0" fontId="213" fillId="65" borderId="1042" applyNumberFormat="0" applyAlignment="0" applyProtection="0"/>
    <xf numFmtId="0" fontId="203" fillId="81" borderId="1043" applyNumberFormat="0" applyFont="0" applyAlignment="0" applyProtection="0"/>
    <xf numFmtId="0" fontId="213" fillId="65" borderId="997" applyNumberFormat="0" applyAlignment="0" applyProtection="0"/>
    <xf numFmtId="0" fontId="206" fillId="78" borderId="691" applyNumberFormat="0" applyAlignment="0" applyProtection="0"/>
    <xf numFmtId="0" fontId="203" fillId="81" borderId="782" applyNumberFormat="0" applyFont="0" applyAlignment="0" applyProtection="0"/>
    <xf numFmtId="0" fontId="213" fillId="65" borderId="1042" applyNumberFormat="0" applyAlignment="0" applyProtection="0"/>
    <xf numFmtId="0" fontId="213" fillId="65" borderId="1051" applyNumberFormat="0" applyAlignment="0" applyProtection="0"/>
    <xf numFmtId="0" fontId="203" fillId="81" borderId="1016" applyNumberFormat="0" applyFont="0" applyAlignment="0" applyProtection="0"/>
    <xf numFmtId="0" fontId="229" fillId="83" borderId="867" applyAlignment="0">
      <alignment horizontal="center"/>
    </xf>
    <xf numFmtId="200" fontId="225" fillId="0" borderId="1014" applyFill="0" applyProtection="0"/>
    <xf numFmtId="0" fontId="213" fillId="80" borderId="862" applyNumberFormat="0" applyAlignment="0" applyProtection="0"/>
    <xf numFmtId="182" fontId="225" fillId="0" borderId="915" applyFill="0" applyProtection="0"/>
    <xf numFmtId="0" fontId="213" fillId="65" borderId="970" applyNumberFormat="0" applyAlignment="0" applyProtection="0"/>
    <xf numFmtId="0" fontId="213" fillId="65" borderId="997" applyNumberFormat="0" applyAlignment="0" applyProtection="0"/>
    <xf numFmtId="0" fontId="213" fillId="65" borderId="880" applyNumberFormat="0" applyAlignment="0" applyProtection="0"/>
    <xf numFmtId="0" fontId="229" fillId="83" borderId="867" applyAlignment="0">
      <alignment horizontal="center"/>
    </xf>
    <xf numFmtId="0" fontId="213" fillId="65" borderId="1006" applyNumberFormat="0" applyAlignment="0" applyProtection="0"/>
    <xf numFmtId="0" fontId="213" fillId="65" borderId="862" applyNumberFormat="0" applyAlignment="0" applyProtection="0"/>
    <xf numFmtId="0" fontId="213" fillId="65" borderId="691" applyNumberFormat="0" applyAlignment="0" applyProtection="0"/>
    <xf numFmtId="0" fontId="213" fillId="80" borderId="691" applyNumberFormat="0" applyAlignment="0" applyProtection="0"/>
    <xf numFmtId="0" fontId="254" fillId="80" borderId="727" applyNumberFormat="0" applyAlignment="0" applyProtection="0"/>
    <xf numFmtId="0" fontId="203" fillId="81" borderId="1052" applyNumberFormat="0" applyFont="0" applyAlignment="0" applyProtection="0"/>
    <xf numFmtId="0" fontId="213" fillId="65" borderId="916" applyNumberFormat="0" applyAlignment="0" applyProtection="0"/>
    <xf numFmtId="0" fontId="213" fillId="65" borderId="1051" applyNumberFormat="0" applyAlignment="0" applyProtection="0"/>
    <xf numFmtId="0" fontId="213" fillId="65" borderId="817" applyNumberFormat="0" applyAlignment="0" applyProtection="0"/>
    <xf numFmtId="0" fontId="213" fillId="65" borderId="790" applyNumberFormat="0" applyAlignment="0" applyProtection="0"/>
    <xf numFmtId="0" fontId="203" fillId="81" borderId="630" applyNumberFormat="0" applyFont="0" applyAlignment="0" applyProtection="0"/>
    <xf numFmtId="0" fontId="229" fillId="83" borderId="642" applyAlignment="0">
      <alignment horizontal="center"/>
    </xf>
    <xf numFmtId="0" fontId="203" fillId="81" borderId="818" applyNumberFormat="0" applyFont="0" applyAlignment="0" applyProtection="0"/>
    <xf numFmtId="0" fontId="213" fillId="65" borderId="826" applyNumberFormat="0" applyAlignment="0" applyProtection="0"/>
    <xf numFmtId="0" fontId="213" fillId="65" borderId="727" applyNumberFormat="0" applyAlignment="0" applyProtection="0"/>
    <xf numFmtId="0" fontId="213" fillId="65" borderId="871" applyNumberFormat="0" applyAlignment="0" applyProtection="0"/>
    <xf numFmtId="0" fontId="213" fillId="80" borderId="862" applyNumberFormat="0" applyAlignment="0" applyProtection="0"/>
    <xf numFmtId="0" fontId="213" fillId="65" borderId="772" applyNumberFormat="0" applyAlignment="0" applyProtection="0"/>
    <xf numFmtId="0" fontId="213" fillId="65" borderId="997" applyNumberFormat="0" applyAlignment="0" applyProtection="0"/>
    <xf numFmtId="0" fontId="213" fillId="65" borderId="961" applyNumberFormat="0" applyAlignment="0" applyProtection="0"/>
    <xf numFmtId="0" fontId="213" fillId="80" borderId="952" applyNumberFormat="0" applyAlignment="0" applyProtection="0"/>
    <xf numFmtId="0" fontId="203" fillId="81" borderId="863" applyNumberFormat="0" applyFont="0" applyAlignment="0" applyProtection="0"/>
    <xf numFmtId="0" fontId="254" fillId="80" borderId="907" applyNumberFormat="0" applyAlignment="0" applyProtection="0"/>
    <xf numFmtId="0" fontId="203" fillId="81" borderId="971" applyNumberFormat="0" applyFont="0" applyAlignment="0" applyProtection="0"/>
    <xf numFmtId="0" fontId="213" fillId="65" borderId="745" applyNumberFormat="0" applyAlignment="0" applyProtection="0"/>
    <xf numFmtId="0" fontId="216" fillId="59" borderId="774" applyNumberFormat="0" applyAlignment="0" applyProtection="0"/>
    <xf numFmtId="0" fontId="254" fillId="80" borderId="691" applyNumberFormat="0" applyAlignment="0" applyProtection="0"/>
    <xf numFmtId="0" fontId="174" fillId="0" borderId="975" applyNumberFormat="0" applyFill="0" applyAlignment="0" applyProtection="0"/>
    <xf numFmtId="0" fontId="176" fillId="81" borderId="998" applyNumberFormat="0" applyFont="0" applyAlignment="0" applyProtection="0"/>
    <xf numFmtId="0" fontId="203" fillId="81" borderId="953" applyNumberFormat="0" applyFont="0" applyAlignment="0" applyProtection="0"/>
    <xf numFmtId="0" fontId="203" fillId="81" borderId="953" applyNumberFormat="0" applyFont="0" applyAlignment="0" applyProtection="0"/>
    <xf numFmtId="0" fontId="213" fillId="65" borderId="727" applyNumberFormat="0" applyAlignment="0" applyProtection="0"/>
    <xf numFmtId="0" fontId="203" fillId="81" borderId="746" applyNumberFormat="0" applyFont="0" applyAlignment="0" applyProtection="0"/>
    <xf numFmtId="0" fontId="213" fillId="65" borderId="772" applyNumberFormat="0" applyAlignment="0" applyProtection="0"/>
    <xf numFmtId="0" fontId="213" fillId="65" borderId="907" applyNumberFormat="0" applyAlignment="0" applyProtection="0"/>
    <xf numFmtId="0" fontId="238" fillId="59" borderId="907" applyNumberFormat="0" applyAlignment="0" applyProtection="0"/>
    <xf numFmtId="0" fontId="238" fillId="59" borderId="691" applyNumberFormat="0" applyAlignment="0" applyProtection="0"/>
    <xf numFmtId="0" fontId="213" fillId="65" borderId="925" applyNumberFormat="0" applyAlignment="0" applyProtection="0"/>
    <xf numFmtId="0" fontId="213" fillId="65" borderId="1015" applyNumberFormat="0" applyAlignment="0" applyProtection="0"/>
    <xf numFmtId="200" fontId="225" fillId="0" borderId="879" applyFill="0" applyProtection="0"/>
    <xf numFmtId="0" fontId="213" fillId="65" borderId="907" applyNumberFormat="0" applyAlignment="0" applyProtection="0"/>
    <xf numFmtId="0" fontId="238" fillId="59"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80" borderId="646" applyNumberFormat="0" applyAlignment="0" applyProtection="0"/>
    <xf numFmtId="0" fontId="213" fillId="65"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176"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6"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06" fillId="78" borderId="646" applyNumberFormat="0" applyAlignment="0" applyProtection="0"/>
    <xf numFmtId="0" fontId="206" fillId="78" borderId="646" applyNumberFormat="0" applyAlignment="0" applyProtection="0"/>
    <xf numFmtId="182" fontId="225" fillId="0" borderId="645" applyFill="0" applyProtection="0"/>
    <xf numFmtId="182" fontId="225" fillId="0" borderId="645" applyFill="0" applyProtection="0"/>
    <xf numFmtId="182" fontId="225" fillId="0" borderId="645" applyFill="0" applyProtection="0"/>
    <xf numFmtId="200" fontId="225" fillId="0" borderId="645" applyFill="0" applyProtection="0"/>
    <xf numFmtId="200" fontId="225" fillId="0" borderId="645" applyFill="0" applyProtection="0"/>
    <xf numFmtId="200" fontId="225" fillId="0" borderId="645" applyFill="0" applyProtection="0"/>
    <xf numFmtId="0" fontId="153" fillId="0" borderId="644">
      <alignment horizontal="left" vertical="center"/>
    </xf>
    <xf numFmtId="0" fontId="229" fillId="83" borderId="650" applyAlignment="0">
      <alignment horizontal="center"/>
    </xf>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29" fillId="83" borderId="650" applyAlignment="0">
      <alignment horizontal="center"/>
    </xf>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4" fillId="0" borderId="625" applyNumberFormat="0" applyFill="0" applyAlignment="0" applyProtection="0"/>
    <xf numFmtId="0" fontId="229" fillId="83" borderId="650" applyAlignment="0">
      <alignment horizontal="center"/>
    </xf>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8" fillId="81" borderId="630" applyNumberFormat="0" applyFont="0" applyAlignment="0" applyProtection="0"/>
    <xf numFmtId="0" fontId="174" fillId="0" borderId="623" applyNumberFormat="0" applyFill="0" applyAlignment="0" applyProtection="0"/>
    <xf numFmtId="0" fontId="229" fillId="83" borderId="650" applyAlignment="0">
      <alignment horizontal="center"/>
    </xf>
    <xf numFmtId="0" fontId="176" fillId="81" borderId="630" applyNumberFormat="0" applyFont="0" applyAlignment="0" applyProtection="0"/>
    <xf numFmtId="0" fontId="213" fillId="65" borderId="646" applyNumberFormat="0" applyAlignment="0" applyProtection="0"/>
    <xf numFmtId="0" fontId="216" fillId="78" borderId="648" applyNumberFormat="0" applyAlignment="0" applyProtection="0"/>
    <xf numFmtId="0" fontId="174" fillId="0" borderId="651" applyNumberFormat="0" applyFill="0" applyAlignment="0" applyProtection="0"/>
    <xf numFmtId="0" fontId="216" fillId="78" borderId="648" applyNumberFormat="0" applyAlignment="0" applyProtection="0"/>
    <xf numFmtId="0" fontId="174" fillId="0" borderId="651" applyNumberFormat="0" applyFill="0" applyAlignment="0" applyProtection="0"/>
    <xf numFmtId="182" fontId="225" fillId="0" borderId="645" applyFill="0" applyProtection="0"/>
    <xf numFmtId="200" fontId="225" fillId="0" borderId="645" applyFill="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46" applyNumberFormat="0" applyAlignment="0" applyProtection="0"/>
    <xf numFmtId="0" fontId="203" fillId="81" borderId="647" applyNumberFormat="0" applyFont="0" applyAlignment="0" applyProtection="0"/>
    <xf numFmtId="0" fontId="216" fillId="78" borderId="648" applyNumberFormat="0" applyAlignment="0" applyProtection="0"/>
    <xf numFmtId="0" fontId="174" fillId="0" borderId="651" applyNumberFormat="0" applyFill="0" applyAlignment="0" applyProtection="0"/>
    <xf numFmtId="0" fontId="249" fillId="59" borderId="646" applyNumberFormat="0" applyAlignment="0" applyProtection="0"/>
    <xf numFmtId="0" fontId="254" fillId="80" borderId="646" applyNumberFormat="0" applyAlignment="0" applyProtection="0"/>
    <xf numFmtId="0" fontId="257" fillId="59" borderId="648" applyNumberFormat="0" applyAlignment="0" applyProtection="0"/>
    <xf numFmtId="0" fontId="244" fillId="0" borderId="645" applyNumberFormat="0" applyFont="0" applyFill="0" applyAlignment="0" applyProtection="0"/>
    <xf numFmtId="0" fontId="178" fillId="0" borderId="652" applyProtection="0"/>
    <xf numFmtId="0" fontId="176" fillId="81" borderId="647" applyNumberFormat="0" applyFont="0" applyAlignment="0" applyProtection="0"/>
    <xf numFmtId="0" fontId="8" fillId="81" borderId="647" applyNumberFormat="0" applyFont="0" applyAlignment="0" applyProtection="0"/>
    <xf numFmtId="182" fontId="225" fillId="0" borderId="645" applyFill="0" applyProtection="0"/>
    <xf numFmtId="200" fontId="225" fillId="0" borderId="645" applyFill="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182" fontId="225" fillId="0" borderId="645" applyFill="0" applyProtection="0"/>
    <xf numFmtId="200" fontId="225" fillId="0" borderId="645" applyFill="0" applyProtection="0"/>
    <xf numFmtId="0" fontId="153" fillId="0" borderId="644">
      <alignment horizontal="left" vertical="center"/>
    </xf>
    <xf numFmtId="0" fontId="203" fillId="81" borderId="647" applyNumberFormat="0" applyFont="0" applyAlignment="0" applyProtection="0"/>
    <xf numFmtId="0" fontId="153" fillId="0" borderId="644">
      <alignment horizontal="left" vertical="center"/>
    </xf>
    <xf numFmtId="0" fontId="213" fillId="80" borderId="646" applyNumberFormat="0" applyAlignment="0" applyProtection="0"/>
    <xf numFmtId="0" fontId="8" fillId="81" borderId="647" applyNumberFormat="0" applyFont="0" applyAlignment="0" applyProtection="0"/>
    <xf numFmtId="182" fontId="225" fillId="0" borderId="645" applyFill="0" applyProtection="0"/>
    <xf numFmtId="200" fontId="225" fillId="0" borderId="645" applyFill="0" applyProtection="0"/>
    <xf numFmtId="182" fontId="225" fillId="0" borderId="645" applyFill="0" applyProtection="0"/>
    <xf numFmtId="200" fontId="225" fillId="0" borderId="645" applyFill="0" applyProtection="0"/>
    <xf numFmtId="0" fontId="153" fillId="0" borderId="644">
      <alignment horizontal="left" vertical="center"/>
    </xf>
    <xf numFmtId="0" fontId="203" fillId="81" borderId="630" applyNumberFormat="0" applyFont="0" applyAlignment="0" applyProtection="0"/>
    <xf numFmtId="182" fontId="225" fillId="0" borderId="645" applyFill="0" applyProtection="0"/>
    <xf numFmtId="200" fontId="225" fillId="0" borderId="645" applyFill="0" applyProtection="0"/>
    <xf numFmtId="0" fontId="176" fillId="81" borderId="647" applyNumberFormat="0" applyFont="0" applyAlignment="0" applyProtection="0"/>
    <xf numFmtId="0" fontId="203" fillId="81" borderId="647"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206" fillId="78" borderId="620" applyNumberFormat="0" applyAlignment="0" applyProtection="0"/>
    <xf numFmtId="0" fontId="216" fillId="78" borderId="613" applyNumberFormat="0" applyAlignment="0" applyProtection="0"/>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29" fillId="83" borderId="650" applyAlignment="0">
      <alignment horizontal="center"/>
    </xf>
    <xf numFmtId="0" fontId="213" fillId="65" borderId="646" applyNumberFormat="0" applyAlignment="0" applyProtection="0"/>
    <xf numFmtId="0" fontId="229" fillId="83" borderId="650" applyAlignment="0">
      <alignment horizontal="center"/>
    </xf>
    <xf numFmtId="0" fontId="229" fillId="83" borderId="642" applyAlignment="0">
      <alignment horizontal="center"/>
    </xf>
    <xf numFmtId="0" fontId="213" fillId="65" borderId="646" applyNumberFormat="0" applyAlignment="0" applyProtection="0"/>
    <xf numFmtId="0" fontId="213" fillId="65" borderId="664" applyNumberFormat="0" applyAlignment="0" applyProtection="0"/>
    <xf numFmtId="0" fontId="229" fillId="83" borderId="686" applyAlignment="0">
      <alignment horizontal="center"/>
    </xf>
    <xf numFmtId="0" fontId="203" fillId="81" borderId="647" applyNumberFormat="0" applyFont="0" applyAlignment="0" applyProtection="0"/>
    <xf numFmtId="0" fontId="203" fillId="81" borderId="647" applyNumberFormat="0" applyFont="0" applyAlignment="0" applyProtection="0"/>
    <xf numFmtId="0" fontId="216" fillId="78" borderId="693" applyNumberFormat="0" applyAlignment="0" applyProtection="0"/>
    <xf numFmtId="200" fontId="225" fillId="0" borderId="690" applyFill="0" applyProtection="0"/>
    <xf numFmtId="0" fontId="238" fillId="59" borderId="655" applyNumberFormat="0" applyAlignment="0" applyProtection="0"/>
    <xf numFmtId="0" fontId="238" fillId="59"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80" borderId="646" applyNumberFormat="0" applyAlignment="0" applyProtection="0"/>
    <xf numFmtId="0" fontId="213" fillId="65"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176"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176"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16" fillId="78" borderId="648" applyNumberFormat="0" applyAlignment="0" applyProtection="0"/>
    <xf numFmtId="0" fontId="174" fillId="0" borderId="651" applyNumberFormat="0" applyFill="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6" fillId="78" borderId="646" applyNumberFormat="0" applyAlignment="0" applyProtection="0"/>
    <xf numFmtId="0" fontId="176" fillId="81" borderId="647" applyNumberFormat="0" applyFont="0" applyAlignment="0" applyProtection="0"/>
    <xf numFmtId="0" fontId="238" fillId="59"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216" fillId="59" borderId="648" applyNumberFormat="0" applyAlignment="0" applyProtection="0"/>
    <xf numFmtId="0" fontId="213" fillId="80" borderId="646" applyNumberFormat="0" applyAlignment="0" applyProtection="0"/>
    <xf numFmtId="0" fontId="176" fillId="81" borderId="647" applyNumberFormat="0" applyFont="0" applyAlignment="0" applyProtection="0"/>
    <xf numFmtId="0" fontId="213" fillId="65" borderId="682"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80" borderId="655" applyNumberFormat="0" applyAlignment="0" applyProtection="0"/>
    <xf numFmtId="0" fontId="213" fillId="65" borderId="655" applyNumberFormat="0" applyAlignment="0" applyProtection="0"/>
    <xf numFmtId="0" fontId="213" fillId="80" borderId="655" applyNumberFormat="0" applyAlignment="0" applyProtection="0"/>
    <xf numFmtId="0" fontId="8" fillId="81" borderId="656" applyNumberFormat="0" applyFont="0" applyAlignment="0" applyProtection="0"/>
    <xf numFmtId="0" fontId="176"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176" fillId="81" borderId="656" applyNumberFormat="0" applyFont="0" applyAlignment="0" applyProtection="0"/>
    <xf numFmtId="0" fontId="216" fillId="59" borderId="657" applyNumberFormat="0" applyAlignment="0" applyProtection="0"/>
    <xf numFmtId="0" fontId="174" fillId="0" borderId="658" applyNumberFormat="0" applyFill="0" applyAlignment="0" applyProtection="0"/>
    <xf numFmtId="0" fontId="206" fillId="78" borderId="655" applyNumberFormat="0" applyAlignment="0" applyProtection="0"/>
    <xf numFmtId="0" fontId="206" fillId="78" borderId="655" applyNumberFormat="0" applyAlignment="0" applyProtection="0"/>
    <xf numFmtId="182" fontId="225" fillId="0" borderId="654" applyFill="0" applyProtection="0"/>
    <xf numFmtId="182" fontId="225" fillId="0" borderId="654" applyFill="0" applyProtection="0"/>
    <xf numFmtId="182" fontId="225" fillId="0" borderId="654" applyFill="0" applyProtection="0"/>
    <xf numFmtId="200" fontId="225" fillId="0" borderId="654" applyFill="0" applyProtection="0"/>
    <xf numFmtId="200" fontId="225" fillId="0" borderId="654" applyFill="0" applyProtection="0"/>
    <xf numFmtId="200" fontId="225" fillId="0" borderId="654" applyFill="0" applyProtection="0"/>
    <xf numFmtId="0" fontId="153" fillId="0" borderId="653">
      <alignment horizontal="left" vertical="center"/>
    </xf>
    <xf numFmtId="0" fontId="229" fillId="83" borderId="659" applyAlignment="0">
      <alignment horizontal="center"/>
    </xf>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29" fillId="83" borderId="659" applyAlignment="0">
      <alignment horizontal="center"/>
    </xf>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16" fillId="78" borderId="648" applyNumberFormat="0" applyAlignment="0" applyProtection="0"/>
    <xf numFmtId="0" fontId="174" fillId="0" borderId="651" applyNumberFormat="0" applyFill="0" applyAlignment="0" applyProtection="0"/>
    <xf numFmtId="0" fontId="229" fillId="83" borderId="659" applyAlignment="0">
      <alignment horizontal="center"/>
    </xf>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13" fillId="65" borderId="646" applyNumberForma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6" fillId="78" borderId="646" applyNumberFormat="0" applyAlignment="0" applyProtection="0"/>
    <xf numFmtId="0" fontId="176" fillId="81" borderId="647" applyNumberFormat="0" applyFont="0" applyAlignment="0" applyProtection="0"/>
    <xf numFmtId="0" fontId="238" fillId="59" borderId="646" applyNumberFormat="0" applyAlignment="0" applyProtection="0"/>
    <xf numFmtId="0" fontId="213" fillId="80" borderId="646" applyNumberFormat="0" applyAlignment="0" applyProtection="0"/>
    <xf numFmtId="0" fontId="8" fillId="81" borderId="647" applyNumberFormat="0" applyFont="0" applyAlignment="0" applyProtection="0"/>
    <xf numFmtId="0" fontId="216" fillId="59" borderId="648" applyNumberFormat="0" applyAlignment="0" applyProtection="0"/>
    <xf numFmtId="0" fontId="174" fillId="0" borderId="649" applyNumberFormat="0" applyFill="0" applyAlignment="0" applyProtection="0"/>
    <xf numFmtId="0" fontId="213" fillId="80" borderId="646" applyNumberFormat="0" applyAlignment="0" applyProtection="0"/>
    <xf numFmtId="0" fontId="229" fillId="83" borderId="659" applyAlignment="0">
      <alignment horizontal="center"/>
    </xf>
    <xf numFmtId="0" fontId="176" fillId="81" borderId="647" applyNumberFormat="0" applyFont="0" applyAlignment="0" applyProtection="0"/>
    <xf numFmtId="0" fontId="213" fillId="65" borderId="655" applyNumberFormat="0" applyAlignment="0" applyProtection="0"/>
    <xf numFmtId="0" fontId="216" fillId="78" borderId="657" applyNumberFormat="0" applyAlignment="0" applyProtection="0"/>
    <xf numFmtId="0" fontId="174" fillId="0" borderId="660" applyNumberFormat="0" applyFill="0" applyAlignment="0" applyProtection="0"/>
    <xf numFmtId="0" fontId="216" fillId="78" borderId="657" applyNumberFormat="0" applyAlignment="0" applyProtection="0"/>
    <xf numFmtId="0" fontId="174" fillId="0" borderId="660" applyNumberFormat="0" applyFill="0" applyAlignment="0" applyProtection="0"/>
    <xf numFmtId="182" fontId="225" fillId="0" borderId="654" applyFill="0" applyProtection="0"/>
    <xf numFmtId="200" fontId="225" fillId="0" borderId="654" applyFill="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03" fillId="81" borderId="656" applyNumberFormat="0" applyFont="0" applyAlignment="0" applyProtection="0"/>
    <xf numFmtId="0" fontId="213" fillId="65" borderId="655" applyNumberFormat="0" applyAlignment="0" applyProtection="0"/>
    <xf numFmtId="0" fontId="203" fillId="81" borderId="656" applyNumberFormat="0" applyFont="0" applyAlignment="0" applyProtection="0"/>
    <xf numFmtId="0" fontId="216" fillId="78" borderId="657" applyNumberFormat="0" applyAlignment="0" applyProtection="0"/>
    <xf numFmtId="0" fontId="174" fillId="0" borderId="660" applyNumberFormat="0" applyFill="0" applyAlignment="0" applyProtection="0"/>
    <xf numFmtId="0" fontId="249" fillId="59" borderId="655" applyNumberFormat="0" applyAlignment="0" applyProtection="0"/>
    <xf numFmtId="0" fontId="254" fillId="80" borderId="655" applyNumberFormat="0" applyAlignment="0" applyProtection="0"/>
    <xf numFmtId="0" fontId="257" fillId="59" borderId="657" applyNumberFormat="0" applyAlignment="0" applyProtection="0"/>
    <xf numFmtId="0" fontId="244" fillId="0" borderId="654" applyNumberFormat="0" applyFont="0" applyFill="0" applyAlignment="0" applyProtection="0"/>
    <xf numFmtId="0" fontId="178" fillId="0" borderId="661" applyProtection="0"/>
    <xf numFmtId="0" fontId="176" fillId="81" borderId="656" applyNumberFormat="0" applyFont="0" applyAlignment="0" applyProtection="0"/>
    <xf numFmtId="0" fontId="8" fillId="81" borderId="656" applyNumberFormat="0" applyFont="0" applyAlignment="0" applyProtection="0"/>
    <xf numFmtId="182" fontId="225" fillId="0" borderId="654" applyFill="0" applyProtection="0"/>
    <xf numFmtId="200" fontId="225" fillId="0" borderId="654" applyFill="0" applyProtection="0"/>
    <xf numFmtId="0" fontId="213" fillId="65" borderId="655" applyNumberFormat="0" applyAlignment="0" applyProtection="0"/>
    <xf numFmtId="0" fontId="203" fillId="81" borderId="656" applyNumberFormat="0" applyFont="0" applyAlignment="0" applyProtection="0"/>
    <xf numFmtId="0" fontId="203" fillId="81" borderId="656" applyNumberFormat="0" applyFont="0" applyAlignment="0" applyProtection="0"/>
    <xf numFmtId="182" fontId="225" fillId="0" borderId="654" applyFill="0" applyProtection="0"/>
    <xf numFmtId="200" fontId="225" fillId="0" borderId="654" applyFill="0" applyProtection="0"/>
    <xf numFmtId="0" fontId="153" fillId="0" borderId="653">
      <alignment horizontal="left" vertical="center"/>
    </xf>
    <xf numFmtId="0" fontId="203" fillId="81" borderId="656" applyNumberFormat="0" applyFont="0" applyAlignment="0" applyProtection="0"/>
    <xf numFmtId="0" fontId="153" fillId="0" borderId="653">
      <alignment horizontal="left" vertical="center"/>
    </xf>
    <xf numFmtId="0" fontId="213" fillId="80" borderId="655" applyNumberFormat="0" applyAlignment="0" applyProtection="0"/>
    <xf numFmtId="0" fontId="8" fillId="81" borderId="656" applyNumberFormat="0" applyFont="0" applyAlignment="0" applyProtection="0"/>
    <xf numFmtId="182" fontId="225" fillId="0" borderId="654" applyFill="0" applyProtection="0"/>
    <xf numFmtId="200" fontId="225" fillId="0" borderId="654" applyFill="0" applyProtection="0"/>
    <xf numFmtId="182" fontId="225" fillId="0" borderId="654" applyFill="0" applyProtection="0"/>
    <xf numFmtId="200" fontId="225" fillId="0" borderId="654" applyFill="0" applyProtection="0"/>
    <xf numFmtId="0" fontId="153" fillId="0" borderId="653">
      <alignment horizontal="left" vertical="center"/>
    </xf>
    <xf numFmtId="0" fontId="203" fillId="81" borderId="647" applyNumberFormat="0" applyFont="0" applyAlignment="0" applyProtection="0"/>
    <xf numFmtId="182" fontId="225" fillId="0" borderId="654" applyFill="0" applyProtection="0"/>
    <xf numFmtId="200" fontId="225" fillId="0" borderId="654" applyFill="0" applyProtection="0"/>
    <xf numFmtId="0" fontId="176" fillId="81" borderId="656" applyNumberFormat="0" applyFont="0" applyAlignment="0" applyProtection="0"/>
    <xf numFmtId="0" fontId="203" fillId="81" borderId="656"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03" fillId="81" borderId="647" applyNumberFormat="0" applyFont="0" applyAlignment="0" applyProtection="0"/>
    <xf numFmtId="0" fontId="213" fillId="65" borderId="655" applyNumberFormat="0" applyAlignment="0" applyProtection="0"/>
    <xf numFmtId="0" fontId="238" fillId="59" borderId="664"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13" fillId="65" borderId="655" applyNumberFormat="0" applyAlignment="0" applyProtection="0"/>
    <xf numFmtId="0" fontId="206" fillId="78" borderId="655" applyNumberFormat="0" applyAlignment="0" applyProtection="0"/>
    <xf numFmtId="0" fontId="238" fillId="59" borderId="655" applyNumberFormat="0" applyAlignment="0" applyProtection="0"/>
    <xf numFmtId="0" fontId="213" fillId="80" borderId="655" applyNumberFormat="0" applyAlignment="0" applyProtection="0"/>
    <xf numFmtId="0" fontId="213" fillId="80" borderId="655"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80" borderId="664" applyNumberFormat="0" applyAlignment="0" applyProtection="0"/>
    <xf numFmtId="0" fontId="213" fillId="65"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176"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76"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06" fillId="78" borderId="664" applyNumberFormat="0" applyAlignment="0" applyProtection="0"/>
    <xf numFmtId="0" fontId="206" fillId="78" borderId="664" applyNumberFormat="0" applyAlignment="0" applyProtection="0"/>
    <xf numFmtId="182" fontId="225" fillId="0" borderId="663" applyFill="0" applyProtection="0"/>
    <xf numFmtId="182" fontId="225" fillId="0" borderId="663" applyFill="0" applyProtection="0"/>
    <xf numFmtId="182" fontId="225" fillId="0" borderId="663" applyFill="0" applyProtection="0"/>
    <xf numFmtId="200" fontId="225" fillId="0" borderId="663" applyFill="0" applyProtection="0"/>
    <xf numFmtId="200" fontId="225" fillId="0" borderId="663" applyFill="0" applyProtection="0"/>
    <xf numFmtId="200" fontId="225" fillId="0" borderId="663" applyFill="0" applyProtection="0"/>
    <xf numFmtId="0" fontId="153" fillId="0" borderId="662">
      <alignment horizontal="left" vertical="center"/>
    </xf>
    <xf numFmtId="0" fontId="229" fillId="83" borderId="668" applyAlignment="0">
      <alignment horizontal="center"/>
    </xf>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29" fillId="83" borderId="668" applyAlignment="0">
      <alignment horizontal="center"/>
    </xf>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29" fillId="83" borderId="668" applyAlignment="0">
      <alignment horizontal="center"/>
    </xf>
    <xf numFmtId="0" fontId="229" fillId="83" borderId="668" applyAlignment="0">
      <alignment horizontal="center"/>
    </xf>
    <xf numFmtId="0" fontId="213" fillId="65" borderId="664" applyNumberFormat="0" applyAlignment="0" applyProtection="0"/>
    <xf numFmtId="0" fontId="216" fillId="78" borderId="666" applyNumberFormat="0" applyAlignment="0" applyProtection="0"/>
    <xf numFmtId="0" fontId="174" fillId="0" borderId="669" applyNumberFormat="0" applyFill="0" applyAlignment="0" applyProtection="0"/>
    <xf numFmtId="0" fontId="216" fillId="78" borderId="666" applyNumberFormat="0" applyAlignment="0" applyProtection="0"/>
    <xf numFmtId="0" fontId="174" fillId="0" borderId="669" applyNumberFormat="0" applyFill="0" applyAlignment="0" applyProtection="0"/>
    <xf numFmtId="182" fontId="225" fillId="0" borderId="663" applyFill="0" applyProtection="0"/>
    <xf numFmtId="200" fontId="225" fillId="0" borderId="663" applyFill="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64" applyNumberFormat="0" applyAlignment="0" applyProtection="0"/>
    <xf numFmtId="0" fontId="203" fillId="81" borderId="665" applyNumberFormat="0" applyFont="0" applyAlignment="0" applyProtection="0"/>
    <xf numFmtId="0" fontId="216" fillId="78" borderId="666" applyNumberFormat="0" applyAlignment="0" applyProtection="0"/>
    <xf numFmtId="0" fontId="174" fillId="0" borderId="669" applyNumberFormat="0" applyFill="0" applyAlignment="0" applyProtection="0"/>
    <xf numFmtId="0" fontId="249" fillId="59" borderId="664" applyNumberFormat="0" applyAlignment="0" applyProtection="0"/>
    <xf numFmtId="0" fontId="254" fillId="80" borderId="664" applyNumberFormat="0" applyAlignment="0" applyProtection="0"/>
    <xf numFmtId="0" fontId="257" fillId="59" borderId="666" applyNumberFormat="0" applyAlignment="0" applyProtection="0"/>
    <xf numFmtId="0" fontId="244" fillId="0" borderId="663" applyNumberFormat="0" applyFont="0" applyFill="0" applyAlignment="0" applyProtection="0"/>
    <xf numFmtId="0" fontId="178" fillId="0" borderId="670" applyProtection="0"/>
    <xf numFmtId="0" fontId="176" fillId="81" borderId="665" applyNumberFormat="0" applyFont="0" applyAlignment="0" applyProtection="0"/>
    <xf numFmtId="0" fontId="8" fillId="81" borderId="665" applyNumberFormat="0" applyFont="0" applyAlignment="0" applyProtection="0"/>
    <xf numFmtId="182" fontId="225" fillId="0" borderId="663" applyFill="0" applyProtection="0"/>
    <xf numFmtId="200" fontId="225" fillId="0" borderId="663" applyFill="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182" fontId="225" fillId="0" borderId="663" applyFill="0" applyProtection="0"/>
    <xf numFmtId="200" fontId="225" fillId="0" borderId="663" applyFill="0" applyProtection="0"/>
    <xf numFmtId="0" fontId="153" fillId="0" borderId="662">
      <alignment horizontal="left" vertical="center"/>
    </xf>
    <xf numFmtId="0" fontId="203" fillId="81" borderId="665" applyNumberFormat="0" applyFont="0" applyAlignment="0" applyProtection="0"/>
    <xf numFmtId="0" fontId="153" fillId="0" borderId="662">
      <alignment horizontal="left" vertical="center"/>
    </xf>
    <xf numFmtId="0" fontId="213" fillId="80" borderId="664" applyNumberFormat="0" applyAlignment="0" applyProtection="0"/>
    <xf numFmtId="0" fontId="8" fillId="81" borderId="665" applyNumberFormat="0" applyFont="0" applyAlignment="0" applyProtection="0"/>
    <xf numFmtId="182" fontId="225" fillId="0" borderId="663" applyFill="0" applyProtection="0"/>
    <xf numFmtId="200" fontId="225" fillId="0" borderId="663" applyFill="0" applyProtection="0"/>
    <xf numFmtId="182" fontId="225" fillId="0" borderId="663" applyFill="0" applyProtection="0"/>
    <xf numFmtId="200" fontId="225" fillId="0" borderId="663" applyFill="0" applyProtection="0"/>
    <xf numFmtId="0" fontId="153" fillId="0" borderId="662">
      <alignment horizontal="left" vertical="center"/>
    </xf>
    <xf numFmtId="182" fontId="225" fillId="0" borderId="663" applyFill="0" applyProtection="0"/>
    <xf numFmtId="200" fontId="225" fillId="0" borderId="663" applyFill="0" applyProtection="0"/>
    <xf numFmtId="0" fontId="176" fillId="81" borderId="665" applyNumberFormat="0" applyFont="0" applyAlignment="0" applyProtection="0"/>
    <xf numFmtId="0" fontId="203" fillId="81" borderId="665" applyNumberFormat="0" applyFont="0" applyAlignment="0" applyProtection="0"/>
    <xf numFmtId="0" fontId="213" fillId="65" borderId="664" applyNumberFormat="0" applyAlignment="0" applyProtection="0"/>
    <xf numFmtId="0" fontId="229" fillId="83" borderId="642" applyAlignment="0">
      <alignment horizontal="center"/>
    </xf>
    <xf numFmtId="0" fontId="203" fillId="81" borderId="647" applyNumberFormat="0" applyFont="0" applyAlignment="0" applyProtection="0"/>
    <xf numFmtId="0" fontId="176" fillId="81" borderId="692" applyNumberFormat="0" applyFont="0" applyAlignment="0" applyProtection="0"/>
    <xf numFmtId="0" fontId="238" fillId="59" borderId="673" applyNumberFormat="0" applyAlignment="0" applyProtection="0"/>
    <xf numFmtId="0" fontId="229" fillId="83" borderId="668" applyAlignment="0">
      <alignment horizontal="center"/>
    </xf>
    <xf numFmtId="0" fontId="213" fillId="65" borderId="664" applyNumberFormat="0" applyAlignment="0" applyProtection="0"/>
    <xf numFmtId="0" fontId="238" fillId="59"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80" borderId="664" applyNumberFormat="0" applyAlignment="0" applyProtection="0"/>
    <xf numFmtId="0" fontId="213" fillId="65" borderId="664" applyNumberFormat="0" applyAlignment="0" applyProtection="0"/>
    <xf numFmtId="0" fontId="213" fillId="80" borderId="664" applyNumberFormat="0" applyAlignment="0" applyProtection="0"/>
    <xf numFmtId="0" fontId="203" fillId="81" borderId="692" applyNumberFormat="0" applyFont="0" applyAlignment="0" applyProtection="0"/>
    <xf numFmtId="182" fontId="225" fillId="0" borderId="690" applyFill="0" applyProtection="0"/>
    <xf numFmtId="0" fontId="8" fillId="81" borderId="665" applyNumberFormat="0" applyFont="0" applyAlignment="0" applyProtection="0"/>
    <xf numFmtId="0" fontId="176"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76"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16" fillId="78" borderId="666" applyNumberFormat="0" applyAlignment="0" applyProtection="0"/>
    <xf numFmtId="0" fontId="174" fillId="0" borderId="669" applyNumberFormat="0" applyFill="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153" fillId="0" borderId="689">
      <alignment horizontal="left" vertical="center"/>
    </xf>
    <xf numFmtId="0" fontId="203" fillId="81" borderId="665" applyNumberFormat="0" applyFont="0" applyAlignment="0" applyProtection="0"/>
    <xf numFmtId="0" fontId="206" fillId="78" borderId="664" applyNumberFormat="0" applyAlignment="0" applyProtection="0"/>
    <xf numFmtId="0" fontId="176" fillId="81" borderId="665" applyNumberFormat="0" applyFont="0" applyAlignment="0" applyProtection="0"/>
    <xf numFmtId="0" fontId="238" fillId="59"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216" fillId="59" borderId="666" applyNumberFormat="0" applyAlignment="0" applyProtection="0"/>
    <xf numFmtId="0" fontId="213" fillId="80" borderId="664" applyNumberFormat="0" applyAlignment="0" applyProtection="0"/>
    <xf numFmtId="0" fontId="176" fillId="81" borderId="665" applyNumberFormat="0" applyFont="0" applyAlignment="0" applyProtection="0"/>
    <xf numFmtId="182" fontId="225" fillId="0" borderId="690" applyFill="0" applyProtection="0"/>
    <xf numFmtId="0" fontId="203" fillId="81" borderId="692" applyNumberFormat="0" applyFont="0" applyAlignment="0" applyProtection="0"/>
    <xf numFmtId="200" fontId="225" fillId="0" borderId="690" applyFill="0" applyProtection="0"/>
    <xf numFmtId="182" fontId="225" fillId="0" borderId="690" applyFill="0" applyProtection="0"/>
    <xf numFmtId="0" fontId="213" fillId="65" borderId="691"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65"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176"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176" fillId="81" borderId="674" applyNumberFormat="0" applyFont="0" applyAlignment="0" applyProtection="0"/>
    <xf numFmtId="0" fontId="216" fillId="59" borderId="675" applyNumberFormat="0" applyAlignment="0" applyProtection="0"/>
    <xf numFmtId="0" fontId="174" fillId="0" borderId="676" applyNumberFormat="0" applyFill="0" applyAlignment="0" applyProtection="0"/>
    <xf numFmtId="0" fontId="206" fillId="78" borderId="673" applyNumberFormat="0" applyAlignment="0" applyProtection="0"/>
    <xf numFmtId="0" fontId="206" fillId="78" borderId="673" applyNumberFormat="0" applyAlignment="0" applyProtection="0"/>
    <xf numFmtId="182" fontId="225" fillId="0" borderId="672" applyFill="0" applyProtection="0"/>
    <xf numFmtId="182" fontId="225" fillId="0" borderId="672" applyFill="0" applyProtection="0"/>
    <xf numFmtId="182" fontId="225" fillId="0" borderId="672" applyFill="0" applyProtection="0"/>
    <xf numFmtId="200" fontId="225" fillId="0" borderId="672" applyFill="0" applyProtection="0"/>
    <xf numFmtId="200" fontId="225" fillId="0" borderId="672" applyFill="0" applyProtection="0"/>
    <xf numFmtId="200" fontId="225" fillId="0" borderId="672" applyFill="0" applyProtection="0"/>
    <xf numFmtId="0" fontId="153" fillId="0" borderId="671">
      <alignment horizontal="left" vertical="center"/>
    </xf>
    <xf numFmtId="0" fontId="229" fillId="83" borderId="677" applyAlignment="0">
      <alignment horizontal="center"/>
    </xf>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29" fillId="83" borderId="677" applyAlignment="0">
      <alignment horizontal="center"/>
    </xf>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6" fillId="78" borderId="666" applyNumberFormat="0" applyAlignment="0" applyProtection="0"/>
    <xf numFmtId="0" fontId="174" fillId="0" borderId="669" applyNumberFormat="0" applyFill="0" applyAlignment="0" applyProtection="0"/>
    <xf numFmtId="0" fontId="229" fillId="83" borderId="677" applyAlignment="0">
      <alignment horizontal="center"/>
    </xf>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13" fillId="65" borderId="664" applyNumberForma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6" fillId="78" borderId="664" applyNumberFormat="0" applyAlignment="0" applyProtection="0"/>
    <xf numFmtId="0" fontId="176" fillId="81" borderId="665" applyNumberFormat="0" applyFont="0" applyAlignment="0" applyProtection="0"/>
    <xf numFmtId="0" fontId="238" fillId="59" borderId="664" applyNumberFormat="0" applyAlignment="0" applyProtection="0"/>
    <xf numFmtId="0" fontId="213" fillId="80" borderId="664" applyNumberFormat="0" applyAlignment="0" applyProtection="0"/>
    <xf numFmtId="0" fontId="8" fillId="81" borderId="665" applyNumberFormat="0" applyFont="0" applyAlignment="0" applyProtection="0"/>
    <xf numFmtId="0" fontId="216" fillId="59" borderId="666" applyNumberFormat="0" applyAlignment="0" applyProtection="0"/>
    <xf numFmtId="0" fontId="174" fillId="0" borderId="667" applyNumberFormat="0" applyFill="0" applyAlignment="0" applyProtection="0"/>
    <xf numFmtId="0" fontId="213" fillId="80" borderId="664" applyNumberFormat="0" applyAlignment="0" applyProtection="0"/>
    <xf numFmtId="0" fontId="229" fillId="83" borderId="677" applyAlignment="0">
      <alignment horizontal="center"/>
    </xf>
    <xf numFmtId="0" fontId="176" fillId="81" borderId="665" applyNumberFormat="0" applyFont="0" applyAlignment="0" applyProtection="0"/>
    <xf numFmtId="0" fontId="213" fillId="65" borderId="673" applyNumberFormat="0" applyAlignment="0" applyProtection="0"/>
    <xf numFmtId="0" fontId="216" fillId="78" borderId="675" applyNumberFormat="0" applyAlignment="0" applyProtection="0"/>
    <xf numFmtId="0" fontId="174" fillId="0" borderId="678" applyNumberFormat="0" applyFill="0" applyAlignment="0" applyProtection="0"/>
    <xf numFmtId="0" fontId="216" fillId="78" borderId="675" applyNumberFormat="0" applyAlignment="0" applyProtection="0"/>
    <xf numFmtId="0" fontId="174" fillId="0" borderId="678" applyNumberFormat="0" applyFill="0" applyAlignment="0" applyProtection="0"/>
    <xf numFmtId="182" fontId="225" fillId="0" borderId="672" applyFill="0" applyProtection="0"/>
    <xf numFmtId="200" fontId="225" fillId="0" borderId="672" applyFill="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3" fillId="65" borderId="673" applyNumberFormat="0" applyAlignment="0" applyProtection="0"/>
    <xf numFmtId="0" fontId="203" fillId="81" borderId="674" applyNumberFormat="0" applyFont="0" applyAlignment="0" applyProtection="0"/>
    <xf numFmtId="0" fontId="216" fillId="78" borderId="675" applyNumberFormat="0" applyAlignment="0" applyProtection="0"/>
    <xf numFmtId="0" fontId="174" fillId="0" borderId="678" applyNumberFormat="0" applyFill="0" applyAlignment="0" applyProtection="0"/>
    <xf numFmtId="0" fontId="249" fillId="59" borderId="673" applyNumberFormat="0" applyAlignment="0" applyProtection="0"/>
    <xf numFmtId="0" fontId="254" fillId="80" borderId="673" applyNumberFormat="0" applyAlignment="0" applyProtection="0"/>
    <xf numFmtId="0" fontId="257" fillId="59" borderId="675" applyNumberFormat="0" applyAlignment="0" applyProtection="0"/>
    <xf numFmtId="0" fontId="244" fillId="0" borderId="672" applyNumberFormat="0" applyFont="0" applyFill="0" applyAlignment="0" applyProtection="0"/>
    <xf numFmtId="0" fontId="178" fillId="0" borderId="679" applyProtection="0"/>
    <xf numFmtId="0" fontId="176" fillId="81" borderId="674" applyNumberFormat="0" applyFont="0" applyAlignment="0" applyProtection="0"/>
    <xf numFmtId="0" fontId="8" fillId="81" borderId="674" applyNumberFormat="0" applyFont="0" applyAlignment="0" applyProtection="0"/>
    <xf numFmtId="182" fontId="225" fillId="0" borderId="672" applyFill="0" applyProtection="0"/>
    <xf numFmtId="200" fontId="225" fillId="0" borderId="672" applyFill="0" applyProtection="0"/>
    <xf numFmtId="0" fontId="213" fillId="65" borderId="673" applyNumberFormat="0" applyAlignment="0" applyProtection="0"/>
    <xf numFmtId="0" fontId="203" fillId="81" borderId="674" applyNumberFormat="0" applyFont="0" applyAlignment="0" applyProtection="0"/>
    <xf numFmtId="0" fontId="203" fillId="81" borderId="674" applyNumberFormat="0" applyFont="0" applyAlignment="0" applyProtection="0"/>
    <xf numFmtId="182" fontId="225" fillId="0" borderId="672" applyFill="0" applyProtection="0"/>
    <xf numFmtId="200" fontId="225" fillId="0" borderId="672" applyFill="0" applyProtection="0"/>
    <xf numFmtId="0" fontId="153" fillId="0" borderId="671">
      <alignment horizontal="left" vertical="center"/>
    </xf>
    <xf numFmtId="0" fontId="203" fillId="81" borderId="674" applyNumberFormat="0" applyFont="0" applyAlignment="0" applyProtection="0"/>
    <xf numFmtId="0" fontId="153" fillId="0" borderId="671">
      <alignment horizontal="left" vertical="center"/>
    </xf>
    <xf numFmtId="0" fontId="213" fillId="80" borderId="673" applyNumberFormat="0" applyAlignment="0" applyProtection="0"/>
    <xf numFmtId="0" fontId="8" fillId="81" borderId="674" applyNumberFormat="0" applyFont="0" applyAlignment="0" applyProtection="0"/>
    <xf numFmtId="182" fontId="225" fillId="0" borderId="672" applyFill="0" applyProtection="0"/>
    <xf numFmtId="200" fontId="225" fillId="0" borderId="672" applyFill="0" applyProtection="0"/>
    <xf numFmtId="182" fontId="225" fillId="0" borderId="672" applyFill="0" applyProtection="0"/>
    <xf numFmtId="200" fontId="225" fillId="0" borderId="672" applyFill="0" applyProtection="0"/>
    <xf numFmtId="0" fontId="153" fillId="0" borderId="671">
      <alignment horizontal="left" vertical="center"/>
    </xf>
    <xf numFmtId="0" fontId="203" fillId="81" borderId="665" applyNumberFormat="0" applyFont="0" applyAlignment="0" applyProtection="0"/>
    <xf numFmtId="182" fontId="225" fillId="0" borderId="672" applyFill="0" applyProtection="0"/>
    <xf numFmtId="200" fontId="225" fillId="0" borderId="672" applyFill="0" applyProtection="0"/>
    <xf numFmtId="0" fontId="176" fillId="81" borderId="674" applyNumberFormat="0" applyFont="0" applyAlignment="0" applyProtection="0"/>
    <xf numFmtId="0" fontId="203" fillId="81" borderId="674"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03" fillId="81" borderId="665" applyNumberFormat="0" applyFont="0" applyAlignment="0" applyProtection="0"/>
    <xf numFmtId="0" fontId="213" fillId="65" borderId="673" applyNumberFormat="0" applyAlignment="0" applyProtection="0"/>
    <xf numFmtId="0" fontId="238" fillId="59" borderId="682" applyNumberFormat="0" applyAlignment="0" applyProtection="0"/>
    <xf numFmtId="0" fontId="213" fillId="65" borderId="673" applyNumberFormat="0" applyAlignment="0" applyProtection="0"/>
    <xf numFmtId="182" fontId="225" fillId="0" borderId="690" applyFill="0" applyProtection="0"/>
    <xf numFmtId="200" fontId="225" fillId="0" borderId="690" applyFill="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200" fontId="225" fillId="0" borderId="690" applyFill="0" applyProtection="0"/>
    <xf numFmtId="0" fontId="206" fillId="78" borderId="673" applyNumberFormat="0" applyAlignment="0" applyProtection="0"/>
    <xf numFmtId="0" fontId="238" fillId="59" borderId="673" applyNumberFormat="0" applyAlignment="0" applyProtection="0"/>
    <xf numFmtId="0" fontId="213" fillId="80" borderId="673" applyNumberFormat="0" applyAlignment="0" applyProtection="0"/>
    <xf numFmtId="0" fontId="213" fillId="80" borderId="673" applyNumberFormat="0" applyAlignment="0" applyProtection="0"/>
    <xf numFmtId="0" fontId="174" fillId="0" borderId="694" applyNumberFormat="0" applyFill="0" applyAlignment="0" applyProtection="0"/>
    <xf numFmtId="0" fontId="176" fillId="81" borderId="692" applyNumberFormat="0" applyFont="0" applyAlignment="0" applyProtection="0"/>
    <xf numFmtId="0" fontId="213" fillId="65" borderId="682" applyNumberFormat="0" applyAlignment="0" applyProtection="0"/>
    <xf numFmtId="0" fontId="206" fillId="78" borderId="691"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80" borderId="682" applyNumberFormat="0" applyAlignment="0" applyProtection="0"/>
    <xf numFmtId="0" fontId="213" fillId="65" borderId="682" applyNumberFormat="0" applyAlignment="0" applyProtection="0"/>
    <xf numFmtId="0" fontId="213" fillId="80" borderId="682" applyNumberFormat="0" applyAlignment="0" applyProtection="0"/>
    <xf numFmtId="0" fontId="8" fillId="81" borderId="683" applyNumberFormat="0" applyFont="0" applyAlignment="0" applyProtection="0"/>
    <xf numFmtId="0" fontId="176"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176" fillId="81" borderId="683" applyNumberFormat="0" applyFont="0" applyAlignment="0" applyProtection="0"/>
    <xf numFmtId="0" fontId="216" fillId="59" borderId="684" applyNumberFormat="0" applyAlignment="0" applyProtection="0"/>
    <xf numFmtId="0" fontId="174" fillId="0" borderId="685" applyNumberFormat="0" applyFill="0" applyAlignment="0" applyProtection="0"/>
    <xf numFmtId="0" fontId="206" fillId="78" borderId="682" applyNumberFormat="0" applyAlignment="0" applyProtection="0"/>
    <xf numFmtId="0" fontId="206" fillId="78" borderId="682" applyNumberFormat="0" applyAlignment="0" applyProtection="0"/>
    <xf numFmtId="182" fontId="225" fillId="0" borderId="681" applyFill="0" applyProtection="0"/>
    <xf numFmtId="182" fontId="225" fillId="0" borderId="681" applyFill="0" applyProtection="0"/>
    <xf numFmtId="182" fontId="225" fillId="0" borderId="681" applyFill="0" applyProtection="0"/>
    <xf numFmtId="200" fontId="225" fillId="0" borderId="681" applyFill="0" applyProtection="0"/>
    <xf numFmtId="200" fontId="225" fillId="0" borderId="681" applyFill="0" applyProtection="0"/>
    <xf numFmtId="200" fontId="225" fillId="0" borderId="681" applyFill="0" applyProtection="0"/>
    <xf numFmtId="0" fontId="153" fillId="0" borderId="680">
      <alignment horizontal="left" vertical="center"/>
    </xf>
    <xf numFmtId="0" fontId="229" fillId="83" borderId="686" applyAlignment="0">
      <alignment horizontal="center"/>
    </xf>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13" fillId="65" borderId="682" applyNumberFormat="0" applyAlignment="0" applyProtection="0"/>
    <xf numFmtId="0" fontId="229" fillId="83" borderId="686" applyAlignment="0">
      <alignment horizontal="center"/>
    </xf>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29" fillId="83" borderId="686" applyAlignment="0">
      <alignment horizontal="center"/>
    </xf>
    <xf numFmtId="0" fontId="229" fillId="83" borderId="686" applyAlignment="0">
      <alignment horizontal="center"/>
    </xf>
    <xf numFmtId="0" fontId="213" fillId="65" borderId="682" applyNumberFormat="0" applyAlignment="0" applyProtection="0"/>
    <xf numFmtId="0" fontId="216" fillId="78" borderId="684" applyNumberFormat="0" applyAlignment="0" applyProtection="0"/>
    <xf numFmtId="0" fontId="174" fillId="0" borderId="687" applyNumberFormat="0" applyFill="0" applyAlignment="0" applyProtection="0"/>
    <xf numFmtId="0" fontId="216" fillId="78" borderId="684" applyNumberFormat="0" applyAlignment="0" applyProtection="0"/>
    <xf numFmtId="0" fontId="174" fillId="0" borderId="687" applyNumberFormat="0" applyFill="0" applyAlignment="0" applyProtection="0"/>
    <xf numFmtId="182" fontId="225" fillId="0" borderId="681" applyFill="0" applyProtection="0"/>
    <xf numFmtId="200" fontId="225" fillId="0" borderId="681" applyFill="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03" fillId="81" borderId="683" applyNumberFormat="0" applyFont="0" applyAlignment="0" applyProtection="0"/>
    <xf numFmtId="0" fontId="213" fillId="65" borderId="682" applyNumberFormat="0" applyAlignment="0" applyProtection="0"/>
    <xf numFmtId="0" fontId="203" fillId="81" borderId="683" applyNumberFormat="0" applyFont="0" applyAlignment="0" applyProtection="0"/>
    <xf numFmtId="0" fontId="216" fillId="78" borderId="684" applyNumberFormat="0" applyAlignment="0" applyProtection="0"/>
    <xf numFmtId="0" fontId="174" fillId="0" borderId="687" applyNumberFormat="0" applyFill="0" applyAlignment="0" applyProtection="0"/>
    <xf numFmtId="0" fontId="249" fillId="59" borderId="682" applyNumberFormat="0" applyAlignment="0" applyProtection="0"/>
    <xf numFmtId="0" fontId="254" fillId="80" borderId="682" applyNumberFormat="0" applyAlignment="0" applyProtection="0"/>
    <xf numFmtId="0" fontId="257" fillId="59" borderId="684" applyNumberFormat="0" applyAlignment="0" applyProtection="0"/>
    <xf numFmtId="0" fontId="244" fillId="0" borderId="681" applyNumberFormat="0" applyFont="0" applyFill="0" applyAlignment="0" applyProtection="0"/>
    <xf numFmtId="0" fontId="178" fillId="0" borderId="688" applyProtection="0"/>
    <xf numFmtId="0" fontId="176" fillId="81" borderId="683" applyNumberFormat="0" applyFont="0" applyAlignment="0" applyProtection="0"/>
    <xf numFmtId="0" fontId="8" fillId="81" borderId="683" applyNumberFormat="0" applyFont="0" applyAlignment="0" applyProtection="0"/>
    <xf numFmtId="182" fontId="225" fillId="0" borderId="681" applyFill="0" applyProtection="0"/>
    <xf numFmtId="200" fontId="225" fillId="0" borderId="681" applyFill="0" applyProtection="0"/>
    <xf numFmtId="0" fontId="213" fillId="65" borderId="682" applyNumberFormat="0" applyAlignment="0" applyProtection="0"/>
    <xf numFmtId="0" fontId="203" fillId="81" borderId="683" applyNumberFormat="0" applyFont="0" applyAlignment="0" applyProtection="0"/>
    <xf numFmtId="0" fontId="203" fillId="81" borderId="683" applyNumberFormat="0" applyFont="0" applyAlignment="0" applyProtection="0"/>
    <xf numFmtId="182" fontId="225" fillId="0" borderId="681" applyFill="0" applyProtection="0"/>
    <xf numFmtId="200" fontId="225" fillId="0" borderId="681" applyFill="0" applyProtection="0"/>
    <xf numFmtId="0" fontId="153" fillId="0" borderId="680">
      <alignment horizontal="left" vertical="center"/>
    </xf>
    <xf numFmtId="0" fontId="203" fillId="81" borderId="683" applyNumberFormat="0" applyFont="0" applyAlignment="0" applyProtection="0"/>
    <xf numFmtId="0" fontId="153" fillId="0" borderId="680">
      <alignment horizontal="left" vertical="center"/>
    </xf>
    <xf numFmtId="0" fontId="213" fillId="80" borderId="682" applyNumberFormat="0" applyAlignment="0" applyProtection="0"/>
    <xf numFmtId="0" fontId="8" fillId="81" borderId="683" applyNumberFormat="0" applyFont="0" applyAlignment="0" applyProtection="0"/>
    <xf numFmtId="182" fontId="225" fillId="0" borderId="681" applyFill="0" applyProtection="0"/>
    <xf numFmtId="200" fontId="225" fillId="0" borderId="681" applyFill="0" applyProtection="0"/>
    <xf numFmtId="182" fontId="225" fillId="0" borderId="681" applyFill="0" applyProtection="0"/>
    <xf numFmtId="200" fontId="225" fillId="0" borderId="681" applyFill="0" applyProtection="0"/>
    <xf numFmtId="0" fontId="153" fillId="0" borderId="680">
      <alignment horizontal="left" vertical="center"/>
    </xf>
    <xf numFmtId="182" fontId="225" fillId="0" borderId="681" applyFill="0" applyProtection="0"/>
    <xf numFmtId="200" fontId="225" fillId="0" borderId="681" applyFill="0" applyProtection="0"/>
    <xf numFmtId="0" fontId="176" fillId="81" borderId="683" applyNumberFormat="0" applyFont="0" applyAlignment="0" applyProtection="0"/>
    <xf numFmtId="0" fontId="203" fillId="81" borderId="683" applyNumberFormat="0" applyFont="0" applyAlignment="0" applyProtection="0"/>
    <xf numFmtId="0" fontId="213" fillId="65" borderId="682" applyNumberFormat="0" applyAlignment="0" applyProtection="0"/>
    <xf numFmtId="0" fontId="229" fillId="83" borderId="650" applyAlignment="0">
      <alignment horizontal="center"/>
    </xf>
    <xf numFmtId="0" fontId="203" fillId="81" borderId="665" applyNumberFormat="0" applyFont="0" applyAlignment="0" applyProtection="0"/>
    <xf numFmtId="200" fontId="225" fillId="0" borderId="879" applyFill="0" applyProtection="0"/>
    <xf numFmtId="0" fontId="249" fillId="59" borderId="727" applyNumberFormat="0" applyAlignment="0" applyProtection="0"/>
    <xf numFmtId="0" fontId="206" fillId="78" borderId="871" applyNumberFormat="0" applyAlignment="0" applyProtection="0"/>
    <xf numFmtId="0" fontId="8" fillId="81" borderId="755" applyNumberFormat="0" applyFont="0" applyAlignment="0" applyProtection="0"/>
    <xf numFmtId="0" fontId="203" fillId="81" borderId="1034" applyNumberFormat="0" applyFont="0" applyAlignment="0" applyProtection="0"/>
    <xf numFmtId="0" fontId="213" fillId="65" borderId="691" applyNumberForma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1006" applyNumberFormat="0" applyAlignment="0" applyProtection="0"/>
    <xf numFmtId="0" fontId="213" fillId="65" borderId="745" applyNumberFormat="0" applyAlignment="0" applyProtection="0"/>
    <xf numFmtId="0" fontId="174" fillId="0" borderId="1001" applyNumberFormat="0" applyFill="0" applyAlignment="0" applyProtection="0"/>
    <xf numFmtId="200" fontId="225" fillId="0" borderId="996" applyFill="0" applyProtection="0"/>
    <xf numFmtId="0" fontId="203" fillId="81" borderId="773" applyNumberFormat="0" applyFont="0" applyAlignment="0" applyProtection="0"/>
    <xf numFmtId="0" fontId="213" fillId="80" borderId="907" applyNumberFormat="0" applyAlignment="0" applyProtection="0"/>
    <xf numFmtId="182" fontId="225" fillId="0" borderId="690" applyFill="0" applyProtection="0"/>
    <xf numFmtId="200" fontId="225" fillId="0" borderId="690" applyFill="0" applyProtection="0"/>
    <xf numFmtId="0" fontId="213" fillId="80" borderId="826" applyNumberFormat="0" applyAlignment="0" applyProtection="0"/>
    <xf numFmtId="0" fontId="203" fillId="81" borderId="755" applyNumberFormat="0" applyFont="0" applyAlignment="0" applyProtection="0"/>
    <xf numFmtId="200" fontId="225" fillId="0" borderId="951" applyFill="0" applyProtection="0"/>
    <xf numFmtId="0" fontId="213" fillId="65" borderId="745" applyNumberFormat="0" applyAlignment="0" applyProtection="0"/>
    <xf numFmtId="0" fontId="153" fillId="0" borderId="905">
      <alignment horizontal="left" vertical="center"/>
    </xf>
    <xf numFmtId="0" fontId="213" fillId="65" borderId="961" applyNumberFormat="0" applyAlignment="0" applyProtection="0"/>
    <xf numFmtId="0" fontId="176" fillId="81" borderId="926" applyNumberFormat="0" applyFont="0" applyAlignment="0" applyProtection="0"/>
    <xf numFmtId="0" fontId="213" fillId="65" borderId="880" applyNumberFormat="0" applyAlignment="0" applyProtection="0"/>
    <xf numFmtId="0" fontId="203" fillId="81" borderId="836" applyNumberFormat="0" applyFont="0" applyAlignment="0" applyProtection="0"/>
    <xf numFmtId="200" fontId="225" fillId="0" borderId="1050" applyFill="0" applyProtection="0"/>
    <xf numFmtId="0" fontId="213" fillId="65" borderId="790" applyNumberFormat="0" applyAlignment="0" applyProtection="0"/>
    <xf numFmtId="0" fontId="213" fillId="65" borderId="1015" applyNumberFormat="0" applyAlignment="0" applyProtection="0"/>
    <xf numFmtId="0" fontId="203" fillId="81" borderId="818" applyNumberFormat="0" applyFont="0" applyAlignment="0" applyProtection="0"/>
    <xf numFmtId="0" fontId="213" fillId="65" borderId="835" applyNumberFormat="0" applyAlignment="0" applyProtection="0"/>
    <xf numFmtId="200" fontId="225" fillId="0" borderId="726" applyFill="0" applyProtection="0"/>
    <xf numFmtId="0" fontId="203" fillId="81" borderId="962"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174" fillId="0" borderId="911" applyNumberFormat="0" applyFill="0" applyAlignment="0" applyProtection="0"/>
    <xf numFmtId="0" fontId="174" fillId="0" borderId="921" applyNumberFormat="0" applyFill="0" applyAlignment="0" applyProtection="0"/>
    <xf numFmtId="0" fontId="213" fillId="65" borderId="745" applyNumberFormat="0" applyAlignment="0" applyProtection="0"/>
    <xf numFmtId="200" fontId="225" fillId="0" borderId="744" applyFill="0" applyProtection="0"/>
    <xf numFmtId="0" fontId="213" fillId="65" borderId="862" applyNumberFormat="0" applyAlignment="0" applyProtection="0"/>
    <xf numFmtId="0" fontId="203" fillId="81" borderId="746" applyNumberFormat="0" applyFont="0" applyAlignment="0" applyProtection="0"/>
    <xf numFmtId="0" fontId="174" fillId="0" borderId="966" applyNumberFormat="0" applyFill="0" applyAlignment="0" applyProtection="0"/>
    <xf numFmtId="0" fontId="229" fillId="83" borderId="965" applyAlignment="0">
      <alignment horizontal="center"/>
    </xf>
    <xf numFmtId="0" fontId="213" fillId="65" borderId="745" applyNumberFormat="0" applyAlignment="0" applyProtection="0"/>
    <xf numFmtId="0" fontId="213" fillId="65" borderId="871"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73" applyNumberFormat="0" applyFont="0" applyAlignment="0" applyProtection="0"/>
    <xf numFmtId="0" fontId="213" fillId="65" borderId="745" applyNumberFormat="0" applyAlignment="0" applyProtection="0"/>
    <xf numFmtId="0" fontId="203" fillId="81" borderId="908" applyNumberFormat="0" applyFont="0" applyAlignment="0" applyProtection="0"/>
    <xf numFmtId="182" fontId="225" fillId="0" borderId="915" applyFill="0" applyProtection="0"/>
    <xf numFmtId="0" fontId="216" fillId="78" borderId="747"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45" applyNumberFormat="0" applyAlignment="0" applyProtection="0"/>
    <xf numFmtId="0" fontId="213" fillId="65" borderId="952" applyNumberFormat="0" applyAlignment="0" applyProtection="0"/>
    <xf numFmtId="0" fontId="203" fillId="81" borderId="926" applyNumberFormat="0" applyFont="0" applyAlignment="0" applyProtection="0"/>
    <xf numFmtId="0" fontId="213" fillId="65" borderId="970" applyNumberFormat="0" applyAlignment="0" applyProtection="0"/>
    <xf numFmtId="0" fontId="203" fillId="81" borderId="836" applyNumberFormat="0" applyFont="0" applyAlignment="0" applyProtection="0"/>
    <xf numFmtId="0" fontId="213" fillId="65" borderId="790" applyNumberFormat="0" applyAlignment="0" applyProtection="0"/>
    <xf numFmtId="200" fontId="225" fillId="0" borderId="915" applyFill="0" applyProtection="0"/>
    <xf numFmtId="0" fontId="213" fillId="65" borderId="790" applyNumberFormat="0" applyAlignment="0" applyProtection="0"/>
    <xf numFmtId="0" fontId="153" fillId="0" borderId="833">
      <alignment horizontal="left" vertical="center"/>
    </xf>
    <xf numFmtId="0" fontId="213" fillId="65" borderId="790" applyNumberFormat="0" applyAlignment="0" applyProtection="0"/>
    <xf numFmtId="0" fontId="213" fillId="65" borderId="835" applyNumberFormat="0" applyAlignment="0" applyProtection="0"/>
    <xf numFmtId="0" fontId="213" fillId="65" borderId="961" applyNumberFormat="0" applyAlignment="0" applyProtection="0"/>
    <xf numFmtId="0" fontId="203" fillId="81" borderId="908" applyNumberFormat="0" applyFont="0" applyAlignment="0" applyProtection="0"/>
    <xf numFmtId="200" fontId="225" fillId="0" borderId="834" applyFill="0" applyProtection="0"/>
    <xf numFmtId="0" fontId="213" fillId="65" borderId="997" applyNumberFormat="0" applyAlignment="0" applyProtection="0"/>
    <xf numFmtId="0" fontId="213" fillId="65" borderId="790" applyNumberFormat="0" applyAlignment="0" applyProtection="0"/>
    <xf numFmtId="0" fontId="203" fillId="81" borderId="791" applyNumberFormat="0" applyFont="0" applyAlignment="0" applyProtection="0"/>
    <xf numFmtId="0" fontId="229" fillId="83" borderId="794" applyAlignment="0">
      <alignment horizontal="center"/>
    </xf>
    <xf numFmtId="0" fontId="203" fillId="81" borderId="998"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200" fontId="225" fillId="0" borderId="834" applyFill="0" applyProtection="0"/>
    <xf numFmtId="0" fontId="213" fillId="65" borderId="835" applyNumberFormat="0" applyAlignment="0" applyProtection="0"/>
    <xf numFmtId="0" fontId="213" fillId="65" borderId="835" applyNumberFormat="0" applyAlignment="0" applyProtection="0"/>
    <xf numFmtId="0" fontId="254" fillId="80" borderId="772" applyNumberFormat="0" applyAlignment="0" applyProtection="0"/>
    <xf numFmtId="0" fontId="203" fillId="81" borderId="791" applyNumberFormat="0" applyFont="0" applyAlignment="0" applyProtection="0"/>
    <xf numFmtId="0" fontId="216" fillId="78" borderId="792" applyNumberFormat="0" applyAlignment="0" applyProtection="0"/>
    <xf numFmtId="0" fontId="203" fillId="81" borderId="791" applyNumberFormat="0" applyFont="0" applyAlignment="0" applyProtection="0"/>
    <xf numFmtId="200" fontId="225" fillId="0" borderId="789" applyFill="0" applyProtection="0"/>
    <xf numFmtId="0" fontId="229" fillId="83" borderId="794" applyAlignment="0">
      <alignment horizontal="center"/>
    </xf>
    <xf numFmtId="0" fontId="213" fillId="65" borderId="790" applyNumberFormat="0" applyAlignment="0" applyProtection="0"/>
    <xf numFmtId="0" fontId="229" fillId="83" borderId="794" applyAlignment="0">
      <alignment horizontal="center"/>
    </xf>
    <xf numFmtId="0" fontId="203" fillId="81" borderId="791" applyNumberFormat="0" applyFont="0" applyAlignment="0" applyProtection="0"/>
    <xf numFmtId="0" fontId="213" fillId="65" borderId="1042" applyNumberFormat="0" applyAlignment="0" applyProtection="0"/>
    <xf numFmtId="0" fontId="206" fillId="78" borderId="961" applyNumberFormat="0" applyAlignment="0" applyProtection="0"/>
    <xf numFmtId="0" fontId="213" fillId="65" borderId="817" applyNumberFormat="0" applyAlignment="0" applyProtection="0"/>
    <xf numFmtId="0" fontId="213" fillId="80" borderId="826" applyNumberFormat="0" applyAlignment="0" applyProtection="0"/>
    <xf numFmtId="0" fontId="203" fillId="81" borderId="827" applyNumberFormat="0" applyFont="0" applyAlignment="0" applyProtection="0"/>
    <xf numFmtId="0" fontId="254" fillId="80" borderId="880" applyNumberFormat="0" applyAlignment="0" applyProtection="0"/>
    <xf numFmtId="0" fontId="213" fillId="80" borderId="1042" applyNumberFormat="0" applyAlignment="0" applyProtection="0"/>
    <xf numFmtId="0" fontId="203" fillId="81" borderId="827" applyNumberFormat="0" applyFont="0" applyAlignment="0" applyProtection="0"/>
    <xf numFmtId="0" fontId="213" fillId="80" borderId="1051" applyNumberFormat="0" applyAlignment="0" applyProtection="0"/>
    <xf numFmtId="0" fontId="213" fillId="65" borderId="1015" applyNumberFormat="0" applyAlignment="0" applyProtection="0"/>
    <xf numFmtId="182" fontId="225" fillId="0" borderId="861" applyFill="0" applyProtection="0"/>
    <xf numFmtId="0" fontId="174" fillId="0" borderId="776" applyNumberFormat="0" applyFill="0" applyAlignment="0" applyProtection="0"/>
    <xf numFmtId="0" fontId="174" fillId="0" borderId="910" applyNumberFormat="0" applyFill="0" applyAlignment="0" applyProtection="0"/>
    <xf numFmtId="0" fontId="229" fillId="83" borderId="749" applyAlignment="0">
      <alignment horizontal="center"/>
    </xf>
    <xf numFmtId="0" fontId="206" fillId="78" borderId="772" applyNumberFormat="0" applyAlignment="0" applyProtection="0"/>
    <xf numFmtId="0" fontId="213" fillId="65" borderId="772" applyNumberFormat="0" applyAlignment="0" applyProtection="0"/>
    <xf numFmtId="0" fontId="203" fillId="81" borderId="998" applyNumberFormat="0" applyFont="0" applyAlignment="0" applyProtection="0"/>
    <xf numFmtId="0" fontId="213" fillId="65" borderId="772" applyNumberFormat="0" applyAlignment="0" applyProtection="0"/>
    <xf numFmtId="0" fontId="206" fillId="78" borderId="907" applyNumberFormat="0" applyAlignment="0" applyProtection="0"/>
    <xf numFmtId="0" fontId="213" fillId="65" borderId="997" applyNumberFormat="0" applyAlignment="0" applyProtection="0"/>
    <xf numFmtId="0" fontId="176" fillId="81" borderId="710" applyNumberFormat="0" applyFont="0" applyAlignment="0" applyProtection="0"/>
    <xf numFmtId="0" fontId="213" fillId="65" borderId="862" applyNumberFormat="0" applyAlignment="0" applyProtection="0"/>
    <xf numFmtId="0" fontId="213" fillId="65" borderId="817" applyNumberFormat="0" applyAlignment="0" applyProtection="0"/>
    <xf numFmtId="200" fontId="225" fillId="0" borderId="870" applyFill="0" applyProtection="0"/>
    <xf numFmtId="0" fontId="203" fillId="81" borderId="962" applyNumberFormat="0" applyFont="0" applyAlignment="0" applyProtection="0"/>
    <xf numFmtId="182" fontId="225" fillId="0" borderId="951" applyFill="0" applyProtection="0"/>
    <xf numFmtId="0" fontId="203" fillId="81" borderId="773" applyNumberFormat="0" applyFont="0" applyAlignment="0" applyProtection="0"/>
    <xf numFmtId="0" fontId="213" fillId="80" borderId="745" applyNumberFormat="0" applyAlignment="0" applyProtection="0"/>
    <xf numFmtId="200" fontId="225" fillId="0" borderId="744" applyFill="0" applyProtection="0"/>
    <xf numFmtId="0" fontId="213" fillId="65" borderId="1042" applyNumberFormat="0" applyAlignment="0" applyProtection="0"/>
    <xf numFmtId="0" fontId="213" fillId="65" borderId="745" applyNumberFormat="0" applyAlignment="0" applyProtection="0"/>
    <xf numFmtId="0" fontId="203" fillId="81" borderId="773" applyNumberFormat="0" applyFont="0" applyAlignment="0" applyProtection="0"/>
    <xf numFmtId="0" fontId="203" fillId="81" borderId="1061" applyNumberFormat="0" applyFont="0" applyAlignment="0" applyProtection="0"/>
    <xf numFmtId="0" fontId="174" fillId="0" borderId="748" applyNumberFormat="0" applyFill="0" applyAlignment="0" applyProtection="0"/>
    <xf numFmtId="182" fontId="225" fillId="0" borderId="726" applyFill="0" applyProtection="0"/>
    <xf numFmtId="0" fontId="213" fillId="80" borderId="745" applyNumberFormat="0" applyAlignment="0" applyProtection="0"/>
    <xf numFmtId="0" fontId="213" fillId="65" borderId="997" applyNumberFormat="0" applyAlignment="0" applyProtection="0"/>
    <xf numFmtId="182" fontId="225" fillId="0" borderId="744" applyFill="0" applyProtection="0"/>
    <xf numFmtId="0" fontId="213" fillId="65" borderId="745" applyNumberFormat="0" applyAlignment="0" applyProtection="0"/>
    <xf numFmtId="0" fontId="213" fillId="65" borderId="772" applyNumberFormat="0" applyAlignment="0" applyProtection="0"/>
    <xf numFmtId="0" fontId="213" fillId="65" borderId="745" applyNumberFormat="0" applyAlignment="0" applyProtection="0"/>
    <xf numFmtId="0" fontId="213" fillId="80" borderId="961" applyNumberFormat="0" applyAlignment="0" applyProtection="0"/>
    <xf numFmtId="0" fontId="203" fillId="81" borderId="746" applyNumberFormat="0" applyFont="0" applyAlignment="0" applyProtection="0"/>
    <xf numFmtId="0" fontId="213" fillId="65" borderId="745" applyNumberFormat="0" applyAlignment="0" applyProtection="0"/>
    <xf numFmtId="0" fontId="174" fillId="0" borderId="866" applyNumberFormat="0" applyFill="0" applyAlignment="0" applyProtection="0"/>
    <xf numFmtId="0" fontId="213" fillId="65" borderId="772" applyNumberFormat="0" applyAlignment="0" applyProtection="0"/>
    <xf numFmtId="0" fontId="213" fillId="65" borderId="745" applyNumberFormat="0" applyAlignment="0" applyProtection="0"/>
    <xf numFmtId="0" fontId="8" fillId="81" borderId="989" applyNumberFormat="0" applyFont="0" applyAlignment="0" applyProtection="0"/>
    <xf numFmtId="0" fontId="213" fillId="65" borderId="745" applyNumberFormat="0" applyAlignment="0" applyProtection="0"/>
    <xf numFmtId="0" fontId="206" fillId="78" borderId="961"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153" fillId="0" borderId="950">
      <alignment horizontal="left" vertical="center"/>
    </xf>
    <xf numFmtId="0" fontId="213" fillId="65" borderId="907" applyNumberFormat="0" applyAlignment="0" applyProtection="0"/>
    <xf numFmtId="0" fontId="216" fillId="78" borderId="954" applyNumberFormat="0" applyAlignment="0" applyProtection="0"/>
    <xf numFmtId="0" fontId="213" fillId="65" borderId="745" applyNumberFormat="0" applyAlignment="0" applyProtection="0"/>
    <xf numFmtId="0" fontId="203" fillId="81" borderId="917" applyNumberFormat="0" applyFont="0" applyAlignment="0" applyProtection="0"/>
    <xf numFmtId="0" fontId="213" fillId="65" borderId="745" applyNumberFormat="0" applyAlignment="0" applyProtection="0"/>
    <xf numFmtId="200" fontId="225" fillId="0" borderId="969" applyFill="0" applyProtection="0"/>
    <xf numFmtId="0" fontId="153" fillId="0" borderId="743">
      <alignment horizontal="left" vertical="center"/>
    </xf>
    <xf numFmtId="0" fontId="206" fillId="78" borderId="745" applyNumberFormat="0" applyAlignment="0" applyProtection="0"/>
    <xf numFmtId="0" fontId="216" fillId="59" borderId="747" applyNumberFormat="0" applyAlignment="0" applyProtection="0"/>
    <xf numFmtId="0" fontId="176" fillId="81" borderId="746" applyNumberFormat="0" applyFont="0" applyAlignment="0" applyProtection="0"/>
    <xf numFmtId="0" fontId="213" fillId="80" borderId="817" applyNumberFormat="0" applyAlignment="0" applyProtection="0"/>
    <xf numFmtId="0" fontId="176" fillId="81" borderId="1043" applyNumberFormat="0" applyFont="0" applyAlignment="0" applyProtection="0"/>
    <xf numFmtId="0" fontId="213" fillId="65" borderId="907" applyNumberFormat="0" applyAlignment="0" applyProtection="0"/>
    <xf numFmtId="0" fontId="249" fillId="59" borderId="961" applyNumberFormat="0" applyAlignment="0" applyProtection="0"/>
    <xf numFmtId="182" fontId="225" fillId="0" borderId="690" applyFill="0" applyProtection="0"/>
    <xf numFmtId="182" fontId="225" fillId="0" borderId="1059" applyFill="0" applyProtection="0"/>
    <xf numFmtId="200" fontId="225" fillId="0" borderId="690" applyFill="0" applyProtection="0"/>
    <xf numFmtId="200" fontId="225" fillId="0" borderId="861" applyFill="0" applyProtection="0"/>
    <xf numFmtId="0" fontId="153" fillId="0" borderId="689">
      <alignment horizontal="left" vertical="center"/>
    </xf>
    <xf numFmtId="0" fontId="153" fillId="0" borderId="689">
      <alignment horizontal="left" vertical="center"/>
    </xf>
    <xf numFmtId="0" fontId="213" fillId="65" borderId="691" applyNumberFormat="0" applyAlignment="0" applyProtection="0"/>
    <xf numFmtId="0" fontId="213" fillId="65" borderId="1006" applyNumberFormat="0" applyAlignment="0" applyProtection="0"/>
    <xf numFmtId="0" fontId="213" fillId="65" borderId="970" applyNumberFormat="0" applyAlignment="0" applyProtection="0"/>
    <xf numFmtId="0" fontId="213" fillId="80" borderId="691" applyNumberFormat="0" applyAlignment="0" applyProtection="0"/>
    <xf numFmtId="0" fontId="213" fillId="65" borderId="727" applyNumberFormat="0" applyAlignment="0" applyProtection="0"/>
    <xf numFmtId="0" fontId="216" fillId="78" borderId="792" applyNumberFormat="0" applyAlignment="0" applyProtection="0"/>
    <xf numFmtId="0" fontId="203" fillId="81" borderId="998" applyNumberFormat="0" applyFont="0" applyAlignment="0" applyProtection="0"/>
    <xf numFmtId="0" fontId="213" fillId="65" borderId="1006" applyNumberFormat="0" applyAlignment="0" applyProtection="0"/>
    <xf numFmtId="0" fontId="213" fillId="65" borderId="970" applyNumberFormat="0" applyAlignment="0" applyProtection="0"/>
    <xf numFmtId="0" fontId="203" fillId="81" borderId="1043" applyNumberFormat="0" applyFont="0" applyAlignment="0" applyProtection="0"/>
    <xf numFmtId="0" fontId="213" fillId="65" borderId="907" applyNumberFormat="0" applyAlignment="0" applyProtection="0"/>
    <xf numFmtId="0" fontId="213" fillId="65" borderId="817" applyNumberFormat="0" applyAlignment="0" applyProtection="0"/>
    <xf numFmtId="0" fontId="203" fillId="81" borderId="899" applyNumberFormat="0" applyFont="0" applyAlignment="0" applyProtection="0"/>
    <xf numFmtId="182" fontId="225" fillId="0" borderId="879" applyFill="0" applyProtection="0"/>
    <xf numFmtId="182" fontId="225" fillId="0" borderId="690" applyFill="0" applyProtection="0"/>
    <xf numFmtId="0" fontId="8" fillId="81" borderId="908" applyNumberFormat="0" applyFont="0" applyAlignment="0" applyProtection="0"/>
    <xf numFmtId="200" fontId="225" fillId="0" borderId="690" applyFill="0" applyProtection="0"/>
    <xf numFmtId="0" fontId="203" fillId="81" borderId="908" applyNumberFormat="0" applyFont="0" applyAlignment="0" applyProtection="0"/>
    <xf numFmtId="0" fontId="213" fillId="65" borderId="817" applyNumberFormat="0" applyAlignment="0" applyProtection="0"/>
    <xf numFmtId="0" fontId="238" fillId="59" borderId="736" applyNumberFormat="0" applyAlignment="0" applyProtection="0"/>
    <xf numFmtId="0" fontId="213" fillId="65" borderId="952" applyNumberFormat="0" applyAlignment="0" applyProtection="0"/>
    <xf numFmtId="0" fontId="203" fillId="81" borderId="953" applyNumberFormat="0" applyFont="0" applyAlignment="0" applyProtection="0"/>
    <xf numFmtId="0" fontId="213" fillId="65" borderId="997" applyNumberFormat="0" applyAlignment="0" applyProtection="0"/>
    <xf numFmtId="0" fontId="203" fillId="81" borderId="818" applyNumberFormat="0" applyFont="0" applyAlignment="0" applyProtection="0"/>
    <xf numFmtId="0" fontId="203" fillId="81" borderId="908" applyNumberFormat="0" applyFont="0" applyAlignment="0" applyProtection="0"/>
    <xf numFmtId="0" fontId="213" fillId="65" borderId="745" applyNumberFormat="0" applyAlignment="0" applyProtection="0"/>
    <xf numFmtId="0" fontId="203" fillId="81" borderId="971" applyNumberFormat="0" applyFont="0" applyAlignment="0" applyProtection="0"/>
    <xf numFmtId="0" fontId="153" fillId="0" borderId="923">
      <alignment horizontal="left" vertical="center"/>
    </xf>
    <xf numFmtId="182" fontId="225" fillId="0" borderId="690" applyFill="0" applyProtection="0"/>
    <xf numFmtId="0" fontId="203" fillId="81" borderId="872" applyNumberFormat="0" applyFont="0" applyAlignment="0" applyProtection="0"/>
    <xf numFmtId="200" fontId="225" fillId="0" borderId="690" applyFill="0" applyProtection="0"/>
    <xf numFmtId="0" fontId="249" fillId="59" borderId="907" applyNumberFormat="0" applyAlignment="0" applyProtection="0"/>
    <xf numFmtId="0" fontId="229" fillId="83" borderId="992" applyAlignment="0">
      <alignment horizontal="center"/>
    </xf>
    <xf numFmtId="0" fontId="213" fillId="65" borderId="772" applyNumberFormat="0" applyAlignment="0" applyProtection="0"/>
    <xf numFmtId="0" fontId="178" fillId="0" borderId="1066" applyProtection="0"/>
    <xf numFmtId="0" fontId="213" fillId="65" borderId="997" applyNumberFormat="0" applyAlignment="0" applyProtection="0"/>
    <xf numFmtId="182" fontId="225" fillId="0" borderId="1050" applyFill="0" applyProtection="0"/>
    <xf numFmtId="0" fontId="153" fillId="0" borderId="689">
      <alignment horizontal="left" vertical="center"/>
    </xf>
    <xf numFmtId="0" fontId="176" fillId="81" borderId="998" applyNumberFormat="0" applyFont="0" applyAlignment="0" applyProtection="0"/>
    <xf numFmtId="0" fontId="213" fillId="65" borderId="907" applyNumberFormat="0" applyAlignment="0" applyProtection="0"/>
    <xf numFmtId="182" fontId="225" fillId="0" borderId="744" applyFill="0" applyProtection="0"/>
    <xf numFmtId="182" fontId="225" fillId="0" borderId="690" applyFill="0" applyProtection="0"/>
    <xf numFmtId="0" fontId="213" fillId="65" borderId="880" applyNumberFormat="0" applyAlignment="0" applyProtection="0"/>
    <xf numFmtId="200" fontId="225" fillId="0" borderId="690" applyFill="0" applyProtection="0"/>
    <xf numFmtId="0" fontId="174" fillId="0" borderId="1000" applyNumberFormat="0" applyFill="0" applyAlignment="0" applyProtection="0"/>
    <xf numFmtId="0" fontId="176" fillId="81" borderId="1061" applyNumberFormat="0" applyFont="0" applyAlignment="0" applyProtection="0"/>
    <xf numFmtId="182" fontId="225" fillId="0" borderId="771" applyFill="0" applyProtection="0"/>
    <xf numFmtId="0" fontId="203" fillId="81" borderId="755" applyNumberFormat="0" applyFont="0" applyAlignment="0" applyProtection="0"/>
    <xf numFmtId="0" fontId="203" fillId="81" borderId="953" applyNumberFormat="0" applyFont="0" applyAlignment="0" applyProtection="0"/>
    <xf numFmtId="0" fontId="244" fillId="0" borderId="771" applyNumberFormat="0" applyFont="0" applyFill="0" applyAlignment="0" applyProtection="0"/>
    <xf numFmtId="0" fontId="213" fillId="65" borderId="826" applyNumberFormat="0" applyAlignment="0" applyProtection="0"/>
    <xf numFmtId="0" fontId="213" fillId="80" borderId="745" applyNumberFormat="0" applyAlignment="0" applyProtection="0"/>
    <xf numFmtId="0" fontId="203" fillId="81" borderId="818" applyNumberFormat="0" applyFont="0" applyAlignment="0" applyProtection="0"/>
    <xf numFmtId="0" fontId="213" fillId="65" borderId="961" applyNumberFormat="0" applyAlignment="0" applyProtection="0"/>
    <xf numFmtId="0" fontId="249" fillId="59" borderId="862" applyNumberFormat="0" applyAlignment="0" applyProtection="0"/>
    <xf numFmtId="0" fontId="203" fillId="81" borderId="827" applyNumberFormat="0" applyFont="0" applyAlignment="0" applyProtection="0"/>
    <xf numFmtId="0" fontId="229" fillId="83" borderId="875" applyAlignment="0">
      <alignment horizontal="center"/>
    </xf>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925" applyNumberFormat="0" applyAlignment="0" applyProtection="0"/>
    <xf numFmtId="0" fontId="8" fillId="81" borderId="836" applyNumberFormat="0" applyFont="0" applyAlignment="0" applyProtection="0"/>
    <xf numFmtId="0" fontId="153" fillId="0" borderId="995">
      <alignment horizontal="left" vertical="center"/>
    </xf>
    <xf numFmtId="0" fontId="213" fillId="65" borderId="691" applyNumberFormat="0" applyAlignment="0" applyProtection="0"/>
    <xf numFmtId="0" fontId="206" fillId="78" borderId="961" applyNumberFormat="0" applyAlignment="0" applyProtection="0"/>
    <xf numFmtId="0" fontId="213" fillId="65" borderId="790" applyNumberFormat="0" applyAlignment="0" applyProtection="0"/>
    <xf numFmtId="0" fontId="203" fillId="81" borderId="863" applyNumberFormat="0" applyFont="0" applyAlignment="0" applyProtection="0"/>
    <xf numFmtId="0" fontId="213" fillId="65" borderId="772" applyNumberFormat="0" applyAlignment="0" applyProtection="0"/>
    <xf numFmtId="182" fontId="225" fillId="0" borderId="1059" applyFill="0" applyProtection="0"/>
    <xf numFmtId="0" fontId="8" fillId="81" borderId="863" applyNumberFormat="0" applyFont="0" applyAlignment="0" applyProtection="0"/>
    <xf numFmtId="0" fontId="213" fillId="65" borderId="997" applyNumberFormat="0" applyAlignment="0" applyProtection="0"/>
    <xf numFmtId="0" fontId="213" fillId="65" borderId="988" applyNumberFormat="0" applyAlignment="0" applyProtection="0"/>
    <xf numFmtId="182" fontId="225" fillId="0" borderId="861" applyFill="0" applyProtection="0"/>
    <xf numFmtId="0" fontId="213" fillId="65" borderId="1060" applyNumberFormat="0" applyAlignment="0" applyProtection="0"/>
    <xf numFmtId="182" fontId="225" fillId="0" borderId="915" applyFill="0" applyProtection="0"/>
    <xf numFmtId="0" fontId="203" fillId="81" borderId="737" applyNumberFormat="0" applyFont="0" applyAlignment="0" applyProtection="0"/>
    <xf numFmtId="0" fontId="213" fillId="65" borderId="880" applyNumberFormat="0" applyAlignment="0" applyProtection="0"/>
    <xf numFmtId="182" fontId="225" fillId="0" borderId="744" applyFill="0" applyProtection="0"/>
    <xf numFmtId="0" fontId="203" fillId="81" borderId="746" applyNumberFormat="0" applyFont="0" applyAlignment="0" applyProtection="0"/>
    <xf numFmtId="200" fontId="225" fillId="0" borderId="744" applyFill="0" applyProtection="0"/>
    <xf numFmtId="0" fontId="238" fillId="59" borderId="907" applyNumberFormat="0" applyAlignment="0" applyProtection="0"/>
    <xf numFmtId="0" fontId="213" fillId="65" borderId="826" applyNumberFormat="0" applyAlignment="0" applyProtection="0"/>
    <xf numFmtId="0" fontId="213" fillId="80" borderId="880" applyNumberFormat="0" applyAlignment="0" applyProtection="0"/>
    <xf numFmtId="0" fontId="203" fillId="81" borderId="836" applyNumberFormat="0" applyFont="0" applyAlignment="0" applyProtection="0"/>
    <xf numFmtId="0" fontId="203" fillId="81" borderId="1061" applyNumberFormat="0" applyFont="0" applyAlignment="0" applyProtection="0"/>
    <xf numFmtId="0" fontId="153" fillId="0" borderId="833">
      <alignment horizontal="left" vertical="center"/>
    </xf>
    <xf numFmtId="182" fontId="225" fillId="0" borderId="834" applyFill="0" applyProtection="0"/>
    <xf numFmtId="200" fontId="225" fillId="0" borderId="744" applyFill="0" applyProtection="0"/>
    <xf numFmtId="182" fontId="225" fillId="0" borderId="744" applyFill="0" applyProtection="0"/>
    <xf numFmtId="0" fontId="213" fillId="80" borderId="727" applyNumberFormat="0" applyAlignment="0" applyProtection="0"/>
    <xf numFmtId="0" fontId="174" fillId="0" borderId="930" applyNumberFormat="0" applyFill="0" applyAlignment="0" applyProtection="0"/>
    <xf numFmtId="0" fontId="8" fillId="81" borderId="1043" applyNumberFormat="0" applyFont="0" applyAlignment="0" applyProtection="0"/>
    <xf numFmtId="0" fontId="203" fillId="81" borderId="836" applyNumberFormat="0" applyFont="0" applyAlignment="0" applyProtection="0"/>
    <xf numFmtId="0" fontId="213" fillId="65" borderId="997" applyNumberFormat="0" applyAlignment="0" applyProtection="0"/>
    <xf numFmtId="0" fontId="229" fillId="83" borderId="812" applyAlignment="0">
      <alignment horizontal="center"/>
    </xf>
    <xf numFmtId="0" fontId="229" fillId="83" borderId="767" applyAlignment="0">
      <alignment horizontal="center"/>
    </xf>
    <xf numFmtId="0" fontId="213" fillId="65" borderId="997" applyNumberFormat="0" applyAlignment="0" applyProtection="0"/>
    <xf numFmtId="0" fontId="213" fillId="65" borderId="772" applyNumberFormat="0" applyAlignment="0" applyProtection="0"/>
    <xf numFmtId="0" fontId="216" fillId="59" borderId="999" applyNumberFormat="0" applyAlignment="0" applyProtection="0"/>
    <xf numFmtId="200" fontId="225" fillId="0" borderId="924" applyFill="0" applyProtection="0"/>
    <xf numFmtId="0" fontId="203" fillId="81" borderId="791" applyNumberFormat="0" applyFont="0" applyAlignment="0" applyProtection="0"/>
    <xf numFmtId="0" fontId="8" fillId="81" borderId="1007" applyNumberFormat="0" applyFont="0" applyAlignment="0" applyProtection="0"/>
    <xf numFmtId="0" fontId="206" fillId="78" borderId="862" applyNumberFormat="0" applyAlignment="0" applyProtection="0"/>
    <xf numFmtId="0" fontId="203" fillId="81" borderId="872" applyNumberFormat="0" applyFont="0" applyAlignment="0" applyProtection="0"/>
    <xf numFmtId="0" fontId="213" fillId="65" borderId="862" applyNumberFormat="0" applyAlignment="0" applyProtection="0"/>
    <xf numFmtId="0" fontId="229" fillId="83" borderId="1037" applyAlignment="0">
      <alignment horizontal="center"/>
    </xf>
    <xf numFmtId="0" fontId="213" fillId="65" borderId="952" applyNumberFormat="0" applyAlignment="0" applyProtection="0"/>
    <xf numFmtId="0" fontId="203" fillId="81" borderId="782" applyNumberFormat="0" applyFont="0" applyAlignment="0" applyProtection="0"/>
    <xf numFmtId="0" fontId="213" fillId="65" borderId="862" applyNumberFormat="0" applyAlignment="0" applyProtection="0"/>
    <xf numFmtId="0" fontId="203" fillId="81" borderId="1043" applyNumberFormat="0" applyFont="0" applyAlignment="0" applyProtection="0"/>
    <xf numFmtId="0" fontId="244" fillId="0" borderId="834" applyNumberFormat="0" applyFont="0" applyFill="0" applyAlignment="0" applyProtection="0"/>
    <xf numFmtId="200" fontId="225" fillId="0" borderId="789" applyFill="0" applyProtection="0"/>
    <xf numFmtId="0" fontId="213" fillId="65" borderId="961" applyNumberFormat="0" applyAlignment="0" applyProtection="0"/>
    <xf numFmtId="0" fontId="203" fillId="81" borderId="1016" applyNumberFormat="0" applyFont="0" applyAlignment="0" applyProtection="0"/>
    <xf numFmtId="0" fontId="213" fillId="65" borderId="925" applyNumberFormat="0" applyAlignment="0" applyProtection="0"/>
    <xf numFmtId="200" fontId="225" fillId="0" borderId="861" applyFill="0" applyProtection="0"/>
    <xf numFmtId="0" fontId="229" fillId="83" borderId="722" applyAlignment="0">
      <alignment horizontal="center"/>
    </xf>
    <xf numFmtId="0" fontId="176" fillId="81" borderId="746" applyNumberFormat="0" applyFont="0" applyAlignment="0" applyProtection="0"/>
    <xf numFmtId="200" fontId="225" fillId="0" borderId="744" applyFill="0" applyProtection="0"/>
    <xf numFmtId="0" fontId="153" fillId="0" borderId="743">
      <alignment horizontal="left" vertical="center"/>
    </xf>
    <xf numFmtId="200" fontId="225" fillId="0" borderId="744" applyFill="0" applyProtection="0"/>
    <xf numFmtId="182" fontId="225" fillId="0" borderId="744" applyFill="0" applyProtection="0"/>
    <xf numFmtId="0" fontId="8" fillId="81" borderId="746" applyNumberFormat="0" applyFont="0" applyAlignment="0" applyProtection="0"/>
    <xf numFmtId="0" fontId="153" fillId="0" borderId="743">
      <alignment horizontal="left" vertical="center"/>
    </xf>
    <xf numFmtId="0" fontId="249" fillId="59"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182" fontId="225" fillId="0" borderId="744" applyFill="0" applyProtection="0"/>
    <xf numFmtId="0" fontId="174" fillId="0" borderId="750" applyNumberFormat="0" applyFill="0" applyAlignment="0" applyProtection="0"/>
    <xf numFmtId="0" fontId="229" fillId="83" borderId="749" applyAlignment="0">
      <alignment horizontal="center"/>
    </xf>
    <xf numFmtId="0" fontId="203" fillId="81" borderId="746" applyNumberFormat="0" applyFont="0" applyAlignment="0" applyProtection="0"/>
    <xf numFmtId="0" fontId="203" fillId="81" borderId="746" applyNumberFormat="0" applyFont="0" applyAlignment="0" applyProtection="0"/>
    <xf numFmtId="182" fontId="225" fillId="0" borderId="744" applyFill="0" applyProtection="0"/>
    <xf numFmtId="0" fontId="203" fillId="81" borderId="746" applyNumberFormat="0" applyFont="0" applyAlignment="0" applyProtection="0"/>
    <xf numFmtId="0" fontId="213" fillId="65" borderId="745" applyNumberFormat="0" applyAlignment="0" applyProtection="0"/>
    <xf numFmtId="0" fontId="153" fillId="0" borderId="995">
      <alignment horizontal="left" vertical="center"/>
    </xf>
    <xf numFmtId="0" fontId="213" fillId="65" borderId="997" applyNumberFormat="0" applyAlignment="0" applyProtection="0"/>
    <xf numFmtId="0" fontId="174" fillId="0" borderId="786" applyNumberFormat="0" applyFill="0" applyAlignment="0" applyProtection="0"/>
    <xf numFmtId="0" fontId="213" fillId="65" borderId="1060" applyNumberFormat="0" applyAlignment="0" applyProtection="0"/>
    <xf numFmtId="0" fontId="8" fillId="81" borderId="1043" applyNumberFormat="0" applyFont="0" applyAlignment="0" applyProtection="0"/>
    <xf numFmtId="0" fontId="229" fillId="83" borderId="822" applyAlignment="0">
      <alignment horizontal="center"/>
    </xf>
    <xf numFmtId="0" fontId="178" fillId="0" borderId="841" applyProtection="0"/>
    <xf numFmtId="0" fontId="213" fillId="65" borderId="961" applyNumberFormat="0" applyAlignment="0" applyProtection="0"/>
    <xf numFmtId="0" fontId="203" fillId="81" borderId="926" applyNumberFormat="0" applyFont="0" applyAlignment="0" applyProtection="0"/>
    <xf numFmtId="182" fontId="225" fillId="0" borderId="1005" applyFill="0" applyProtection="0"/>
    <xf numFmtId="0" fontId="213" fillId="65" borderId="862" applyNumberFormat="0" applyAlignment="0" applyProtection="0"/>
    <xf numFmtId="0" fontId="213" fillId="65" borderId="781" applyNumberFormat="0" applyAlignment="0" applyProtection="0"/>
    <xf numFmtId="0" fontId="213" fillId="65" borderId="1042" applyNumberFormat="0" applyAlignment="0" applyProtection="0"/>
    <xf numFmtId="182" fontId="225" fillId="0" borderId="951" applyFill="0" applyProtection="0"/>
    <xf numFmtId="0" fontId="203" fillId="81" borderId="998" applyNumberFormat="0" applyFont="0" applyAlignment="0" applyProtection="0"/>
    <xf numFmtId="0" fontId="176" fillId="81" borderId="953" applyNumberFormat="0" applyFont="0" applyAlignment="0" applyProtection="0"/>
    <xf numFmtId="0" fontId="203" fillId="81" borderId="953" applyNumberFormat="0" applyFont="0" applyAlignment="0" applyProtection="0"/>
    <xf numFmtId="182" fontId="225" fillId="0" borderId="960" applyFill="0" applyProtection="0"/>
    <xf numFmtId="200" fontId="225" fillId="0" borderId="861" applyFill="0" applyProtection="0"/>
    <xf numFmtId="0" fontId="203" fillId="81" borderId="998" applyNumberFormat="0" applyFont="0" applyAlignment="0" applyProtection="0"/>
    <xf numFmtId="0" fontId="203" fillId="81" borderId="827" applyNumberFormat="0" applyFont="0" applyAlignment="0" applyProtection="0"/>
    <xf numFmtId="0" fontId="213" fillId="65" borderId="772" applyNumberFormat="0" applyAlignment="0" applyProtection="0"/>
    <xf numFmtId="0" fontId="203" fillId="81" borderId="908" applyNumberFormat="0" applyFont="0" applyAlignment="0" applyProtection="0"/>
    <xf numFmtId="0" fontId="229" fillId="83" borderId="777" applyAlignment="0">
      <alignment horizontal="center"/>
    </xf>
    <xf numFmtId="0" fontId="203" fillId="81" borderId="881" applyNumberFormat="0" applyFont="0" applyAlignment="0" applyProtection="0"/>
    <xf numFmtId="0" fontId="213" fillId="65" borderId="1006" applyNumberFormat="0" applyAlignment="0" applyProtection="0"/>
    <xf numFmtId="0" fontId="178" fillId="0" borderId="868" applyProtection="0"/>
    <xf numFmtId="182" fontId="225" fillId="0" borderId="1005" applyFill="0" applyProtection="0"/>
    <xf numFmtId="0" fontId="213" fillId="80" borderId="997" applyNumberFormat="0" applyAlignment="0" applyProtection="0"/>
    <xf numFmtId="0" fontId="203" fillId="81" borderId="1043" applyNumberFormat="0" applyFont="0" applyAlignment="0" applyProtection="0"/>
    <xf numFmtId="0" fontId="203" fillId="81" borderId="908" applyNumberFormat="0" applyFont="0" applyAlignment="0" applyProtection="0"/>
    <xf numFmtId="0" fontId="203" fillId="81" borderId="773" applyNumberFormat="0" applyFont="0" applyAlignment="0" applyProtection="0"/>
    <xf numFmtId="0" fontId="213" fillId="65" borderId="781" applyNumberFormat="0" applyAlignment="0" applyProtection="0"/>
    <xf numFmtId="0" fontId="213" fillId="65" borderId="1006" applyNumberFormat="0" applyAlignment="0" applyProtection="0"/>
    <xf numFmtId="200" fontId="225" fillId="0" borderId="1059" applyFill="0" applyProtection="0"/>
    <xf numFmtId="200" fontId="225" fillId="0" borderId="924" applyFill="0" applyProtection="0"/>
    <xf numFmtId="0" fontId="178" fillId="0" borderId="1021" applyProtection="0"/>
    <xf numFmtId="0" fontId="174" fillId="0" borderId="866" applyNumberFormat="0" applyFill="0" applyAlignment="0" applyProtection="0"/>
    <xf numFmtId="0" fontId="203" fillId="81" borderId="827" applyNumberFormat="0" applyFont="0" applyAlignment="0" applyProtection="0"/>
    <xf numFmtId="0" fontId="176" fillId="81" borderId="782" applyNumberFormat="0" applyFont="0" applyAlignment="0" applyProtection="0"/>
    <xf numFmtId="0" fontId="213" fillId="65" borderId="952" applyNumberFormat="0" applyAlignment="0" applyProtection="0"/>
    <xf numFmtId="0" fontId="229" fillId="83" borderId="777" applyAlignment="0">
      <alignment horizontal="center"/>
    </xf>
    <xf numFmtId="0" fontId="216" fillId="59" borderId="828" applyNumberFormat="0" applyAlignment="0" applyProtection="0"/>
    <xf numFmtId="0" fontId="213" fillId="65" borderId="817" applyNumberFormat="0" applyAlignment="0" applyProtection="0"/>
    <xf numFmtId="0" fontId="203" fillId="81" borderId="773" applyNumberFormat="0" applyFont="0" applyAlignment="0" applyProtection="0"/>
    <xf numFmtId="0" fontId="213" fillId="65" borderId="880" applyNumberFormat="0" applyAlignment="0" applyProtection="0"/>
    <xf numFmtId="0" fontId="213" fillId="65" borderId="925" applyNumberFormat="0" applyAlignment="0" applyProtection="0"/>
    <xf numFmtId="0" fontId="213" fillId="65" borderId="1060" applyNumberFormat="0" applyAlignment="0" applyProtection="0"/>
    <xf numFmtId="0" fontId="213" fillId="65" borderId="1015" applyNumberFormat="0" applyAlignment="0" applyProtection="0"/>
    <xf numFmtId="0" fontId="8" fillId="81" borderId="773" applyNumberFormat="0" applyFont="0" applyAlignment="0" applyProtection="0"/>
    <xf numFmtId="0" fontId="213" fillId="65" borderId="1042" applyNumberFormat="0" applyAlignment="0" applyProtection="0"/>
    <xf numFmtId="0" fontId="203" fillId="81" borderId="782" applyNumberFormat="0" applyFont="0" applyAlignment="0" applyProtection="0"/>
    <xf numFmtId="0" fontId="174" fillId="0" borderId="973" applyNumberFormat="0" applyFill="0" applyAlignment="0" applyProtection="0"/>
    <xf numFmtId="0" fontId="213" fillId="65" borderId="1042" applyNumberFormat="0" applyAlignment="0" applyProtection="0"/>
    <xf numFmtId="0" fontId="213" fillId="65" borderId="880" applyNumberFormat="0" applyAlignment="0" applyProtection="0"/>
    <xf numFmtId="0" fontId="8" fillId="81" borderId="971" applyNumberFormat="0" applyFont="0" applyAlignment="0" applyProtection="0"/>
    <xf numFmtId="0" fontId="203" fillId="81" borderId="908" applyNumberFormat="0" applyFont="0" applyAlignment="0" applyProtection="0"/>
    <xf numFmtId="0" fontId="229" fillId="83" borderId="857" applyAlignment="0">
      <alignment horizontal="center"/>
    </xf>
    <xf numFmtId="0" fontId="213" fillId="65" borderId="772" applyNumberFormat="0" applyAlignment="0" applyProtection="0"/>
    <xf numFmtId="0" fontId="213" fillId="65" borderId="862" applyNumberFormat="0" applyAlignment="0" applyProtection="0"/>
    <xf numFmtId="0" fontId="213" fillId="65" borderId="871" applyNumberFormat="0" applyAlignment="0" applyProtection="0"/>
    <xf numFmtId="0" fontId="203" fillId="81" borderId="818" applyNumberFormat="0" applyFont="0" applyAlignment="0" applyProtection="0"/>
    <xf numFmtId="0" fontId="213" fillId="65" borderId="925" applyNumberFormat="0" applyAlignment="0" applyProtection="0"/>
    <xf numFmtId="0" fontId="238" fillId="59" borderId="1042" applyNumberFormat="0" applyAlignment="0" applyProtection="0"/>
    <xf numFmtId="0" fontId="213" fillId="65" borderId="736" applyNumberFormat="0" applyAlignment="0" applyProtection="0"/>
    <xf numFmtId="0" fontId="203" fillId="81" borderId="881" applyNumberFormat="0" applyFont="0" applyAlignment="0" applyProtection="0"/>
    <xf numFmtId="0" fontId="213" fillId="65" borderId="862" applyNumberFormat="0" applyAlignment="0" applyProtection="0"/>
    <xf numFmtId="0" fontId="174" fillId="0" borderId="1046" applyNumberFormat="0" applyFill="0" applyAlignment="0" applyProtection="0"/>
    <xf numFmtId="0" fontId="213" fillId="80" borderId="817" applyNumberFormat="0" applyAlignment="0" applyProtection="0"/>
    <xf numFmtId="200" fontId="225" fillId="0" borderId="825" applyFill="0" applyProtection="0"/>
    <xf numFmtId="0" fontId="213" fillId="80" borderId="772" applyNumberFormat="0" applyAlignment="0" applyProtection="0"/>
    <xf numFmtId="0" fontId="213" fillId="65" borderId="997" applyNumberFormat="0" applyAlignment="0" applyProtection="0"/>
    <xf numFmtId="200" fontId="225" fillId="0" borderId="906" applyFill="0" applyProtection="0"/>
    <xf numFmtId="0" fontId="213" fillId="65" borderId="772" applyNumberFormat="0" applyAlignment="0" applyProtection="0"/>
    <xf numFmtId="0" fontId="229" fillId="83" borderId="920" applyAlignment="0">
      <alignment horizontal="center"/>
    </xf>
    <xf numFmtId="0" fontId="229" fillId="83" borderId="1002" applyAlignment="0">
      <alignment horizontal="center"/>
    </xf>
    <xf numFmtId="0" fontId="216" fillId="78" borderId="909" applyNumberFormat="0" applyAlignment="0" applyProtection="0"/>
    <xf numFmtId="0" fontId="213" fillId="65" borderId="916" applyNumberFormat="0" applyAlignment="0" applyProtection="0"/>
    <xf numFmtId="0" fontId="203" fillId="81" borderId="926" applyNumberFormat="0" applyFont="0" applyAlignment="0" applyProtection="0"/>
    <xf numFmtId="0" fontId="213" fillId="65" borderId="1051" applyNumberFormat="0" applyAlignment="0" applyProtection="0"/>
    <xf numFmtId="0" fontId="213" fillId="65" borderId="907" applyNumberFormat="0" applyAlignment="0" applyProtection="0"/>
    <xf numFmtId="0" fontId="203" fillId="81" borderId="953" applyNumberFormat="0" applyFont="0" applyAlignment="0" applyProtection="0"/>
    <xf numFmtId="0" fontId="213" fillId="65" borderId="1060" applyNumberFormat="0" applyAlignment="0" applyProtection="0"/>
    <xf numFmtId="0" fontId="213" fillId="65" borderId="1051" applyNumberFormat="0" applyAlignment="0" applyProtection="0"/>
    <xf numFmtId="0" fontId="176" fillId="81" borderId="1043" applyNumberFormat="0" applyFont="0" applyAlignment="0" applyProtection="0"/>
    <xf numFmtId="0" fontId="203" fillId="81" borderId="773" applyNumberFormat="0" applyFont="0" applyAlignment="0" applyProtection="0"/>
    <xf numFmtId="0" fontId="8" fillId="81" borderId="953" applyNumberFormat="0" applyFont="0" applyAlignment="0" applyProtection="0"/>
    <xf numFmtId="0" fontId="153" fillId="0" borderId="914">
      <alignment horizontal="left" vertical="center"/>
    </xf>
    <xf numFmtId="0" fontId="213" fillId="80" borderId="1042" applyNumberFormat="0" applyAlignment="0" applyProtection="0"/>
    <xf numFmtId="200" fontId="225" fillId="0" borderId="780" applyFill="0" applyProtection="0"/>
    <xf numFmtId="0" fontId="229" fillId="83" borderId="785" applyAlignment="0">
      <alignment horizontal="center"/>
    </xf>
    <xf numFmtId="0" fontId="203" fillId="81" borderId="971" applyNumberFormat="0" applyFont="0" applyAlignment="0" applyProtection="0"/>
    <xf numFmtId="0" fontId="213" fillId="65" borderId="1006" applyNumberFormat="0" applyAlignment="0" applyProtection="0"/>
    <xf numFmtId="0" fontId="213" fillId="80" borderId="997" applyNumberFormat="0" applyAlignment="0" applyProtection="0"/>
    <xf numFmtId="0" fontId="213" fillId="65" borderId="907" applyNumberFormat="0" applyAlignment="0" applyProtection="0"/>
    <xf numFmtId="182" fontId="225" fillId="0" borderId="1014" applyFill="0" applyProtection="0"/>
    <xf numFmtId="0" fontId="203" fillId="81" borderId="962" applyNumberFormat="0" applyFont="0" applyAlignment="0" applyProtection="0"/>
    <xf numFmtId="0" fontId="229" fillId="83" borderId="1019" applyAlignment="0">
      <alignment horizontal="center"/>
    </xf>
    <xf numFmtId="0" fontId="176" fillId="81" borderId="917" applyNumberFormat="0" applyFont="0" applyAlignment="0" applyProtection="0"/>
    <xf numFmtId="182" fontId="225" fillId="0" borderId="1014" applyFill="0" applyProtection="0"/>
    <xf numFmtId="0" fontId="257" fillId="59" borderId="828" applyNumberFormat="0" applyAlignment="0" applyProtection="0"/>
    <xf numFmtId="0" fontId="203" fillId="81" borderId="1043" applyNumberFormat="0" applyFont="0" applyAlignment="0" applyProtection="0"/>
    <xf numFmtId="0" fontId="213" fillId="65" borderId="781" applyNumberFormat="0" applyAlignment="0" applyProtection="0"/>
    <xf numFmtId="0" fontId="203" fillId="81" borderId="737" applyNumberFormat="0" applyFont="0" applyAlignment="0" applyProtection="0"/>
    <xf numFmtId="0" fontId="203" fillId="81" borderId="737" applyNumberFormat="0" applyFont="0" applyAlignment="0" applyProtection="0"/>
    <xf numFmtId="0" fontId="153" fillId="0" borderId="734">
      <alignment horizontal="left" vertical="center"/>
    </xf>
    <xf numFmtId="182" fontId="225" fillId="0" borderId="735" applyFill="0" applyProtection="0"/>
    <xf numFmtId="0" fontId="203" fillId="81" borderId="737" applyNumberFormat="0" applyFont="0" applyAlignment="0" applyProtection="0"/>
    <xf numFmtId="0" fontId="203" fillId="81" borderId="737" applyNumberFormat="0" applyFont="0" applyAlignment="0" applyProtection="0"/>
    <xf numFmtId="0" fontId="229" fillId="83" borderId="740" applyAlignment="0">
      <alignment horizontal="center"/>
    </xf>
    <xf numFmtId="0" fontId="213" fillId="65" borderId="727" applyNumberFormat="0" applyAlignment="0" applyProtection="0"/>
    <xf numFmtId="0" fontId="203" fillId="81" borderId="737" applyNumberFormat="0" applyFont="0" applyAlignment="0" applyProtection="0"/>
    <xf numFmtId="0" fontId="203" fillId="81" borderId="737" applyNumberFormat="0" applyFont="0" applyAlignment="0" applyProtection="0"/>
    <xf numFmtId="0" fontId="213" fillId="65" borderId="736" applyNumberFormat="0" applyAlignment="0" applyProtection="0"/>
    <xf numFmtId="200" fontId="225" fillId="0" borderId="735" applyFill="0" applyProtection="0"/>
    <xf numFmtId="0" fontId="174" fillId="0" borderId="739" applyNumberFormat="0" applyFill="0" applyAlignment="0" applyProtection="0"/>
    <xf numFmtId="0" fontId="213" fillId="65" borderId="736" applyNumberFormat="0" applyAlignment="0" applyProtection="0"/>
    <xf numFmtId="0" fontId="213" fillId="65" borderId="736" applyNumberFormat="0" applyAlignment="0" applyProtection="0"/>
    <xf numFmtId="0" fontId="213" fillId="65" borderId="736" applyNumberFormat="0" applyAlignment="0" applyProtection="0"/>
    <xf numFmtId="0" fontId="203" fillId="81" borderId="728" applyNumberFormat="0" applyFont="0" applyAlignment="0" applyProtection="0"/>
    <xf numFmtId="0" fontId="213" fillId="65" borderId="907" applyNumberFormat="0" applyAlignment="0" applyProtection="0"/>
    <xf numFmtId="0" fontId="216" fillId="78" borderId="783" applyNumberFormat="0" applyAlignment="0" applyProtection="0"/>
    <xf numFmtId="0" fontId="206" fillId="78" borderId="1042" applyNumberFormat="0" applyAlignment="0" applyProtection="0"/>
    <xf numFmtId="0" fontId="213" fillId="65" borderId="1042" applyNumberFormat="0" applyAlignment="0" applyProtection="0"/>
    <xf numFmtId="0" fontId="257" fillId="59" borderId="1053" applyNumberFormat="0" applyAlignment="0" applyProtection="0"/>
    <xf numFmtId="0" fontId="203" fillId="81" borderId="818" applyNumberFormat="0" applyFont="0" applyAlignment="0" applyProtection="0"/>
    <xf numFmtId="0" fontId="203" fillId="81" borderId="953" applyNumberFormat="0" applyFont="0" applyAlignment="0" applyProtection="0"/>
    <xf numFmtId="0" fontId="213" fillId="65" borderId="907" applyNumberFormat="0" applyAlignment="0" applyProtection="0"/>
    <xf numFmtId="0" fontId="8" fillId="81" borderId="818" applyNumberFormat="0" applyFont="0" applyAlignment="0" applyProtection="0"/>
    <xf numFmtId="182" fontId="225" fillId="0" borderId="870" applyFill="0" applyProtection="0"/>
    <xf numFmtId="0" fontId="203" fillId="81" borderId="818" applyNumberFormat="0" applyFont="0" applyAlignment="0" applyProtection="0"/>
    <xf numFmtId="0" fontId="213" fillId="80" borderId="1006" applyNumberFormat="0" applyAlignment="0" applyProtection="0"/>
    <xf numFmtId="0" fontId="203" fillId="81" borderId="1052" applyNumberFormat="0" applyFont="0" applyAlignment="0" applyProtection="0"/>
    <xf numFmtId="0" fontId="8" fillId="81" borderId="782" applyNumberFormat="0" applyFont="0" applyAlignment="0" applyProtection="0"/>
    <xf numFmtId="0" fontId="203" fillId="81" borderId="908" applyNumberFormat="0" applyFont="0" applyAlignment="0" applyProtection="0"/>
    <xf numFmtId="0" fontId="213" fillId="65" borderId="1042" applyNumberFormat="0" applyAlignment="0" applyProtection="0"/>
    <xf numFmtId="0" fontId="174" fillId="0" borderId="1001" applyNumberFormat="0" applyFill="0" applyAlignment="0" applyProtection="0"/>
    <xf numFmtId="0" fontId="213" fillId="65" borderId="871" applyNumberFormat="0" applyAlignment="0" applyProtection="0"/>
    <xf numFmtId="0" fontId="213" fillId="65" borderId="907" applyNumberFormat="0" applyAlignment="0" applyProtection="0"/>
    <xf numFmtId="0" fontId="213" fillId="65" borderId="907" applyNumberFormat="0" applyAlignment="0" applyProtection="0"/>
    <xf numFmtId="0" fontId="213" fillId="65" borderId="916" applyNumberFormat="0" applyAlignment="0" applyProtection="0"/>
    <xf numFmtId="0" fontId="213" fillId="80" borderId="925" applyNumberFormat="0" applyAlignment="0" applyProtection="0"/>
    <xf numFmtId="0" fontId="213" fillId="65" borderId="952" applyNumberFormat="0" applyAlignment="0" applyProtection="0"/>
    <xf numFmtId="0" fontId="216" fillId="59" borderId="999" applyNumberFormat="0" applyAlignment="0" applyProtection="0"/>
    <xf numFmtId="0" fontId="178" fillId="0" borderId="778" applyProtection="0"/>
    <xf numFmtId="0" fontId="213" fillId="65" borderId="781" applyNumberFormat="0" applyAlignment="0" applyProtection="0"/>
    <xf numFmtId="0" fontId="203" fillId="81" borderId="836" applyNumberFormat="0" applyFont="0" applyAlignment="0" applyProtection="0"/>
    <xf numFmtId="0" fontId="213" fillId="65" borderId="880" applyNumberFormat="0" applyAlignment="0" applyProtection="0"/>
    <xf numFmtId="0" fontId="213" fillId="65" borderId="907" applyNumberFormat="0" applyAlignment="0" applyProtection="0"/>
    <xf numFmtId="0" fontId="213" fillId="65" borderId="907" applyNumberFormat="0" applyAlignment="0" applyProtection="0"/>
    <xf numFmtId="0" fontId="203" fillId="81" borderId="818" applyNumberFormat="0" applyFont="0" applyAlignment="0" applyProtection="0"/>
    <xf numFmtId="0" fontId="213" fillId="65" borderId="997" applyNumberFormat="0" applyAlignment="0" applyProtection="0"/>
    <xf numFmtId="0" fontId="203" fillId="81" borderId="872" applyNumberFormat="0" applyFont="0" applyAlignment="0" applyProtection="0"/>
    <xf numFmtId="0" fontId="203" fillId="81" borderId="863" applyNumberFormat="0" applyFont="0" applyAlignment="0" applyProtection="0"/>
    <xf numFmtId="200" fontId="225" fillId="0" borderId="951" applyFill="0" applyProtection="0"/>
    <xf numFmtId="0" fontId="206" fillId="78" borderId="880" applyNumberFormat="0" applyAlignment="0" applyProtection="0"/>
    <xf numFmtId="182" fontId="225" fillId="0" borderId="951" applyFill="0" applyProtection="0"/>
    <xf numFmtId="0" fontId="203" fillId="81" borderId="773" applyNumberFormat="0" applyFont="0" applyAlignment="0" applyProtection="0"/>
    <xf numFmtId="0" fontId="178" fillId="0" borderId="1003" applyProtection="0"/>
    <xf numFmtId="0" fontId="153" fillId="0" borderId="869">
      <alignment horizontal="left" vertical="center"/>
    </xf>
    <xf numFmtId="0" fontId="238" fillId="59" borderId="772" applyNumberFormat="0" applyAlignment="0" applyProtection="0"/>
    <xf numFmtId="200" fontId="225" fillId="0" borderId="969" applyFill="0" applyProtection="0"/>
    <xf numFmtId="200" fontId="225" fillId="0" borderId="915" applyFill="0" applyProtection="0"/>
    <xf numFmtId="0" fontId="229" fillId="83" borderId="1055" applyAlignment="0">
      <alignment horizontal="center"/>
    </xf>
    <xf numFmtId="0" fontId="203" fillId="81" borderId="1043" applyNumberFormat="0" applyFont="0" applyAlignment="0" applyProtection="0"/>
    <xf numFmtId="0" fontId="203" fillId="81" borderId="782" applyNumberFormat="0" applyFont="0" applyAlignment="0" applyProtection="0"/>
    <xf numFmtId="0" fontId="203" fillId="81" borderId="1052" applyNumberFormat="0" applyFont="0" applyAlignment="0" applyProtection="0"/>
    <xf numFmtId="0" fontId="213" fillId="65" borderId="907" applyNumberFormat="0" applyAlignment="0" applyProtection="0"/>
    <xf numFmtId="0" fontId="213" fillId="80" borderId="727" applyNumberFormat="0" applyAlignment="0" applyProtection="0"/>
    <xf numFmtId="0" fontId="238" fillId="59" borderId="727" applyNumberFormat="0" applyAlignment="0" applyProtection="0"/>
    <xf numFmtId="0" fontId="203" fillId="81" borderId="872" applyNumberFormat="0" applyFont="0" applyAlignment="0" applyProtection="0"/>
    <xf numFmtId="0" fontId="213" fillId="65" borderId="1015" applyNumberFormat="0" applyAlignment="0" applyProtection="0"/>
    <xf numFmtId="0" fontId="213" fillId="65" borderId="952" applyNumberFormat="0" applyAlignment="0" applyProtection="0"/>
    <xf numFmtId="0" fontId="213" fillId="65" borderId="952" applyNumberFormat="0" applyAlignment="0" applyProtection="0"/>
    <xf numFmtId="0" fontId="213" fillId="65" borderId="862" applyNumberFormat="0" applyAlignment="0" applyProtection="0"/>
    <xf numFmtId="0" fontId="213" fillId="65" borderId="1015" applyNumberFormat="0" applyAlignment="0" applyProtection="0"/>
    <xf numFmtId="182" fontId="225" fillId="0" borderId="771" applyFill="0" applyProtection="0"/>
    <xf numFmtId="0" fontId="213" fillId="65" borderId="772" applyNumberFormat="0" applyAlignment="0" applyProtection="0"/>
    <xf numFmtId="0" fontId="203" fillId="81" borderId="1043" applyNumberFormat="0" applyFont="0" applyAlignment="0" applyProtection="0"/>
    <xf numFmtId="0" fontId="203" fillId="81" borderId="917"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174" fillId="0" borderId="730" applyNumberFormat="0" applyFill="0" applyAlignment="0" applyProtection="0"/>
    <xf numFmtId="0" fontId="203" fillId="81" borderId="728" applyNumberFormat="0" applyFont="0" applyAlignment="0" applyProtection="0"/>
    <xf numFmtId="0" fontId="203" fillId="81" borderId="728" applyNumberFormat="0" applyFont="0" applyAlignment="0" applyProtection="0"/>
    <xf numFmtId="0" fontId="203" fillId="81" borderId="881" applyNumberFormat="0" applyFont="0" applyAlignment="0" applyProtection="0"/>
    <xf numFmtId="0" fontId="153" fillId="0" borderId="770">
      <alignment horizontal="left" vertical="center"/>
    </xf>
    <xf numFmtId="0" fontId="213" fillId="65" borderId="817" applyNumberFormat="0" applyAlignment="0" applyProtection="0"/>
    <xf numFmtId="0" fontId="213" fillId="65" borderId="772" applyNumberFormat="0" applyAlignment="0" applyProtection="0"/>
    <xf numFmtId="0" fontId="213" fillId="65" borderId="835" applyNumberFormat="0" applyAlignment="0" applyProtection="0"/>
    <xf numFmtId="0" fontId="176" fillId="81" borderId="953" applyNumberFormat="0" applyFont="0" applyAlignment="0" applyProtection="0"/>
    <xf numFmtId="0" fontId="213" fillId="65" borderId="1042" applyNumberFormat="0" applyAlignment="0" applyProtection="0"/>
    <xf numFmtId="0" fontId="213" fillId="65" borderId="880" applyNumberFormat="0" applyAlignment="0" applyProtection="0"/>
    <xf numFmtId="200" fontId="225" fillId="0" borderId="960" applyFill="0" applyProtection="0"/>
    <xf numFmtId="0" fontId="213" fillId="65" borderId="952" applyNumberFormat="0" applyAlignment="0" applyProtection="0"/>
    <xf numFmtId="0" fontId="203" fillId="81" borderId="926" applyNumberFormat="0" applyFont="0" applyAlignment="0" applyProtection="0"/>
    <xf numFmtId="200" fontId="225" fillId="0" borderId="915" applyFill="0" applyProtection="0"/>
    <xf numFmtId="0" fontId="176" fillId="81" borderId="1007" applyNumberFormat="0" applyFont="0" applyAlignment="0" applyProtection="0"/>
    <xf numFmtId="0" fontId="8" fillId="81" borderId="818" applyNumberFormat="0" applyFont="0" applyAlignment="0" applyProtection="0"/>
    <xf numFmtId="0" fontId="176" fillId="81" borderId="953" applyNumberFormat="0" applyFont="0" applyAlignment="0" applyProtection="0"/>
    <xf numFmtId="0" fontId="213" fillId="65" borderId="871" applyNumberFormat="0" applyAlignment="0" applyProtection="0"/>
    <xf numFmtId="0" fontId="176" fillId="81" borderId="899" applyNumberFormat="0" applyFont="0" applyAlignment="0" applyProtection="0"/>
    <xf numFmtId="0" fontId="213" fillId="65" borderId="997" applyNumberFormat="0" applyAlignment="0" applyProtection="0"/>
    <xf numFmtId="0" fontId="206" fillId="78" borderId="826" applyNumberFormat="0" applyAlignment="0" applyProtection="0"/>
    <xf numFmtId="0" fontId="213" fillId="65" borderId="1006" applyNumberFormat="0" applyAlignment="0" applyProtection="0"/>
    <xf numFmtId="182" fontId="225" fillId="0" borderId="1059" applyFill="0" applyProtection="0"/>
    <xf numFmtId="0" fontId="203" fillId="81" borderId="881" applyNumberFormat="0" applyFont="0" applyAlignment="0" applyProtection="0"/>
    <xf numFmtId="0" fontId="203" fillId="81" borderId="971" applyNumberFormat="0" applyFont="0" applyAlignment="0" applyProtection="0"/>
    <xf numFmtId="0" fontId="213" fillId="65" borderId="907" applyNumberFormat="0" applyAlignment="0" applyProtection="0"/>
    <xf numFmtId="0" fontId="229" fillId="83" borderId="1047" applyAlignment="0">
      <alignment horizontal="center"/>
    </xf>
    <xf numFmtId="200" fontId="225" fillId="0" borderId="906" applyFill="0" applyProtection="0"/>
    <xf numFmtId="0" fontId="213" fillId="65" borderId="781" applyNumberFormat="0" applyAlignment="0" applyProtection="0"/>
    <xf numFmtId="0" fontId="229" fillId="83" borderId="929" applyAlignment="0">
      <alignment horizontal="center"/>
    </xf>
    <xf numFmtId="0" fontId="203" fillId="81" borderId="872" applyNumberFormat="0" applyFont="0" applyAlignment="0" applyProtection="0"/>
    <xf numFmtId="0" fontId="213" fillId="65" borderId="871" applyNumberFormat="0" applyAlignment="0" applyProtection="0"/>
    <xf numFmtId="0" fontId="213" fillId="65" borderId="826" applyNumberFormat="0" applyAlignment="0" applyProtection="0"/>
    <xf numFmtId="0" fontId="238" fillId="59" borderId="727" applyNumberFormat="0" applyAlignment="0" applyProtection="0"/>
    <xf numFmtId="0" fontId="176" fillId="81" borderId="917" applyNumberFormat="0" applyFont="0" applyAlignment="0" applyProtection="0"/>
    <xf numFmtId="200" fontId="225" fillId="0" borderId="771" applyFill="0" applyProtection="0"/>
    <xf numFmtId="200" fontId="225" fillId="0" borderId="1005" applyFill="0" applyProtection="0"/>
    <xf numFmtId="0" fontId="216" fillId="78" borderId="774" applyNumberFormat="0" applyAlignment="0" applyProtection="0"/>
    <xf numFmtId="0" fontId="229" fillId="83" borderId="902" applyAlignment="0">
      <alignment horizontal="center"/>
    </xf>
    <xf numFmtId="0" fontId="213" fillId="65" borderId="817" applyNumberFormat="0" applyAlignment="0" applyProtection="0"/>
    <xf numFmtId="0" fontId="213" fillId="80" borderId="952" applyNumberFormat="0" applyAlignment="0" applyProtection="0"/>
    <xf numFmtId="0" fontId="206" fillId="78" borderId="916" applyNumberFormat="0" applyAlignment="0" applyProtection="0"/>
    <xf numFmtId="0" fontId="203" fillId="81" borderId="1052" applyNumberFormat="0" applyFont="0" applyAlignment="0" applyProtection="0"/>
    <xf numFmtId="0" fontId="216" fillId="59" borderId="774" applyNumberFormat="0" applyAlignment="0" applyProtection="0"/>
    <xf numFmtId="200" fontId="225" fillId="0" borderId="924" applyFill="0" applyProtection="0"/>
    <xf numFmtId="0" fontId="213" fillId="65" borderId="961" applyNumberFormat="0" applyAlignment="0" applyProtection="0"/>
    <xf numFmtId="0" fontId="213" fillId="65" borderId="1051" applyNumberFormat="0" applyAlignment="0" applyProtection="0"/>
    <xf numFmtId="0" fontId="257" fillId="59" borderId="927" applyNumberFormat="0" applyAlignment="0" applyProtection="0"/>
    <xf numFmtId="0" fontId="213" fillId="80" borderId="970" applyNumberFormat="0" applyAlignment="0" applyProtection="0"/>
    <xf numFmtId="0" fontId="213" fillId="65" borderId="1060" applyNumberFormat="0" applyAlignment="0" applyProtection="0"/>
    <xf numFmtId="0" fontId="203" fillId="81" borderId="863" applyNumberFormat="0" applyFont="0" applyAlignment="0" applyProtection="0"/>
    <xf numFmtId="0" fontId="213" fillId="65" borderId="772" applyNumberFormat="0" applyAlignment="0" applyProtection="0"/>
    <xf numFmtId="0" fontId="203" fillId="81" borderId="998" applyNumberFormat="0" applyFont="0" applyAlignment="0" applyProtection="0"/>
    <xf numFmtId="0" fontId="8" fillId="81" borderId="944" applyNumberFormat="0" applyFont="0" applyAlignment="0" applyProtection="0"/>
    <xf numFmtId="0" fontId="213" fillId="80" borderId="862" applyNumberFormat="0" applyAlignment="0" applyProtection="0"/>
    <xf numFmtId="0" fontId="203" fillId="81" borderId="773" applyNumberFormat="0" applyFont="0" applyAlignment="0" applyProtection="0"/>
    <xf numFmtId="0" fontId="213" fillId="65" borderId="961" applyNumberFormat="0" applyAlignment="0" applyProtection="0"/>
    <xf numFmtId="0" fontId="213" fillId="80" borderId="871" applyNumberFormat="0" applyAlignment="0" applyProtection="0"/>
    <xf numFmtId="0" fontId="229" fillId="83" borderId="830" applyAlignment="0">
      <alignment horizontal="center"/>
    </xf>
    <xf numFmtId="0" fontId="8" fillId="81" borderId="872" applyNumberFormat="0" applyFont="0" applyAlignment="0" applyProtection="0"/>
    <xf numFmtId="0" fontId="213" fillId="65" borderId="871" applyNumberFormat="0" applyAlignment="0" applyProtection="0"/>
    <xf numFmtId="0" fontId="203" fillId="81" borderId="917" applyNumberFormat="0" applyFont="0" applyAlignment="0" applyProtection="0"/>
    <xf numFmtId="0" fontId="213" fillId="65" borderId="997" applyNumberFormat="0" applyAlignment="0" applyProtection="0"/>
    <xf numFmtId="0" fontId="213" fillId="65" borderId="952" applyNumberFormat="0" applyAlignment="0" applyProtection="0"/>
    <xf numFmtId="0" fontId="229" fillId="83" borderId="965" applyAlignment="0">
      <alignment horizontal="center"/>
    </xf>
    <xf numFmtId="0" fontId="244" fillId="0" borderId="870" applyNumberFormat="0" applyFont="0" applyFill="0" applyAlignment="0" applyProtection="0"/>
    <xf numFmtId="0" fontId="213" fillId="65" borderId="871" applyNumberFormat="0" applyAlignment="0" applyProtection="0"/>
    <xf numFmtId="0" fontId="203" fillId="81" borderId="872" applyNumberFormat="0" applyFont="0" applyAlignment="0" applyProtection="0"/>
    <xf numFmtId="0" fontId="203" fillId="81" borderId="953" applyNumberFormat="0" applyFont="0" applyAlignment="0" applyProtection="0"/>
    <xf numFmtId="200" fontId="225" fillId="0" borderId="969" applyFill="0" applyProtection="0"/>
    <xf numFmtId="0" fontId="176" fillId="81" borderId="836" applyNumberFormat="0" applyFont="0" applyAlignment="0" applyProtection="0"/>
    <xf numFmtId="0" fontId="213" fillId="65" borderId="907" applyNumberFormat="0" applyAlignment="0" applyProtection="0"/>
    <xf numFmtId="0" fontId="213" fillId="65" borderId="907" applyNumberFormat="0" applyAlignment="0" applyProtection="0"/>
    <xf numFmtId="0" fontId="203" fillId="81" borderId="1061" applyNumberFormat="0" applyFont="0" applyAlignment="0" applyProtection="0"/>
    <xf numFmtId="0" fontId="203" fillId="81" borderId="908" applyNumberFormat="0" applyFont="0" applyAlignment="0" applyProtection="0"/>
    <xf numFmtId="0" fontId="229" fillId="83" borderId="812" applyAlignment="0">
      <alignment horizontal="center"/>
    </xf>
    <xf numFmtId="182" fontId="225" fillId="0" borderId="1059" applyFill="0" applyProtection="0"/>
    <xf numFmtId="200" fontId="225" fillId="0" borderId="924" applyFill="0" applyProtection="0"/>
    <xf numFmtId="0" fontId="176" fillId="81" borderId="998" applyNumberFormat="0" applyFont="0" applyAlignment="0" applyProtection="0"/>
    <xf numFmtId="0" fontId="213" fillId="65" borderId="1015" applyNumberFormat="0" applyAlignment="0" applyProtection="0"/>
    <xf numFmtId="0" fontId="213" fillId="65" borderId="970" applyNumberFormat="0" applyAlignment="0" applyProtection="0"/>
    <xf numFmtId="0" fontId="203" fillId="81" borderId="926" applyNumberFormat="0" applyFont="0" applyAlignment="0" applyProtection="0"/>
    <xf numFmtId="0" fontId="176" fillId="81" borderId="926" applyNumberFormat="0" applyFont="0" applyAlignment="0" applyProtection="0"/>
    <xf numFmtId="0" fontId="213" fillId="65" borderId="835" applyNumberFormat="0" applyAlignment="0" applyProtection="0"/>
    <xf numFmtId="0" fontId="203" fillId="81" borderId="908" applyNumberFormat="0" applyFont="0" applyAlignment="0" applyProtection="0"/>
    <xf numFmtId="0" fontId="213" fillId="65" borderId="1006" applyNumberFormat="0" applyAlignment="0" applyProtection="0"/>
    <xf numFmtId="0" fontId="213" fillId="65" borderId="727" applyNumberFormat="0" applyAlignment="0" applyProtection="0"/>
    <xf numFmtId="0" fontId="203" fillId="81" borderId="881" applyNumberFormat="0" applyFont="0" applyAlignment="0" applyProtection="0"/>
    <xf numFmtId="0" fontId="213" fillId="65" borderId="916" applyNumberFormat="0" applyAlignment="0" applyProtection="0"/>
    <xf numFmtId="0" fontId="203" fillId="81" borderId="782" applyNumberFormat="0" applyFont="0" applyAlignment="0" applyProtection="0"/>
    <xf numFmtId="182" fontId="225" fillId="0" borderId="1050" applyFill="0" applyProtection="0"/>
    <xf numFmtId="0" fontId="174" fillId="0" borderId="1000" applyNumberFormat="0" applyFill="0" applyAlignment="0" applyProtection="0"/>
    <xf numFmtId="0" fontId="203" fillId="81" borderId="1043" applyNumberFormat="0" applyFont="0" applyAlignment="0" applyProtection="0"/>
    <xf numFmtId="0" fontId="254" fillId="80" borderId="916" applyNumberFormat="0" applyAlignment="0" applyProtection="0"/>
    <xf numFmtId="0" fontId="153" fillId="0" borderId="788">
      <alignment horizontal="left" vertical="center"/>
    </xf>
    <xf numFmtId="0" fontId="213" fillId="65" borderId="817" applyNumberFormat="0" applyAlignment="0" applyProtection="0"/>
    <xf numFmtId="0" fontId="8" fillId="81" borderId="728" applyNumberFormat="0" applyFont="0" applyAlignment="0" applyProtection="0"/>
    <xf numFmtId="0" fontId="238" fillId="59" borderId="1051" applyNumberFormat="0" applyAlignment="0" applyProtection="0"/>
    <xf numFmtId="0" fontId="203" fillId="81" borderId="728" applyNumberFormat="0" applyFont="0" applyAlignment="0" applyProtection="0"/>
    <xf numFmtId="0" fontId="203" fillId="81" borderId="1043" applyNumberFormat="0" applyFont="0" applyAlignment="0" applyProtection="0"/>
    <xf numFmtId="0" fontId="203" fillId="81" borderId="953" applyNumberFormat="0" applyFont="0" applyAlignment="0" applyProtection="0"/>
    <xf numFmtId="0" fontId="178" fillId="0" borderId="733" applyProtection="0"/>
    <xf numFmtId="0" fontId="244" fillId="0" borderId="726" applyNumberFormat="0" applyFont="0" applyFill="0" applyAlignment="0" applyProtection="0"/>
    <xf numFmtId="0" fontId="216" fillId="59" borderId="774" applyNumberFormat="0" applyAlignment="0" applyProtection="0"/>
    <xf numFmtId="0" fontId="229" fillId="83" borderId="777" applyAlignment="0">
      <alignment horizontal="center"/>
    </xf>
    <xf numFmtId="0" fontId="176" fillId="81" borderId="836" applyNumberFormat="0" applyFont="0" applyAlignment="0" applyProtection="0"/>
    <xf numFmtId="0" fontId="216" fillId="78" borderId="846" applyNumberFormat="0" applyAlignment="0" applyProtection="0"/>
    <xf numFmtId="0" fontId="216" fillId="78" borderId="918" applyNumberFormat="0" applyAlignment="0" applyProtection="0"/>
    <xf numFmtId="0" fontId="244" fillId="0" borderId="996" applyNumberFormat="0" applyFont="0" applyFill="0" applyAlignment="0" applyProtection="0"/>
    <xf numFmtId="0" fontId="213" fillId="65" borderId="1060" applyNumberFormat="0" applyAlignment="0" applyProtection="0"/>
    <xf numFmtId="0" fontId="203" fillId="81" borderId="836" applyNumberFormat="0" applyFont="0" applyAlignment="0" applyProtection="0"/>
    <xf numFmtId="200" fontId="225" fillId="0" borderId="1041" applyFill="0" applyProtection="0"/>
    <xf numFmtId="0" fontId="203" fillId="81" borderId="899" applyNumberFormat="0" applyFont="0" applyAlignment="0" applyProtection="0"/>
    <xf numFmtId="0" fontId="213" fillId="65" borderId="1042" applyNumberFormat="0" applyAlignment="0" applyProtection="0"/>
    <xf numFmtId="0" fontId="229" fillId="83" borderId="812" applyAlignment="0">
      <alignment horizontal="center"/>
    </xf>
    <xf numFmtId="0" fontId="213" fillId="65" borderId="862" applyNumberFormat="0" applyAlignment="0" applyProtection="0"/>
    <xf numFmtId="0" fontId="203" fillId="81" borderId="1016" applyNumberFormat="0" applyFont="0" applyAlignment="0" applyProtection="0"/>
    <xf numFmtId="0" fontId="203" fillId="81" borderId="998" applyNumberFormat="0" applyFont="0" applyAlignment="0" applyProtection="0"/>
    <xf numFmtId="0" fontId="213" fillId="65" borderId="817" applyNumberFormat="0" applyAlignment="0" applyProtection="0"/>
    <xf numFmtId="0" fontId="203" fillId="81" borderId="773" applyNumberFormat="0" applyFont="0" applyAlignment="0" applyProtection="0"/>
    <xf numFmtId="0" fontId="238" fillId="59" borderId="916" applyNumberFormat="0" applyAlignment="0" applyProtection="0"/>
    <xf numFmtId="0" fontId="174" fillId="0" borderId="786" applyNumberFormat="0" applyFill="0" applyAlignment="0" applyProtection="0"/>
    <xf numFmtId="0" fontId="206" fillId="78" borderId="772" applyNumberFormat="0" applyAlignment="0" applyProtection="0"/>
    <xf numFmtId="0" fontId="8" fillId="81" borderId="998" applyNumberFormat="0" applyFont="0" applyAlignment="0" applyProtection="0"/>
    <xf numFmtId="0" fontId="216" fillId="78" borderId="819" applyNumberFormat="0" applyAlignment="0" applyProtection="0"/>
    <xf numFmtId="0" fontId="213" fillId="65" borderId="1051" applyNumberFormat="0" applyAlignment="0" applyProtection="0"/>
    <xf numFmtId="0" fontId="213" fillId="65" borderId="871" applyNumberFormat="0" applyAlignment="0" applyProtection="0"/>
    <xf numFmtId="0" fontId="174" fillId="0" borderId="1018" applyNumberFormat="0" applyFill="0" applyAlignment="0" applyProtection="0"/>
    <xf numFmtId="0" fontId="174" fillId="0" borderId="910" applyNumberFormat="0" applyFill="0" applyAlignment="0" applyProtection="0"/>
    <xf numFmtId="0" fontId="203" fillId="81" borderId="818" applyNumberFormat="0" applyFont="0" applyAlignment="0" applyProtection="0"/>
    <xf numFmtId="0" fontId="203" fillId="81" borderId="998" applyNumberFormat="0" applyFont="0" applyAlignment="0" applyProtection="0"/>
    <xf numFmtId="0" fontId="176" fillId="81" borderId="926" applyNumberFormat="0" applyFont="0" applyAlignment="0" applyProtection="0"/>
    <xf numFmtId="0" fontId="203" fillId="81" borderId="818" applyNumberFormat="0" applyFont="0" applyAlignment="0" applyProtection="0"/>
    <xf numFmtId="0" fontId="176" fillId="81" borderId="863" applyNumberFormat="0" applyFont="0" applyAlignment="0" applyProtection="0"/>
    <xf numFmtId="0" fontId="203" fillId="81" borderId="917" applyNumberFormat="0" applyFont="0" applyAlignment="0" applyProtection="0"/>
    <xf numFmtId="0" fontId="213" fillId="65" borderId="952" applyNumberFormat="0" applyAlignment="0" applyProtection="0"/>
    <xf numFmtId="0" fontId="213" fillId="65" borderId="880" applyNumberFormat="0" applyAlignment="0" applyProtection="0"/>
    <xf numFmtId="182" fontId="225" fillId="0" borderId="1014" applyFill="0" applyProtection="0"/>
    <xf numFmtId="0" fontId="176" fillId="81" borderId="908" applyNumberFormat="0" applyFont="0" applyAlignment="0" applyProtection="0"/>
    <xf numFmtId="0" fontId="206" fillId="78" borderId="871" applyNumberFormat="0" applyAlignment="0" applyProtection="0"/>
    <xf numFmtId="0" fontId="213" fillId="65" borderId="952" applyNumberFormat="0" applyAlignment="0" applyProtection="0"/>
    <xf numFmtId="0" fontId="254" fillId="80" borderId="835" applyNumberFormat="0" applyAlignment="0" applyProtection="0"/>
    <xf numFmtId="0" fontId="213" fillId="65" borderId="970" applyNumberFormat="0" applyAlignment="0" applyProtection="0"/>
    <xf numFmtId="0" fontId="213" fillId="65" borderId="862" applyNumberFormat="0" applyAlignment="0" applyProtection="0"/>
    <xf numFmtId="0" fontId="176" fillId="81" borderId="998" applyNumberFormat="0" applyFont="0" applyAlignment="0" applyProtection="0"/>
    <xf numFmtId="0" fontId="153" fillId="0" borderId="860">
      <alignment horizontal="left" vertical="center"/>
    </xf>
    <xf numFmtId="0" fontId="213" fillId="65" borderId="781" applyNumberFormat="0" applyAlignment="0" applyProtection="0"/>
    <xf numFmtId="0" fontId="216" fillId="59" borderId="927" applyNumberFormat="0" applyAlignment="0" applyProtection="0"/>
    <xf numFmtId="0" fontId="213" fillId="65" borderId="817" applyNumberFormat="0" applyAlignment="0" applyProtection="0"/>
    <xf numFmtId="0" fontId="216" fillId="59" borderId="1053"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153" fillId="0" borderId="878">
      <alignment horizontal="left" vertical="center"/>
    </xf>
    <xf numFmtId="0" fontId="203" fillId="81" borderId="836" applyNumberFormat="0" applyFont="0" applyAlignment="0" applyProtection="0"/>
    <xf numFmtId="0" fontId="203" fillId="81" borderId="1016" applyNumberFormat="0" applyFont="0" applyAlignment="0" applyProtection="0"/>
    <xf numFmtId="0" fontId="203" fillId="81" borderId="953" applyNumberFormat="0" applyFont="0" applyAlignment="0" applyProtection="0"/>
    <xf numFmtId="0" fontId="213" fillId="65" borderId="835" applyNumberFormat="0" applyAlignment="0" applyProtection="0"/>
    <xf numFmtId="182" fontId="225" fillId="0" borderId="834" applyFill="0" applyProtection="0"/>
    <xf numFmtId="0" fontId="203" fillId="81" borderId="908" applyNumberFormat="0" applyFont="0" applyAlignment="0" applyProtection="0"/>
    <xf numFmtId="0" fontId="213" fillId="65" borderId="862" applyNumberFormat="0" applyAlignment="0" applyProtection="0"/>
    <xf numFmtId="0" fontId="238" fillId="59" borderId="817" applyNumberFormat="0" applyAlignment="0" applyProtection="0"/>
    <xf numFmtId="0" fontId="203" fillId="81" borderId="1043" applyNumberFormat="0" applyFont="0" applyAlignment="0" applyProtection="0"/>
    <xf numFmtId="0" fontId="203" fillId="81" borderId="917" applyNumberFormat="0" applyFont="0" applyAlignment="0" applyProtection="0"/>
    <xf numFmtId="182" fontId="225" fillId="0" borderId="834" applyFill="0" applyProtection="0"/>
    <xf numFmtId="0" fontId="203" fillId="81" borderId="809" applyNumberFormat="0" applyFont="0" applyAlignment="0" applyProtection="0"/>
    <xf numFmtId="0" fontId="213" fillId="65" borderId="1006" applyNumberFormat="0" applyAlignment="0" applyProtection="0"/>
    <xf numFmtId="0" fontId="203" fillId="81" borderId="908" applyNumberFormat="0" applyFont="0" applyAlignment="0" applyProtection="0"/>
    <xf numFmtId="0" fontId="213" fillId="65" borderId="1042" applyNumberFormat="0" applyAlignment="0" applyProtection="0"/>
    <xf numFmtId="0" fontId="213" fillId="65" borderId="907" applyNumberFormat="0" applyAlignment="0" applyProtection="0"/>
    <xf numFmtId="182" fontId="225" fillId="0" borderId="1050" applyFill="0" applyProtection="0"/>
    <xf numFmtId="0" fontId="174" fillId="0" borderId="955" applyNumberFormat="0" applyFill="0" applyAlignment="0" applyProtection="0"/>
    <xf numFmtId="0" fontId="213" fillId="65" borderId="961" applyNumberFormat="0" applyAlignment="0" applyProtection="0"/>
    <xf numFmtId="0" fontId="206" fillId="78" borderId="86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727" applyNumberFormat="0" applyAlignment="0" applyProtection="0"/>
    <xf numFmtId="200" fontId="225" fillId="0" borderId="861" applyFill="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244" fillId="0" borderId="771" applyNumberFormat="0" applyFont="0" applyFill="0" applyAlignment="0" applyProtection="0"/>
    <xf numFmtId="0" fontId="203" fillId="81" borderId="926" applyNumberFormat="0" applyFont="0" applyAlignment="0" applyProtection="0"/>
    <xf numFmtId="0" fontId="8" fillId="81" borderId="728" applyNumberFormat="0" applyFont="0" applyAlignment="0" applyProtection="0"/>
    <xf numFmtId="0" fontId="229" fillId="83" borderId="884" applyAlignment="0">
      <alignment horizontal="center"/>
    </xf>
    <xf numFmtId="0" fontId="213" fillId="65" borderId="835" applyNumberFormat="0" applyAlignment="0" applyProtection="0"/>
    <xf numFmtId="0" fontId="213" fillId="65" borderId="1060" applyNumberFormat="0" applyAlignment="0" applyProtection="0"/>
    <xf numFmtId="0" fontId="213" fillId="65" borderId="916" applyNumberFormat="0" applyAlignment="0" applyProtection="0"/>
    <xf numFmtId="0" fontId="213" fillId="65" borderId="772" applyNumberFormat="0" applyAlignment="0" applyProtection="0"/>
    <xf numFmtId="0" fontId="174" fillId="0" borderId="840" applyNumberFormat="0" applyFill="0" applyAlignment="0" applyProtection="0"/>
    <xf numFmtId="0" fontId="176" fillId="81" borderId="836" applyNumberFormat="0" applyFont="0" applyAlignment="0" applyProtection="0"/>
    <xf numFmtId="0" fontId="229" fillId="83" borderId="1047" applyAlignment="0">
      <alignment horizontal="center"/>
    </xf>
    <xf numFmtId="0" fontId="203" fillId="81" borderId="971" applyNumberFormat="0" applyFont="0" applyAlignment="0" applyProtection="0"/>
    <xf numFmtId="0" fontId="229" fillId="83" borderId="912" applyAlignment="0">
      <alignment horizontal="center"/>
    </xf>
    <xf numFmtId="0" fontId="229" fillId="83" borderId="992" applyAlignment="0">
      <alignment horizontal="center"/>
    </xf>
    <xf numFmtId="0" fontId="213" fillId="65" borderId="907" applyNumberFormat="0" applyAlignment="0" applyProtection="0"/>
    <xf numFmtId="0" fontId="213" fillId="65" borderId="817" applyNumberFormat="0" applyAlignment="0" applyProtection="0"/>
    <xf numFmtId="0" fontId="178" fillId="0" borderId="976" applyProtection="0"/>
    <xf numFmtId="0" fontId="213" fillId="65" borderId="952" applyNumberFormat="0" applyAlignment="0" applyProtection="0"/>
    <xf numFmtId="0" fontId="176" fillId="81" borderId="809" applyNumberFormat="0" applyFont="0" applyAlignment="0" applyProtection="0"/>
    <xf numFmtId="0" fontId="213" fillId="65" borderId="907" applyNumberFormat="0" applyAlignment="0" applyProtection="0"/>
    <xf numFmtId="200" fontId="225" fillId="0" borderId="879" applyFill="0" applyProtection="0"/>
    <xf numFmtId="0" fontId="213" fillId="65" borderId="772" applyNumberFormat="0" applyAlignment="0" applyProtection="0"/>
    <xf numFmtId="0" fontId="213" fillId="65" borderId="772" applyNumberFormat="0" applyAlignment="0" applyProtection="0"/>
    <xf numFmtId="0" fontId="229" fillId="83" borderId="902" applyAlignment="0">
      <alignment horizontal="center"/>
    </xf>
    <xf numFmtId="182" fontId="225" fillId="0" borderId="960" applyFill="0" applyProtection="0"/>
    <xf numFmtId="0" fontId="213" fillId="65" borderId="997" applyNumberFormat="0" applyAlignment="0" applyProtection="0"/>
    <xf numFmtId="0" fontId="216" fillId="78" borderId="1044" applyNumberFormat="0" applyAlignment="0" applyProtection="0"/>
    <xf numFmtId="0" fontId="178" fillId="0" borderId="931" applyProtection="0"/>
    <xf numFmtId="0" fontId="213" fillId="65" borderId="880" applyNumberFormat="0" applyAlignment="0" applyProtection="0"/>
    <xf numFmtId="0" fontId="213" fillId="65" borderId="907" applyNumberFormat="0" applyAlignment="0" applyProtection="0"/>
    <xf numFmtId="0" fontId="213" fillId="65" borderId="907" applyNumberFormat="0" applyAlignment="0" applyProtection="0"/>
    <xf numFmtId="0" fontId="213" fillId="65" borderId="1015" applyNumberFormat="0" applyAlignment="0" applyProtection="0"/>
    <xf numFmtId="0" fontId="203" fillId="81" borderId="872" applyNumberFormat="0" applyFont="0" applyAlignment="0" applyProtection="0"/>
    <xf numFmtId="0" fontId="8" fillId="81" borderId="953" applyNumberFormat="0" applyFont="0" applyAlignment="0" applyProtection="0"/>
    <xf numFmtId="0" fontId="213" fillId="65" borderId="1006" applyNumberFormat="0" applyAlignment="0" applyProtection="0"/>
    <xf numFmtId="0" fontId="213" fillId="65" borderId="1060" applyNumberFormat="0" applyAlignment="0" applyProtection="0"/>
    <xf numFmtId="0" fontId="174" fillId="0" borderId="919" applyNumberFormat="0" applyFill="0" applyAlignment="0" applyProtection="0"/>
    <xf numFmtId="0" fontId="216" fillId="59" borderId="864" applyNumberFormat="0" applyAlignment="0" applyProtection="0"/>
    <xf numFmtId="0" fontId="206" fillId="78" borderId="817" applyNumberFormat="0" applyAlignment="0" applyProtection="0"/>
    <xf numFmtId="0" fontId="213" fillId="65" borderId="727" applyNumberFormat="0" applyAlignment="0" applyProtection="0"/>
    <xf numFmtId="0" fontId="213" fillId="65" borderId="727" applyNumberFormat="0" applyAlignment="0" applyProtection="0"/>
    <xf numFmtId="0" fontId="203" fillId="81" borderId="998" applyNumberFormat="0" applyFont="0" applyAlignment="0" applyProtection="0"/>
    <xf numFmtId="0" fontId="203" fillId="81" borderId="818" applyNumberFormat="0" applyFont="0" applyAlignment="0" applyProtection="0"/>
    <xf numFmtId="0" fontId="203" fillId="81" borderId="1016" applyNumberFormat="0" applyFont="0" applyAlignment="0" applyProtection="0"/>
    <xf numFmtId="0" fontId="213" fillId="65" borderId="862" applyNumberFormat="0" applyAlignment="0" applyProtection="0"/>
    <xf numFmtId="0" fontId="213" fillId="65" borderId="772" applyNumberFormat="0" applyAlignment="0" applyProtection="0"/>
    <xf numFmtId="0" fontId="213" fillId="80" borderId="1042" applyNumberFormat="0" applyAlignment="0" applyProtection="0"/>
    <xf numFmtId="0" fontId="213" fillId="65" borderId="817" applyNumberFormat="0" applyAlignment="0" applyProtection="0"/>
    <xf numFmtId="0" fontId="213" fillId="65" borderId="862" applyNumberFormat="0" applyAlignment="0" applyProtection="0"/>
    <xf numFmtId="0" fontId="213" fillId="65" borderId="871" applyNumberFormat="0" applyAlignment="0" applyProtection="0"/>
    <xf numFmtId="0" fontId="213" fillId="65" borderId="907" applyNumberFormat="0" applyAlignment="0" applyProtection="0"/>
    <xf numFmtId="0" fontId="176" fillId="81" borderId="827" applyNumberFormat="0" applyFont="0" applyAlignment="0" applyProtection="0"/>
    <xf numFmtId="0" fontId="213" fillId="65" borderId="907" applyNumberFormat="0" applyAlignment="0" applyProtection="0"/>
    <xf numFmtId="0" fontId="249" fillId="59" borderId="952" applyNumberFormat="0" applyAlignment="0" applyProtection="0"/>
    <xf numFmtId="0" fontId="213" fillId="65" borderId="862" applyNumberFormat="0" applyAlignment="0" applyProtection="0"/>
    <xf numFmtId="0" fontId="229" fillId="83" borderId="992" applyAlignment="0">
      <alignment horizontal="center"/>
    </xf>
    <xf numFmtId="0" fontId="8" fillId="81" borderId="782" applyNumberFormat="0" applyFont="0" applyAlignment="0" applyProtection="0"/>
    <xf numFmtId="200" fontId="225" fillId="0" borderId="780" applyFill="0" applyProtection="0"/>
    <xf numFmtId="182" fontId="225" fillId="0" borderId="1014" applyFill="0" applyProtection="0"/>
    <xf numFmtId="0" fontId="213" fillId="65" borderId="862" applyNumberFormat="0" applyAlignment="0" applyProtection="0"/>
    <xf numFmtId="0" fontId="203" fillId="81" borderId="818" applyNumberFormat="0" applyFont="0" applyAlignment="0" applyProtection="0"/>
    <xf numFmtId="0" fontId="176" fillId="81" borderId="1016" applyNumberFormat="0" applyFont="0" applyAlignment="0" applyProtection="0"/>
    <xf numFmtId="0" fontId="203" fillId="81" borderId="998" applyNumberFormat="0" applyFont="0" applyAlignment="0" applyProtection="0"/>
    <xf numFmtId="0" fontId="203" fillId="81" borderId="908" applyNumberFormat="0" applyFont="0" applyAlignment="0" applyProtection="0"/>
    <xf numFmtId="0" fontId="213" fillId="65" borderId="961" applyNumberFormat="0" applyAlignment="0" applyProtection="0"/>
    <xf numFmtId="182" fontId="225" fillId="0" borderId="789" applyFill="0" applyProtection="0"/>
    <xf numFmtId="200" fontId="225" fillId="0" borderId="789" applyFill="0" applyProtection="0"/>
    <xf numFmtId="0" fontId="249" fillId="59" borderId="790" applyNumberFormat="0" applyAlignment="0" applyProtection="0"/>
    <xf numFmtId="0" fontId="203" fillId="81" borderId="971" applyNumberFormat="0" applyFont="0" applyAlignment="0" applyProtection="0"/>
    <xf numFmtId="0" fontId="213" fillId="65" borderId="907" applyNumberFormat="0" applyAlignment="0" applyProtection="0"/>
    <xf numFmtId="0" fontId="213" fillId="65" borderId="970" applyNumberFormat="0" applyAlignment="0" applyProtection="0"/>
    <xf numFmtId="0" fontId="203" fillId="81" borderId="791" applyNumberFormat="0" applyFont="0" applyAlignment="0" applyProtection="0"/>
    <xf numFmtId="0" fontId="213" fillId="80" borderId="77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1060" applyNumberFormat="0" applyAlignment="0" applyProtection="0"/>
    <xf numFmtId="0" fontId="213" fillId="65" borderId="1051" applyNumberFormat="0" applyAlignment="0" applyProtection="0"/>
    <xf numFmtId="182" fontId="225" fillId="0" borderId="726" applyFill="0" applyProtection="0"/>
    <xf numFmtId="0" fontId="213" fillId="65" borderId="862" applyNumberFormat="0" applyAlignment="0" applyProtection="0"/>
    <xf numFmtId="0" fontId="216" fillId="78" borderId="999" applyNumberFormat="0" applyAlignment="0" applyProtection="0"/>
    <xf numFmtId="200" fontId="225" fillId="0" borderId="960" applyFill="0" applyProtection="0"/>
    <xf numFmtId="0" fontId="174" fillId="0" borderId="930" applyNumberFormat="0" applyFill="0" applyAlignment="0" applyProtection="0"/>
    <xf numFmtId="0" fontId="203" fillId="81" borderId="863" applyNumberFormat="0" applyFont="0" applyAlignment="0" applyProtection="0"/>
    <xf numFmtId="0" fontId="254" fillId="80" borderId="925" applyNumberFormat="0" applyAlignment="0" applyProtection="0"/>
    <xf numFmtId="0" fontId="203" fillId="81" borderId="836" applyNumberFormat="0" applyFont="0" applyAlignment="0" applyProtection="0"/>
    <xf numFmtId="0" fontId="203" fillId="81" borderId="791" applyNumberFormat="0" applyFon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790" applyNumberFormat="0" applyAlignment="0" applyProtection="0"/>
    <xf numFmtId="0" fontId="203" fillId="81" borderId="1043"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182" fontId="225" fillId="0" borderId="771" applyFill="0" applyProtection="0"/>
    <xf numFmtId="0" fontId="244" fillId="0" borderId="906" applyNumberFormat="0" applyFont="0" applyFill="0" applyAlignment="0" applyProtection="0"/>
    <xf numFmtId="0" fontId="213" fillId="65" borderId="925" applyNumberFormat="0" applyAlignment="0" applyProtection="0"/>
    <xf numFmtId="0" fontId="213" fillId="65" borderId="727" applyNumberFormat="0" applyAlignment="0" applyProtection="0"/>
    <xf numFmtId="0" fontId="203" fillId="81" borderId="1061" applyNumberFormat="0" applyFont="0" applyAlignment="0" applyProtection="0"/>
    <xf numFmtId="200" fontId="225" fillId="0" borderId="861" applyFill="0" applyProtection="0"/>
    <xf numFmtId="0" fontId="176" fillId="81" borderId="908" applyNumberFormat="0" applyFont="0" applyAlignment="0" applyProtection="0"/>
    <xf numFmtId="0" fontId="249" fillId="59" borderId="772" applyNumberFormat="0" applyAlignment="0" applyProtection="0"/>
    <xf numFmtId="0" fontId="213" fillId="80" borderId="1006" applyNumberFormat="0" applyAlignment="0" applyProtection="0"/>
    <xf numFmtId="0" fontId="229" fillId="83" borderId="794" applyAlignment="0">
      <alignment horizontal="center"/>
    </xf>
    <xf numFmtId="0" fontId="203" fillId="81" borderId="953" applyNumberFormat="0" applyFont="0" applyAlignment="0" applyProtection="0"/>
    <xf numFmtId="182" fontId="225" fillId="0" borderId="906" applyFill="0" applyProtection="0"/>
    <xf numFmtId="0" fontId="213" fillId="65" borderId="835" applyNumberFormat="0" applyAlignment="0" applyProtection="0"/>
    <xf numFmtId="0" fontId="254" fillId="80" borderId="1006" applyNumberFormat="0" applyAlignment="0" applyProtection="0"/>
    <xf numFmtId="0" fontId="213" fillId="65" borderId="835" applyNumberFormat="0" applyAlignment="0" applyProtection="0"/>
    <xf numFmtId="0" fontId="244" fillId="0" borderId="726" applyNumberFormat="0" applyFont="0" applyFill="0" applyAlignment="0" applyProtection="0"/>
    <xf numFmtId="200" fontId="225" fillId="0" borderId="789" applyFill="0" applyProtection="0"/>
    <xf numFmtId="200" fontId="225" fillId="0" borderId="789" applyFill="0" applyProtection="0"/>
    <xf numFmtId="0" fontId="213" fillId="65" borderId="970" applyNumberFormat="0" applyAlignment="0" applyProtection="0"/>
    <xf numFmtId="0" fontId="213" fillId="65" borderId="907" applyNumberFormat="0" applyAlignment="0" applyProtection="0"/>
    <xf numFmtId="0" fontId="213" fillId="65" borderId="961" applyNumberFormat="0" applyAlignment="0" applyProtection="0"/>
    <xf numFmtId="0" fontId="213" fillId="80" borderId="727" applyNumberFormat="0" applyAlignment="0" applyProtection="0"/>
    <xf numFmtId="0" fontId="213" fillId="65" borderId="727" applyNumberFormat="0" applyAlignment="0" applyProtection="0"/>
    <xf numFmtId="200" fontId="225" fillId="0" borderId="924" applyFill="0" applyProtection="0"/>
    <xf numFmtId="0" fontId="203" fillId="81" borderId="926" applyNumberFormat="0" applyFont="0" applyAlignment="0" applyProtection="0"/>
    <xf numFmtId="0" fontId="213" fillId="65" borderId="772" applyNumberFormat="0" applyAlignment="0" applyProtection="0"/>
    <xf numFmtId="0" fontId="203" fillId="81" borderId="854" applyNumberFormat="0" applyFont="0" applyAlignment="0" applyProtection="0"/>
    <xf numFmtId="0" fontId="213" fillId="65" borderId="1060" applyNumberFormat="0" applyAlignment="0" applyProtection="0"/>
    <xf numFmtId="0" fontId="203" fillId="81" borderId="818" applyNumberFormat="0" applyFont="0" applyAlignment="0" applyProtection="0"/>
    <xf numFmtId="0" fontId="206" fillId="78" borderId="817" applyNumberFormat="0" applyAlignment="0" applyProtection="0"/>
    <xf numFmtId="200" fontId="225" fillId="0" borderId="879" applyFill="0" applyProtection="0"/>
    <xf numFmtId="0" fontId="213" fillId="65" borderId="862" applyNumberFormat="0" applyAlignment="0" applyProtection="0"/>
    <xf numFmtId="0" fontId="213" fillId="65" borderId="997" applyNumberFormat="0" applyAlignment="0" applyProtection="0"/>
    <xf numFmtId="0" fontId="213" fillId="80" borderId="925" applyNumberFormat="0" applyAlignment="0" applyProtection="0"/>
    <xf numFmtId="0" fontId="216" fillId="78" borderId="657" applyNumberFormat="0" applyAlignment="0" applyProtection="0"/>
    <xf numFmtId="0" fontId="213" fillId="65" borderId="727"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862" applyNumberFormat="0" applyAlignment="0" applyProtection="0"/>
    <xf numFmtId="0" fontId="8" fillId="81" borderId="773" applyNumberFormat="0" applyFont="0" applyAlignment="0" applyProtection="0"/>
    <xf numFmtId="0" fontId="213" fillId="80" borderId="880" applyNumberFormat="0" applyAlignment="0" applyProtection="0"/>
    <xf numFmtId="0" fontId="257" fillId="59" borderId="918" applyNumberFormat="0" applyAlignment="0" applyProtection="0"/>
    <xf numFmtId="0" fontId="213" fillId="65" borderId="790" applyNumberFormat="0" applyAlignment="0" applyProtection="0"/>
    <xf numFmtId="0" fontId="176" fillId="81" borderId="917" applyNumberFormat="0" applyFont="0" applyAlignment="0" applyProtection="0"/>
    <xf numFmtId="0" fontId="213" fillId="65" borderId="997" applyNumberForma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881" applyNumberFormat="0" applyFont="0" applyAlignment="0" applyProtection="0"/>
    <xf numFmtId="0" fontId="203" fillId="81" borderId="728" applyNumberFormat="0" applyFont="0" applyAlignment="0" applyProtection="0"/>
    <xf numFmtId="0" fontId="216" fillId="78" borderId="819" applyNumberFormat="0" applyAlignment="0" applyProtection="0"/>
    <xf numFmtId="0" fontId="213" fillId="65" borderId="961" applyNumberFormat="0" applyAlignment="0" applyProtection="0"/>
    <xf numFmtId="0" fontId="203" fillId="81" borderId="674" applyNumberFormat="0" applyFont="0" applyAlignment="0" applyProtection="0"/>
    <xf numFmtId="0" fontId="203" fillId="81" borderId="710" applyNumberFormat="0" applyFont="0" applyAlignment="0" applyProtection="0"/>
    <xf numFmtId="200" fontId="225" fillId="0" borderId="1005" applyFill="0" applyProtection="0"/>
    <xf numFmtId="200" fontId="225" fillId="0" borderId="870" applyFill="0" applyProtection="0"/>
    <xf numFmtId="0" fontId="213" fillId="65" borderId="997" applyNumberFormat="0" applyAlignment="0" applyProtection="0"/>
    <xf numFmtId="0" fontId="213" fillId="65" borderId="871" applyNumberFormat="0" applyAlignment="0" applyProtection="0"/>
    <xf numFmtId="0" fontId="213" fillId="65" borderId="835" applyNumberFormat="0" applyAlignment="0" applyProtection="0"/>
    <xf numFmtId="0" fontId="213" fillId="80" borderId="727" applyNumberFormat="0" applyAlignment="0" applyProtection="0"/>
    <xf numFmtId="0" fontId="216" fillId="78" borderId="1008" applyNumberFormat="0" applyAlignment="0" applyProtection="0"/>
    <xf numFmtId="0" fontId="213" fillId="65" borderId="736" applyNumberFormat="0" applyAlignment="0" applyProtection="0"/>
    <xf numFmtId="0" fontId="176" fillId="81" borderId="728" applyNumberFormat="0" applyFont="0" applyAlignment="0" applyProtection="0"/>
    <xf numFmtId="200" fontId="225" fillId="0" borderId="951" applyFill="0" applyProtection="0"/>
    <xf numFmtId="0" fontId="213" fillId="65" borderId="1042" applyNumberFormat="0" applyAlignment="0" applyProtection="0"/>
    <xf numFmtId="0" fontId="176" fillId="81" borderId="782" applyNumberFormat="0" applyFont="0" applyAlignment="0" applyProtection="0"/>
    <xf numFmtId="0" fontId="213" fillId="65" borderId="862" applyNumberFormat="0" applyAlignment="0" applyProtection="0"/>
    <xf numFmtId="0" fontId="213" fillId="65" borderId="781" applyNumberFormat="0" applyAlignment="0" applyProtection="0"/>
    <xf numFmtId="182" fontId="225" fillId="0" borderId="870" applyFill="0" applyProtection="0"/>
    <xf numFmtId="0" fontId="213" fillId="65" borderId="727" applyNumberFormat="0" applyAlignment="0" applyProtection="0"/>
    <xf numFmtId="200" fontId="225" fillId="0" borderId="1005" applyFill="0" applyProtection="0"/>
    <xf numFmtId="200" fontId="225" fillId="0" borderId="1041" applyFill="0" applyProtection="0"/>
    <xf numFmtId="182" fontId="225" fillId="0" borderId="726" applyFill="0" applyProtection="0"/>
    <xf numFmtId="0" fontId="203" fillId="81" borderId="782" applyNumberFormat="0" applyFont="0" applyAlignment="0" applyProtection="0"/>
    <xf numFmtId="0" fontId="203" fillId="81" borderId="881" applyNumberFormat="0" applyFont="0" applyAlignment="0" applyProtection="0"/>
    <xf numFmtId="0" fontId="203" fillId="81" borderId="998" applyNumberFormat="0" applyFont="0" applyAlignment="0" applyProtection="0"/>
    <xf numFmtId="0" fontId="213" fillId="65" borderId="781" applyNumberFormat="0" applyAlignment="0" applyProtection="0"/>
    <xf numFmtId="0" fontId="213" fillId="65" borderId="907" applyNumberFormat="0" applyAlignment="0" applyProtection="0"/>
    <xf numFmtId="0" fontId="213" fillId="65" borderId="925" applyNumberFormat="0" applyAlignment="0" applyProtection="0"/>
    <xf numFmtId="0" fontId="203" fillId="81" borderId="1007" applyNumberFormat="0" applyFont="0" applyAlignment="0" applyProtection="0"/>
    <xf numFmtId="0" fontId="203" fillId="81" borderId="863" applyNumberFormat="0" applyFont="0" applyAlignment="0" applyProtection="0"/>
    <xf numFmtId="0" fontId="213" fillId="65" borderId="880" applyNumberFormat="0" applyAlignment="0" applyProtection="0"/>
    <xf numFmtId="0" fontId="203" fillId="81" borderId="728" applyNumberFormat="0" applyFont="0" applyAlignment="0" applyProtection="0"/>
    <xf numFmtId="0" fontId="213" fillId="65" borderId="817" applyNumberFormat="0" applyAlignment="0" applyProtection="0"/>
    <xf numFmtId="0" fontId="203" fillId="81" borderId="827" applyNumberFormat="0" applyFont="0" applyAlignment="0" applyProtection="0"/>
    <xf numFmtId="0" fontId="213" fillId="65" borderId="862" applyNumberFormat="0" applyAlignment="0" applyProtection="0"/>
    <xf numFmtId="0" fontId="203" fillId="81" borderId="773" applyNumberFormat="0" applyFont="0" applyAlignment="0" applyProtection="0"/>
    <xf numFmtId="0" fontId="213" fillId="80" borderId="907" applyNumberFormat="0" applyAlignment="0" applyProtection="0"/>
    <xf numFmtId="0" fontId="213" fillId="65" borderId="880" applyNumberFormat="0" applyAlignment="0" applyProtection="0"/>
    <xf numFmtId="0" fontId="176" fillId="81" borderId="1043" applyNumberFormat="0" applyFont="0" applyAlignment="0" applyProtection="0"/>
    <xf numFmtId="0" fontId="174" fillId="0" borderId="831" applyNumberFormat="0" applyFill="0" applyAlignment="0" applyProtection="0"/>
    <xf numFmtId="0" fontId="216" fillId="59" borderId="819" applyNumberFormat="0" applyAlignment="0" applyProtection="0"/>
    <xf numFmtId="0" fontId="153" fillId="0" borderId="905">
      <alignment horizontal="left" vertical="center"/>
    </xf>
    <xf numFmtId="0" fontId="213" fillId="65" borderId="772" applyNumberFormat="0" applyAlignment="0" applyProtection="0"/>
    <xf numFmtId="0" fontId="213" fillId="65" borderId="1051" applyNumberFormat="0" applyAlignment="0" applyProtection="0"/>
    <xf numFmtId="0" fontId="213" fillId="65" borderId="871" applyNumberFormat="0" applyAlignment="0" applyProtection="0"/>
    <xf numFmtId="0" fontId="203" fillId="81" borderId="989" applyNumberFormat="0" applyFont="0" applyAlignment="0" applyProtection="0"/>
    <xf numFmtId="0" fontId="176" fillId="81" borderId="791" applyNumberFormat="0" applyFont="0" applyAlignment="0" applyProtection="0"/>
    <xf numFmtId="0" fontId="213" fillId="65" borderId="952" applyNumberFormat="0" applyAlignment="0" applyProtection="0"/>
    <xf numFmtId="0" fontId="174" fillId="0" borderId="865" applyNumberFormat="0" applyFill="0" applyAlignment="0" applyProtection="0"/>
    <xf numFmtId="0" fontId="203" fillId="81" borderId="674" applyNumberFormat="0" applyFont="0" applyAlignment="0" applyProtection="0"/>
    <xf numFmtId="0" fontId="216" fillId="59" borderId="864" applyNumberFormat="0" applyAlignment="0" applyProtection="0"/>
    <xf numFmtId="0" fontId="203" fillId="81" borderId="881" applyNumberFormat="0" applyFont="0" applyAlignment="0" applyProtection="0"/>
    <xf numFmtId="0" fontId="213" fillId="65" borderId="772" applyNumberFormat="0" applyAlignment="0" applyProtection="0"/>
    <xf numFmtId="0" fontId="216" fillId="59" borderId="864" applyNumberFormat="0" applyAlignment="0" applyProtection="0"/>
    <xf numFmtId="0" fontId="203" fillId="81" borderId="1007" applyNumberFormat="0" applyFont="0" applyAlignment="0" applyProtection="0"/>
    <xf numFmtId="0" fontId="174" fillId="0" borderId="730" applyNumberFormat="0" applyFill="0" applyAlignment="0" applyProtection="0"/>
    <xf numFmtId="0" fontId="229" fillId="83" borderId="1010" applyAlignment="0">
      <alignment horizontal="center"/>
    </xf>
    <xf numFmtId="0" fontId="254" fillId="80" borderId="1051" applyNumberFormat="0" applyAlignment="0" applyProtection="0"/>
    <xf numFmtId="0" fontId="213" fillId="65" borderId="736" applyNumberFormat="0" applyAlignment="0" applyProtection="0"/>
    <xf numFmtId="200" fontId="225" fillId="0" borderId="951" applyFill="0" applyProtection="0"/>
    <xf numFmtId="0" fontId="203" fillId="81" borderId="1052" applyNumberFormat="0" applyFont="0" applyAlignment="0" applyProtection="0"/>
    <xf numFmtId="0" fontId="213" fillId="65" borderId="817" applyNumberFormat="0" applyAlignment="0" applyProtection="0"/>
    <xf numFmtId="182" fontId="225" fillId="0" borderId="789" applyFill="0" applyProtection="0"/>
    <xf numFmtId="0" fontId="213" fillId="65" borderId="952" applyNumberFormat="0" applyAlignment="0" applyProtection="0"/>
    <xf numFmtId="200" fontId="225" fillId="0" borderId="879" applyFill="0" applyProtection="0"/>
    <xf numFmtId="0" fontId="213" fillId="65" borderId="1060" applyNumberFormat="0" applyAlignment="0" applyProtection="0"/>
    <xf numFmtId="0" fontId="238" fillId="59" borderId="727" applyNumberFormat="0" applyAlignment="0" applyProtection="0"/>
    <xf numFmtId="0" fontId="203" fillId="81" borderId="998" applyNumberFormat="0" applyFont="0" applyAlignment="0" applyProtection="0"/>
    <xf numFmtId="0" fontId="216" fillId="78" borderId="1026" applyNumberFormat="0" applyAlignment="0" applyProtection="0"/>
    <xf numFmtId="182" fontId="225" fillId="0" borderId="789" applyFill="0" applyProtection="0"/>
    <xf numFmtId="0" fontId="213" fillId="65" borderId="772" applyNumberFormat="0" applyAlignment="0" applyProtection="0"/>
    <xf numFmtId="0" fontId="229" fillId="83" borderId="822" applyAlignment="0">
      <alignment horizontal="center"/>
    </xf>
    <xf numFmtId="182" fontId="225" fillId="0" borderId="789" applyFill="0" applyProtection="0"/>
    <xf numFmtId="0" fontId="213" fillId="65" borderId="997" applyNumberFormat="0" applyAlignment="0" applyProtection="0"/>
    <xf numFmtId="0" fontId="206" fillId="78" borderId="727" applyNumberFormat="0" applyAlignment="0" applyProtection="0"/>
    <xf numFmtId="0" fontId="203" fillId="81" borderId="944" applyNumberFormat="0" applyFont="0" applyAlignment="0" applyProtection="0"/>
    <xf numFmtId="0" fontId="213" fillId="65" borderId="1051" applyNumberFormat="0" applyAlignment="0" applyProtection="0"/>
    <xf numFmtId="0" fontId="153" fillId="0" borderId="788">
      <alignment horizontal="left" vertical="center"/>
    </xf>
    <xf numFmtId="0" fontId="203" fillId="81" borderId="863" applyNumberFormat="0" applyFont="0" applyAlignment="0" applyProtection="0"/>
    <xf numFmtId="0" fontId="203" fillId="81" borderId="872" applyNumberFormat="0" applyFont="0" applyAlignment="0" applyProtection="0"/>
    <xf numFmtId="0" fontId="213" fillId="80" borderId="772" applyNumberFormat="0" applyAlignment="0" applyProtection="0"/>
    <xf numFmtId="0" fontId="206" fillId="78" borderId="691" applyNumberFormat="0" applyAlignment="0" applyProtection="0"/>
    <xf numFmtId="0" fontId="8" fillId="81" borderId="1016" applyNumberFormat="0" applyFont="0" applyAlignment="0" applyProtection="0"/>
    <xf numFmtId="0" fontId="176" fillId="81" borderId="674" applyNumberFormat="0" applyFont="0" applyAlignment="0" applyProtection="0"/>
    <xf numFmtId="0" fontId="238" fillId="59" borderId="1015" applyNumberFormat="0" applyAlignment="0" applyProtection="0"/>
    <xf numFmtId="0" fontId="238" fillId="59" borderId="691" applyNumberFormat="0" applyAlignment="0" applyProtection="0"/>
    <xf numFmtId="0" fontId="213" fillId="80" borderId="691" applyNumberFormat="0" applyAlignment="0" applyProtection="0"/>
    <xf numFmtId="0" fontId="8" fillId="81" borderId="674" applyNumberFormat="0" applyFont="0" applyAlignment="0" applyProtection="0"/>
    <xf numFmtId="0" fontId="216" fillId="59" borderId="657" applyNumberFormat="0" applyAlignment="0" applyProtection="0"/>
    <xf numFmtId="0" fontId="213" fillId="80" borderId="691" applyNumberFormat="0" applyAlignment="0" applyProtection="0"/>
    <xf numFmtId="200" fontId="225" fillId="0" borderId="816" applyFill="0" applyProtection="0"/>
    <xf numFmtId="0" fontId="176" fillId="81" borderId="674" applyNumberFormat="0" applyFont="0" applyAlignment="0" applyProtection="0"/>
    <xf numFmtId="0" fontId="203" fillId="81" borderId="818" applyNumberFormat="0" applyFont="0" applyAlignment="0" applyProtection="0"/>
    <xf numFmtId="200" fontId="225" fillId="0" borderId="1086" applyFill="0" applyProtection="0"/>
    <xf numFmtId="0" fontId="213" fillId="65" borderId="907" applyNumberFormat="0" applyAlignment="0" applyProtection="0"/>
    <xf numFmtId="0" fontId="213" fillId="65" borderId="862" applyNumberFormat="0" applyAlignment="0" applyProtection="0"/>
    <xf numFmtId="200" fontId="225" fillId="0" borderId="744" applyFill="0" applyProtection="0"/>
    <xf numFmtId="0" fontId="229" fillId="83" borderId="1047" applyAlignment="0">
      <alignment horizontal="center"/>
    </xf>
    <xf numFmtId="0" fontId="203" fillId="81" borderId="998" applyNumberFormat="0" applyFont="0" applyAlignment="0" applyProtection="0"/>
    <xf numFmtId="0" fontId="213" fillId="65" borderId="952" applyNumberFormat="0" applyAlignment="0" applyProtection="0"/>
    <xf numFmtId="0" fontId="203" fillId="81" borderId="863" applyNumberFormat="0" applyFont="0" applyAlignment="0" applyProtection="0"/>
    <xf numFmtId="0" fontId="213" fillId="65" borderId="817" applyNumberFormat="0" applyAlignment="0" applyProtection="0"/>
    <xf numFmtId="0" fontId="216" fillId="78" borderId="819" applyNumberFormat="0" applyAlignment="0" applyProtection="0"/>
    <xf numFmtId="0" fontId="213" fillId="65" borderId="790" applyNumberFormat="0" applyAlignment="0" applyProtection="0"/>
    <xf numFmtId="0" fontId="203" fillId="81" borderId="881" applyNumberFormat="0" applyFont="0" applyAlignment="0" applyProtection="0"/>
    <xf numFmtId="200" fontId="225" fillId="0" borderId="825" applyFill="0" applyProtection="0"/>
    <xf numFmtId="0" fontId="176" fillId="81" borderId="908" applyNumberFormat="0" applyFont="0" applyAlignment="0" applyProtection="0"/>
    <xf numFmtId="0" fontId="213" fillId="65" borderId="1015" applyNumberFormat="0" applyAlignment="0" applyProtection="0"/>
    <xf numFmtId="0" fontId="176" fillId="81" borderId="1034" applyNumberFormat="0" applyFont="0" applyAlignment="0" applyProtection="0"/>
    <xf numFmtId="0" fontId="213" fillId="65" borderId="997" applyNumberFormat="0" applyAlignment="0" applyProtection="0"/>
    <xf numFmtId="0" fontId="213" fillId="65" borderId="727" applyNumberFormat="0" applyAlignment="0" applyProtection="0"/>
    <xf numFmtId="0" fontId="206" fillId="78" borderId="1042" applyNumberFormat="0" applyAlignment="0" applyProtection="0"/>
    <xf numFmtId="0" fontId="213" fillId="65" borderId="997" applyNumberFormat="0" applyAlignment="0" applyProtection="0"/>
    <xf numFmtId="0" fontId="203" fillId="81" borderId="944" applyNumberFormat="0" applyFont="0" applyAlignment="0" applyProtection="0"/>
    <xf numFmtId="0" fontId="203" fillId="81" borderId="953" applyNumberFormat="0" applyFont="0" applyAlignment="0" applyProtection="0"/>
    <xf numFmtId="0" fontId="203" fillId="81" borderId="773" applyNumberFormat="0" applyFont="0" applyAlignment="0" applyProtection="0"/>
    <xf numFmtId="0" fontId="213" fillId="65" borderId="835" applyNumberFormat="0" applyAlignment="0" applyProtection="0"/>
    <xf numFmtId="0" fontId="213" fillId="65" borderId="952" applyNumberFormat="0" applyAlignment="0" applyProtection="0"/>
    <xf numFmtId="0" fontId="213" fillId="65" borderId="916" applyNumberFormat="0" applyAlignment="0" applyProtection="0"/>
    <xf numFmtId="182" fontId="225" fillId="0" borderId="870" applyFill="0" applyProtection="0"/>
    <xf numFmtId="0" fontId="213" fillId="65" borderId="790" applyNumberFormat="0" applyAlignment="0" applyProtection="0"/>
    <xf numFmtId="0" fontId="213" fillId="65" borderId="1006" applyNumberFormat="0" applyAlignment="0" applyProtection="0"/>
    <xf numFmtId="0" fontId="213" fillId="65" borderId="916" applyNumberFormat="0" applyAlignment="0" applyProtection="0"/>
    <xf numFmtId="0" fontId="213" fillId="65" borderId="727" applyNumberFormat="0" applyAlignment="0" applyProtection="0"/>
    <xf numFmtId="0" fontId="213" fillId="65" borderId="772" applyNumberFormat="0" applyAlignment="0" applyProtection="0"/>
    <xf numFmtId="0" fontId="213" fillId="65" borderId="862" applyNumberFormat="0" applyAlignment="0" applyProtection="0"/>
    <xf numFmtId="0" fontId="203" fillId="81" borderId="908" applyNumberFormat="0" applyFont="0" applyAlignment="0" applyProtection="0"/>
    <xf numFmtId="0" fontId="213" fillId="65" borderId="970" applyNumberFormat="0" applyAlignment="0" applyProtection="0"/>
    <xf numFmtId="0" fontId="203" fillId="81" borderId="1016" applyNumberFormat="0" applyFont="0" applyAlignment="0" applyProtection="0"/>
    <xf numFmtId="0" fontId="206" fillId="78" borderId="772" applyNumberFormat="0" applyAlignment="0" applyProtection="0"/>
    <xf numFmtId="0" fontId="213" fillId="65" borderId="862" applyNumberFormat="0" applyAlignment="0" applyProtection="0"/>
    <xf numFmtId="0" fontId="238" fillId="59" borderId="907" applyNumberFormat="0" applyAlignment="0" applyProtection="0"/>
    <xf numFmtId="0" fontId="153" fillId="0" borderId="770">
      <alignment horizontal="left" vertical="center"/>
    </xf>
    <xf numFmtId="0" fontId="213" fillId="65" borderId="952" applyNumberFormat="0" applyAlignment="0" applyProtection="0"/>
    <xf numFmtId="0" fontId="213" fillId="65" borderId="772" applyNumberFormat="0" applyAlignment="0" applyProtection="0"/>
    <xf numFmtId="0" fontId="206" fillId="78" borderId="952" applyNumberFormat="0" applyAlignment="0" applyProtection="0"/>
    <xf numFmtId="0" fontId="213" fillId="65" borderId="907" applyNumberFormat="0" applyAlignment="0" applyProtection="0"/>
    <xf numFmtId="0" fontId="213" fillId="65" borderId="1042" applyNumberFormat="0" applyAlignment="0" applyProtection="0"/>
    <xf numFmtId="0" fontId="213" fillId="65" borderId="1006" applyNumberFormat="0" applyAlignment="0" applyProtection="0"/>
    <xf numFmtId="0" fontId="229" fillId="83" borderId="965" applyAlignment="0">
      <alignment horizontal="center"/>
    </xf>
    <xf numFmtId="0" fontId="213" fillId="65" borderId="727" applyNumberFormat="0" applyAlignment="0" applyProtection="0"/>
    <xf numFmtId="0" fontId="213" fillId="65" borderId="772" applyNumberFormat="0" applyAlignment="0" applyProtection="0"/>
    <xf numFmtId="0" fontId="238" fillId="59" borderId="781" applyNumberFormat="0" applyAlignment="0" applyProtection="0"/>
    <xf numFmtId="0" fontId="213" fillId="65" borderId="871" applyNumberFormat="0" applyAlignment="0" applyProtection="0"/>
    <xf numFmtId="0" fontId="216" fillId="78" borderId="837" applyNumberFormat="0" applyAlignment="0" applyProtection="0"/>
    <xf numFmtId="0" fontId="203" fillId="81" borderId="782" applyNumberFormat="0" applyFont="0" applyAlignment="0" applyProtection="0"/>
    <xf numFmtId="0" fontId="213" fillId="65" borderId="862" applyNumberFormat="0" applyAlignment="0" applyProtection="0"/>
    <xf numFmtId="0" fontId="213" fillId="65" borderId="862" applyNumberFormat="0" applyAlignment="0" applyProtection="0"/>
    <xf numFmtId="182" fontId="225" fillId="0" borderId="735" applyFill="0" applyProtection="0"/>
    <xf numFmtId="0" fontId="203" fillId="81" borderId="1052" applyNumberFormat="0" applyFont="0" applyAlignment="0" applyProtection="0"/>
    <xf numFmtId="0" fontId="213" fillId="65" borderId="1060" applyNumberFormat="0" applyAlignment="0" applyProtection="0"/>
    <xf numFmtId="0" fontId="206" fillId="78" borderId="1042" applyNumberFormat="0" applyAlignment="0" applyProtection="0"/>
    <xf numFmtId="0" fontId="203" fillId="81" borderId="1043" applyNumberFormat="0" applyFont="0" applyAlignment="0" applyProtection="0"/>
    <xf numFmtId="0" fontId="213" fillId="65" borderId="862" applyNumberFormat="0" applyAlignment="0" applyProtection="0"/>
    <xf numFmtId="0" fontId="153" fillId="0" borderId="860">
      <alignment horizontal="left" vertical="center"/>
    </xf>
    <xf numFmtId="0" fontId="213" fillId="80" borderId="772" applyNumberFormat="0" applyAlignment="0" applyProtection="0"/>
    <xf numFmtId="0" fontId="203" fillId="81" borderId="998" applyNumberFormat="0" applyFont="0" applyAlignment="0" applyProtection="0"/>
    <xf numFmtId="0" fontId="8" fillId="81" borderId="863" applyNumberFormat="0" applyFont="0" applyAlignment="0" applyProtection="0"/>
    <xf numFmtId="0" fontId="176" fillId="81" borderId="737" applyNumberFormat="0" applyFont="0" applyAlignment="0" applyProtection="0"/>
    <xf numFmtId="0" fontId="203" fillId="81" borderId="917" applyNumberFormat="0" applyFont="0" applyAlignment="0" applyProtection="0"/>
    <xf numFmtId="0" fontId="213" fillId="80" borderId="907" applyNumberFormat="0" applyAlignment="0" applyProtection="0"/>
    <xf numFmtId="0" fontId="238" fillId="59" borderId="772" applyNumberFormat="0" applyAlignment="0" applyProtection="0"/>
    <xf numFmtId="0" fontId="206" fillId="78" borderId="727" applyNumberFormat="0" applyAlignment="0" applyProtection="0"/>
    <xf numFmtId="0" fontId="213" fillId="65" borderId="1006" applyNumberFormat="0" applyAlignment="0" applyProtection="0"/>
    <xf numFmtId="0" fontId="213" fillId="65" borderId="727" applyNumberFormat="0" applyAlignment="0" applyProtection="0"/>
    <xf numFmtId="0" fontId="203" fillId="81" borderId="827" applyNumberFormat="0" applyFont="0" applyAlignment="0" applyProtection="0"/>
    <xf numFmtId="0" fontId="203" fillId="81" borderId="782" applyNumberFormat="0" applyFont="0" applyAlignment="0" applyProtection="0"/>
    <xf numFmtId="0" fontId="216" fillId="59" borderId="1044" applyNumberForma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174" fillId="0" borderId="910" applyNumberFormat="0" applyFill="0" applyAlignment="0" applyProtection="0"/>
    <xf numFmtId="0" fontId="213" fillId="65" borderId="727" applyNumberFormat="0" applyAlignment="0" applyProtection="0"/>
    <xf numFmtId="0" fontId="153" fillId="0" borderId="725">
      <alignment horizontal="left" vertical="center"/>
    </xf>
    <xf numFmtId="0" fontId="203" fillId="81" borderId="782" applyNumberFormat="0" applyFont="0" applyAlignment="0" applyProtection="0"/>
    <xf numFmtId="0" fontId="206" fillId="78" borderId="925" applyNumberFormat="0" applyAlignment="0" applyProtection="0"/>
    <xf numFmtId="0" fontId="213" fillId="80" borderId="997" applyNumberFormat="0" applyAlignment="0" applyProtection="0"/>
    <xf numFmtId="0" fontId="213" fillId="80" borderId="817" applyNumberFormat="0" applyAlignment="0" applyProtection="0"/>
    <xf numFmtId="0" fontId="174" fillId="0" borderId="946" applyNumberFormat="0" applyFill="0" applyAlignment="0" applyProtection="0"/>
    <xf numFmtId="0" fontId="203" fillId="81" borderId="1061" applyNumberFormat="0" applyFont="0" applyAlignment="0" applyProtection="0"/>
    <xf numFmtId="0" fontId="174" fillId="0" borderId="1045" applyNumberFormat="0" applyFill="0" applyAlignment="0" applyProtection="0"/>
    <xf numFmtId="0" fontId="203" fillId="81" borderId="953" applyNumberFormat="0" applyFont="0" applyAlignment="0" applyProtection="0"/>
    <xf numFmtId="200" fontId="225" fillId="0" borderId="915" applyFill="0" applyProtection="0"/>
    <xf numFmtId="0" fontId="203" fillId="81" borderId="863" applyNumberFormat="0" applyFont="0" applyAlignment="0" applyProtection="0"/>
    <xf numFmtId="0" fontId="213" fillId="65" borderId="1042" applyNumberFormat="0" applyAlignment="0" applyProtection="0"/>
    <xf numFmtId="0" fontId="213" fillId="65" borderId="952" applyNumberFormat="0" applyAlignment="0" applyProtection="0"/>
    <xf numFmtId="0" fontId="213" fillId="65" borderId="826" applyNumberFormat="0" applyAlignment="0" applyProtection="0"/>
    <xf numFmtId="200" fontId="225" fillId="0" borderId="1050" applyFill="0" applyProtection="0"/>
    <xf numFmtId="0" fontId="213" fillId="65" borderId="1051" applyNumberFormat="0" applyAlignment="0" applyProtection="0"/>
    <xf numFmtId="0" fontId="213" fillId="65" borderId="925" applyNumberFormat="0" applyAlignment="0" applyProtection="0"/>
    <xf numFmtId="182" fontId="225" fillId="0" borderId="960" applyFill="0" applyProtection="0"/>
    <xf numFmtId="0" fontId="213" fillId="65" borderId="997" applyNumberFormat="0" applyAlignment="0" applyProtection="0"/>
    <xf numFmtId="0" fontId="213" fillId="65" borderId="970" applyNumberFormat="0" applyAlignment="0" applyProtection="0"/>
    <xf numFmtId="0" fontId="203" fillId="81" borderId="971" applyNumberFormat="0" applyFont="0" applyAlignment="0" applyProtection="0"/>
    <xf numFmtId="0" fontId="213" fillId="65" borderId="1060" applyNumberFormat="0" applyAlignment="0" applyProtection="0"/>
    <xf numFmtId="0" fontId="203" fillId="81" borderId="917" applyNumberFormat="0" applyFont="0" applyAlignment="0" applyProtection="0"/>
    <xf numFmtId="0" fontId="213" fillId="65" borderId="817" applyNumberFormat="0" applyAlignment="0" applyProtection="0"/>
    <xf numFmtId="0" fontId="244" fillId="0" borderId="816" applyNumberFormat="0" applyFont="0" applyFill="0" applyAlignment="0" applyProtection="0"/>
    <xf numFmtId="200" fontId="225" fillId="0" borderId="816" applyFill="0" applyProtection="0"/>
    <xf numFmtId="0" fontId="213" fillId="80" borderId="772" applyNumberFormat="0" applyAlignment="0" applyProtection="0"/>
    <xf numFmtId="0" fontId="203" fillId="81" borderId="1043" applyNumberFormat="0" applyFont="0" applyAlignment="0" applyProtection="0"/>
    <xf numFmtId="0" fontId="213" fillId="65" borderId="970" applyNumberFormat="0" applyAlignment="0" applyProtection="0"/>
    <xf numFmtId="0" fontId="213" fillId="65" borderId="817" applyNumberFormat="0" applyAlignment="0" applyProtection="0"/>
    <xf numFmtId="0" fontId="229" fillId="83" borderId="785" applyAlignment="0">
      <alignment horizontal="center"/>
    </xf>
    <xf numFmtId="0" fontId="249" fillId="59" borderId="736" applyNumberFormat="0" applyAlignment="0" applyProtection="0"/>
    <xf numFmtId="0" fontId="153" fillId="0" borderId="815">
      <alignment horizontal="left" vertical="center"/>
    </xf>
    <xf numFmtId="0" fontId="216" fillId="59" borderId="972" applyNumberFormat="0" applyAlignment="0" applyProtection="0"/>
    <xf numFmtId="0" fontId="213" fillId="65" borderId="817" applyNumberFormat="0" applyAlignment="0" applyProtection="0"/>
    <xf numFmtId="0" fontId="153" fillId="0" borderId="905">
      <alignment horizontal="left" vertical="center"/>
    </xf>
    <xf numFmtId="0" fontId="203" fillId="81" borderId="1016" applyNumberFormat="0" applyFont="0" applyAlignment="0" applyProtection="0"/>
    <xf numFmtId="182" fontId="225" fillId="0" borderId="969" applyFill="0" applyProtection="0"/>
    <xf numFmtId="200" fontId="225" fillId="0" borderId="924" applyFill="0" applyProtection="0"/>
    <xf numFmtId="0" fontId="203" fillId="81" borderId="917" applyNumberFormat="0" applyFont="0" applyAlignment="0" applyProtection="0"/>
    <xf numFmtId="200" fontId="225" fillId="0" borderId="726" applyFill="0" applyProtection="0"/>
    <xf numFmtId="0" fontId="213" fillId="80" borderId="1015" applyNumberFormat="0" applyAlignment="0" applyProtection="0"/>
    <xf numFmtId="0" fontId="238" fillId="59" borderId="817" applyNumberFormat="0" applyAlignment="0" applyProtection="0"/>
    <xf numFmtId="0" fontId="213" fillId="65" borderId="1006" applyNumberFormat="0" applyAlignment="0" applyProtection="0"/>
    <xf numFmtId="0" fontId="203" fillId="81" borderId="962" applyNumberFormat="0" applyFont="0" applyAlignment="0" applyProtection="0"/>
    <xf numFmtId="0" fontId="213" fillId="80" borderId="790" applyNumberFormat="0" applyAlignment="0" applyProtection="0"/>
    <xf numFmtId="0" fontId="203" fillId="81" borderId="863" applyNumberFormat="0" applyFont="0" applyAlignment="0" applyProtection="0"/>
    <xf numFmtId="0" fontId="213" fillId="65" borderId="1042" applyNumberFormat="0" applyAlignment="0" applyProtection="0"/>
    <xf numFmtId="0" fontId="178" fillId="0" borderId="913" applyProtection="0"/>
    <xf numFmtId="0" fontId="213" fillId="65" borderId="772" applyNumberFormat="0" applyAlignment="0" applyProtection="0"/>
    <xf numFmtId="0" fontId="213" fillId="80" borderId="727" applyNumberFormat="0" applyAlignment="0" applyProtection="0"/>
    <xf numFmtId="0" fontId="213" fillId="65" borderId="772" applyNumberFormat="0" applyAlignment="0" applyProtection="0"/>
    <xf numFmtId="0" fontId="203" fillId="81" borderId="755" applyNumberFormat="0" applyFont="0" applyAlignment="0" applyProtection="0"/>
    <xf numFmtId="0" fontId="178" fillId="0" borderId="1057" applyProtection="0"/>
    <xf numFmtId="0" fontId="213" fillId="65" borderId="952" applyNumberFormat="0" applyAlignment="0" applyProtection="0"/>
    <xf numFmtId="0" fontId="213" fillId="65" borderId="826" applyNumberFormat="0" applyAlignment="0" applyProtection="0"/>
    <xf numFmtId="0" fontId="213" fillId="65" borderId="736" applyNumberFormat="0" applyAlignment="0" applyProtection="0"/>
    <xf numFmtId="0" fontId="213" fillId="65" borderId="862" applyNumberFormat="0" applyAlignment="0" applyProtection="0"/>
    <xf numFmtId="0" fontId="213" fillId="65" borderId="781" applyNumberFormat="0" applyAlignment="0" applyProtection="0"/>
    <xf numFmtId="0" fontId="213" fillId="65" borderId="817" applyNumberFormat="0" applyAlignment="0" applyProtection="0"/>
    <xf numFmtId="0" fontId="213" fillId="80" borderId="817" applyNumberFormat="0" applyAlignment="0" applyProtection="0"/>
    <xf numFmtId="182" fontId="225" fillId="0" borderId="825" applyFill="0" applyProtection="0"/>
    <xf numFmtId="0" fontId="203" fillId="81" borderId="818" applyNumberFormat="0" applyFont="0" applyAlignment="0" applyProtection="0"/>
    <xf numFmtId="0" fontId="213" fillId="65" borderId="907" applyNumberFormat="0" applyAlignment="0" applyProtection="0"/>
    <xf numFmtId="0" fontId="203" fillId="81" borderId="1007" applyNumberFormat="0" applyFont="0" applyAlignment="0" applyProtection="0"/>
    <xf numFmtId="0" fontId="254" fillId="80" borderId="1042" applyNumberFormat="0" applyAlignment="0" applyProtection="0"/>
    <xf numFmtId="0" fontId="174" fillId="0" borderId="741" applyNumberFormat="0" applyFill="0" applyAlignment="0" applyProtection="0"/>
    <xf numFmtId="0" fontId="213" fillId="65" borderId="862" applyNumberFormat="0" applyAlignment="0" applyProtection="0"/>
    <xf numFmtId="0" fontId="213" fillId="65" borderId="736" applyNumberFormat="0" applyAlignment="0" applyProtection="0"/>
    <xf numFmtId="0" fontId="216" fillId="59" borderId="963" applyNumberFormat="0" applyAlignment="0" applyProtection="0"/>
    <xf numFmtId="0" fontId="213" fillId="65" borderId="772" applyNumberFormat="0" applyAlignment="0" applyProtection="0"/>
    <xf numFmtId="0" fontId="203" fillId="81" borderId="971" applyNumberFormat="0" applyFont="0" applyAlignment="0" applyProtection="0"/>
    <xf numFmtId="182" fontId="225" fillId="0" borderId="861" applyFill="0" applyProtection="0"/>
    <xf numFmtId="0" fontId="213" fillId="80" borderId="1015" applyNumberFormat="0" applyAlignment="0" applyProtection="0"/>
    <xf numFmtId="0" fontId="254" fillId="80" borderId="862" applyNumberFormat="0" applyAlignment="0" applyProtection="0"/>
    <xf numFmtId="0" fontId="203" fillId="81" borderId="728" applyNumberFormat="0" applyFont="0" applyAlignment="0" applyProtection="0"/>
    <xf numFmtId="0" fontId="203" fillId="81" borderId="1043" applyNumberFormat="0" applyFont="0" applyAlignment="0" applyProtection="0"/>
    <xf numFmtId="0" fontId="213" fillId="65" borderId="1051" applyNumberFormat="0" applyAlignment="0" applyProtection="0"/>
    <xf numFmtId="200" fontId="225" fillId="0" borderId="816" applyFill="0" applyProtection="0"/>
    <xf numFmtId="0" fontId="203" fillId="81" borderId="728" applyNumberFormat="0" applyFont="0" applyAlignment="0" applyProtection="0"/>
    <xf numFmtId="0" fontId="176" fillId="81" borderId="755" applyNumberFormat="0" applyFont="0" applyAlignment="0" applyProtection="0"/>
    <xf numFmtId="182" fontId="225" fillId="0" borderId="1014" applyFill="0" applyProtection="0"/>
    <xf numFmtId="0" fontId="213" fillId="65" borderId="772" applyNumberFormat="0" applyAlignment="0" applyProtection="0"/>
    <xf numFmtId="0" fontId="203" fillId="81" borderId="773" applyNumberFormat="0" applyFont="0" applyAlignment="0" applyProtection="0"/>
    <xf numFmtId="0" fontId="174" fillId="0" borderId="795" applyNumberFormat="0" applyFill="0" applyAlignment="0" applyProtection="0"/>
    <xf numFmtId="200" fontId="225" fillId="0" borderId="870" applyFill="0" applyProtection="0"/>
    <xf numFmtId="0" fontId="203" fillId="81" borderId="1016" applyNumberFormat="0" applyFont="0" applyAlignment="0" applyProtection="0"/>
    <xf numFmtId="0" fontId="213" fillId="65" borderId="1060" applyNumberFormat="0" applyAlignment="0" applyProtection="0"/>
    <xf numFmtId="0" fontId="153" fillId="0" borderId="1040">
      <alignment horizontal="left" vertical="center"/>
    </xf>
    <xf numFmtId="0" fontId="213" fillId="65" borderId="862" applyNumberFormat="0" applyAlignment="0" applyProtection="0"/>
    <xf numFmtId="182" fontId="225" fillId="0" borderId="960" applyFill="0" applyProtection="0"/>
    <xf numFmtId="0" fontId="203" fillId="81" borderId="863" applyNumberFormat="0" applyFont="0" applyAlignment="0" applyProtection="0"/>
    <xf numFmtId="0" fontId="213" fillId="65" borderId="952" applyNumberFormat="0" applyAlignment="0" applyProtection="0"/>
    <xf numFmtId="0" fontId="176" fillId="81" borderId="863" applyNumberFormat="0" applyFont="0" applyAlignment="0" applyProtection="0"/>
    <xf numFmtId="0" fontId="213" fillId="65" borderId="1051" applyNumberFormat="0" applyAlignment="0" applyProtection="0"/>
    <xf numFmtId="0" fontId="229" fillId="83" borderId="767" applyAlignment="0">
      <alignment horizontal="center"/>
    </xf>
    <xf numFmtId="0" fontId="203" fillId="81" borderId="737" applyNumberFormat="0" applyFont="0" applyAlignment="0" applyProtection="0"/>
    <xf numFmtId="0" fontId="203" fillId="81" borderId="818" applyNumberFormat="0" applyFont="0" applyAlignment="0" applyProtection="0"/>
    <xf numFmtId="182" fontId="225" fillId="0" borderId="1059" applyFill="0" applyProtection="0"/>
    <xf numFmtId="0" fontId="8" fillId="81" borderId="908" applyNumberFormat="0" applyFont="0" applyAlignment="0" applyProtection="0"/>
    <xf numFmtId="0" fontId="213" fillId="65" borderId="871" applyNumberFormat="0" applyAlignment="0" applyProtection="0"/>
    <xf numFmtId="0" fontId="213" fillId="65" borderId="727" applyNumberFormat="0" applyAlignment="0" applyProtection="0"/>
    <xf numFmtId="0" fontId="213" fillId="65" borderId="817" applyNumberFormat="0" applyAlignment="0" applyProtection="0"/>
    <xf numFmtId="0" fontId="174" fillId="0" borderId="811" applyNumberFormat="0" applyFill="0" applyAlignment="0" applyProtection="0"/>
    <xf numFmtId="0" fontId="216" fillId="78" borderId="909" applyNumberFormat="0" applyAlignment="0" applyProtection="0"/>
    <xf numFmtId="0" fontId="174" fillId="0" borderId="1011" applyNumberFormat="0" applyFill="0" applyAlignment="0" applyProtection="0"/>
    <xf numFmtId="0" fontId="213" fillId="65" borderId="1051" applyNumberFormat="0" applyAlignment="0" applyProtection="0"/>
    <xf numFmtId="0" fontId="174" fillId="0" borderId="948" applyNumberFormat="0" applyFill="0" applyAlignment="0" applyProtection="0"/>
    <xf numFmtId="0" fontId="213" fillId="65" borderId="727" applyNumberFormat="0" applyAlignment="0" applyProtection="0"/>
    <xf numFmtId="0" fontId="238" fillId="59" borderId="997" applyNumberFormat="0" applyAlignment="0" applyProtection="0"/>
    <xf numFmtId="0" fontId="213" fillId="65" borderId="961" applyNumberFormat="0" applyAlignment="0" applyProtection="0"/>
    <xf numFmtId="0" fontId="213" fillId="65" borderId="781" applyNumberFormat="0" applyAlignment="0" applyProtection="0"/>
    <xf numFmtId="200" fontId="225" fillId="0" borderId="780" applyFill="0" applyProtection="0"/>
    <xf numFmtId="0" fontId="203" fillId="81" borderId="818" applyNumberFormat="0" applyFont="0" applyAlignment="0" applyProtection="0"/>
    <xf numFmtId="0" fontId="213" fillId="65" borderId="997" applyNumberFormat="0" applyAlignment="0" applyProtection="0"/>
    <xf numFmtId="0" fontId="176" fillId="81" borderId="872" applyNumberFormat="0" applyFont="0" applyAlignment="0" applyProtection="0"/>
    <xf numFmtId="0" fontId="216" fillId="78" borderId="729" applyNumberFormat="0" applyAlignment="0" applyProtection="0"/>
    <xf numFmtId="0" fontId="203" fillId="81" borderId="962" applyNumberFormat="0" applyFont="0" applyAlignment="0" applyProtection="0"/>
    <xf numFmtId="0" fontId="213" fillId="65" borderId="826" applyNumberFormat="0" applyAlignment="0" applyProtection="0"/>
    <xf numFmtId="0" fontId="213" fillId="65" borderId="1042" applyNumberFormat="0" applyAlignment="0" applyProtection="0"/>
    <xf numFmtId="182" fontId="225" fillId="0" borderId="924" applyFill="0" applyProtection="0"/>
    <xf numFmtId="0" fontId="213" fillId="65" borderId="817" applyNumberFormat="0" applyAlignment="0" applyProtection="0"/>
    <xf numFmtId="0" fontId="176" fillId="81" borderId="737" applyNumberFormat="0" applyFont="0" applyAlignment="0" applyProtection="0"/>
    <xf numFmtId="0" fontId="213" fillId="65" borderId="961" applyNumberFormat="0" applyAlignment="0" applyProtection="0"/>
    <xf numFmtId="0" fontId="203" fillId="81" borderId="881" applyNumberFormat="0" applyFont="0" applyAlignment="0" applyProtection="0"/>
    <xf numFmtId="0" fontId="213" fillId="65" borderId="781" applyNumberFormat="0" applyAlignment="0" applyProtection="0"/>
    <xf numFmtId="200" fontId="225" fillId="0" borderId="825" applyFill="0" applyProtection="0"/>
    <xf numFmtId="0" fontId="203" fillId="81" borderId="782" applyNumberFormat="0" applyFont="0" applyAlignment="0" applyProtection="0"/>
    <xf numFmtId="0" fontId="213" fillId="65" borderId="997" applyNumberFormat="0" applyAlignment="0" applyProtection="0"/>
    <xf numFmtId="0" fontId="203" fillId="81" borderId="863" applyNumberFormat="0" applyFont="0" applyAlignment="0" applyProtection="0"/>
    <xf numFmtId="0" fontId="8" fillId="81" borderId="773" applyNumberFormat="0" applyFont="0" applyAlignment="0" applyProtection="0"/>
    <xf numFmtId="0" fontId="213" fillId="65" borderId="1060" applyNumberFormat="0" applyAlignment="0" applyProtection="0"/>
    <xf numFmtId="0" fontId="213" fillId="65" borderId="871" applyNumberFormat="0" applyAlignment="0" applyProtection="0"/>
    <xf numFmtId="0" fontId="213" fillId="65" borderId="727" applyNumberFormat="0" applyAlignment="0" applyProtection="0"/>
    <xf numFmtId="200" fontId="225" fillId="0" borderId="870" applyFill="0" applyProtection="0"/>
    <xf numFmtId="0" fontId="213" fillId="80" borderId="916" applyNumberFormat="0" applyAlignment="0" applyProtection="0"/>
    <xf numFmtId="0" fontId="178" fillId="0" borderId="1012" applyProtection="0"/>
    <xf numFmtId="0" fontId="213" fillId="65" borderId="772" applyNumberFormat="0" applyAlignment="0" applyProtection="0"/>
    <xf numFmtId="0" fontId="176" fillId="81" borderId="728" applyNumberFormat="0" applyFont="0" applyAlignment="0" applyProtection="0"/>
    <xf numFmtId="0" fontId="213" fillId="65" borderId="1042" applyNumberFormat="0" applyAlignment="0" applyProtection="0"/>
    <xf numFmtId="0" fontId="203" fillId="81" borderId="1061" applyNumberFormat="0" applyFont="0" applyAlignment="0" applyProtection="0"/>
    <xf numFmtId="0" fontId="8" fillId="81" borderId="773" applyNumberFormat="0" applyFont="0" applyAlignment="0" applyProtection="0"/>
    <xf numFmtId="0" fontId="229" fillId="83" borderId="1019" applyAlignment="0">
      <alignment horizontal="center"/>
    </xf>
    <xf numFmtId="0" fontId="203" fillId="81" borderId="863" applyNumberFormat="0" applyFont="0" applyAlignment="0" applyProtection="0"/>
    <xf numFmtId="0" fontId="216" fillId="78" borderId="882" applyNumberFormat="0" applyAlignment="0" applyProtection="0"/>
    <xf numFmtId="0" fontId="203" fillId="81" borderId="953" applyNumberFormat="0" applyFont="0" applyAlignment="0" applyProtection="0"/>
    <xf numFmtId="0" fontId="178" fillId="0" borderId="1048" applyProtection="0"/>
    <xf numFmtId="0" fontId="216" fillId="78" borderId="1062" applyNumberFormat="0" applyAlignment="0" applyProtection="0"/>
    <xf numFmtId="182" fontId="225" fillId="0" borderId="780" applyFill="0" applyProtection="0"/>
    <xf numFmtId="0" fontId="213" fillId="65" borderId="952" applyNumberFormat="0" applyAlignment="0" applyProtection="0"/>
    <xf numFmtId="200" fontId="225" fillId="0" borderId="735" applyFill="0" applyProtection="0"/>
    <xf numFmtId="0" fontId="213" fillId="65" borderId="862" applyNumberFormat="0" applyAlignment="0" applyProtection="0"/>
    <xf numFmtId="0" fontId="174" fillId="0" borderId="1045" applyNumberFormat="0" applyFill="0" applyAlignment="0" applyProtection="0"/>
    <xf numFmtId="0" fontId="203" fillId="81" borderId="962" applyNumberFormat="0" applyFont="0" applyAlignment="0" applyProtection="0"/>
    <xf numFmtId="0" fontId="213" fillId="65" borderId="952" applyNumberFormat="0" applyAlignment="0" applyProtection="0"/>
    <xf numFmtId="0" fontId="229" fillId="83" borderId="867" applyAlignment="0">
      <alignment horizontal="center"/>
    </xf>
    <xf numFmtId="0" fontId="153" fillId="0" borderId="950">
      <alignment horizontal="left" vertical="center"/>
    </xf>
    <xf numFmtId="0" fontId="213" fillId="65" borderId="862" applyNumberFormat="0" applyAlignment="0" applyProtection="0"/>
    <xf numFmtId="200" fontId="225" fillId="0" borderId="780" applyFill="0" applyProtection="0"/>
    <xf numFmtId="0" fontId="203" fillId="81" borderId="1061" applyNumberFormat="0" applyFont="0" applyAlignment="0" applyProtection="0"/>
    <xf numFmtId="200" fontId="225" fillId="0" borderId="951" applyFill="0" applyProtection="0"/>
    <xf numFmtId="0" fontId="213" fillId="65" borderId="736" applyNumberFormat="0" applyAlignment="0" applyProtection="0"/>
    <xf numFmtId="0" fontId="213" fillId="65" borderId="727" applyNumberFormat="0" applyAlignment="0" applyProtection="0"/>
    <xf numFmtId="200" fontId="225" fillId="0" borderId="915" applyFill="0" applyProtection="0"/>
    <xf numFmtId="0" fontId="203" fillId="81" borderId="836" applyNumberFormat="0" applyFont="0" applyAlignment="0" applyProtection="0"/>
    <xf numFmtId="0" fontId="213" fillId="80" borderId="907" applyNumberFormat="0" applyAlignment="0" applyProtection="0"/>
    <xf numFmtId="200" fontId="225" fillId="0" borderId="780" applyFill="0" applyProtection="0"/>
    <xf numFmtId="0" fontId="174" fillId="0" borderId="730" applyNumberFormat="0" applyFill="0" applyAlignment="0" applyProtection="0"/>
    <xf numFmtId="0" fontId="213" fillId="65" borderId="880" applyNumberFormat="0" applyAlignment="0" applyProtection="0"/>
    <xf numFmtId="0" fontId="213" fillId="65" borderId="745" applyNumberFormat="0" applyAlignment="0" applyProtection="0"/>
    <xf numFmtId="200" fontId="225" fillId="0" borderId="816" applyFill="0" applyProtection="0"/>
    <xf numFmtId="0" fontId="176" fillId="81" borderId="863" applyNumberFormat="0" applyFont="0" applyAlignment="0" applyProtection="0"/>
    <xf numFmtId="0" fontId="213" fillId="65" borderId="997" applyNumberFormat="0" applyAlignment="0" applyProtection="0"/>
    <xf numFmtId="0" fontId="213" fillId="80" borderId="1042" applyNumberFormat="0" applyAlignment="0" applyProtection="0"/>
    <xf numFmtId="0" fontId="213" fillId="65" borderId="862" applyNumberFormat="0" applyAlignment="0" applyProtection="0"/>
    <xf numFmtId="0" fontId="213" fillId="80" borderId="862" applyNumberFormat="0" applyAlignment="0" applyProtection="0"/>
    <xf numFmtId="0" fontId="213" fillId="65" borderId="1042" applyNumberFormat="0" applyAlignment="0" applyProtection="0"/>
    <xf numFmtId="0" fontId="216" fillId="78" borderId="864" applyNumberFormat="0" applyAlignment="0" applyProtection="0"/>
    <xf numFmtId="0" fontId="254" fillId="80" borderId="817" applyNumberFormat="0" applyAlignment="0" applyProtection="0"/>
    <xf numFmtId="0" fontId="203" fillId="81" borderId="773" applyNumberFormat="0" applyFont="0" applyAlignment="0" applyProtection="0"/>
    <xf numFmtId="0" fontId="213" fillId="65" borderId="862" applyNumberFormat="0" applyAlignment="0" applyProtection="0"/>
    <xf numFmtId="0" fontId="203" fillId="81" borderId="863" applyNumberFormat="0" applyFont="0" applyAlignment="0" applyProtection="0"/>
    <xf numFmtId="0" fontId="213" fillId="65" borderId="952" applyNumberFormat="0" applyAlignment="0" applyProtection="0"/>
    <xf numFmtId="0" fontId="213" fillId="80" borderId="997" applyNumberFormat="0" applyAlignment="0" applyProtection="0"/>
    <xf numFmtId="182" fontId="225" fillId="0" borderId="1014" applyFill="0" applyProtection="0"/>
    <xf numFmtId="0" fontId="153" fillId="0" borderId="1004">
      <alignment horizontal="left" vertical="center"/>
    </xf>
    <xf numFmtId="0" fontId="176" fillId="81" borderId="1043" applyNumberFormat="0" applyFont="0" applyAlignment="0" applyProtection="0"/>
    <xf numFmtId="0" fontId="153" fillId="0" borderId="1049">
      <alignment horizontal="left" vertical="center"/>
    </xf>
    <xf numFmtId="0" fontId="213" fillId="65" borderId="997" applyNumberFormat="0" applyAlignment="0" applyProtection="0"/>
    <xf numFmtId="0" fontId="213" fillId="80" borderId="961" applyNumberFormat="0" applyAlignment="0" applyProtection="0"/>
    <xf numFmtId="0" fontId="213" fillId="65" borderId="826" applyNumberFormat="0" applyAlignment="0" applyProtection="0"/>
    <xf numFmtId="0" fontId="213" fillId="65" borderId="997" applyNumberFormat="0" applyAlignment="0" applyProtection="0"/>
    <xf numFmtId="200" fontId="225" fillId="0" borderId="735" applyFill="0" applyProtection="0"/>
    <xf numFmtId="0" fontId="203" fillId="81" borderId="881" applyNumberFormat="0" applyFont="0" applyAlignment="0" applyProtection="0"/>
    <xf numFmtId="0" fontId="213" fillId="65" borderId="727" applyNumberFormat="0" applyAlignment="0" applyProtection="0"/>
    <xf numFmtId="0" fontId="213" fillId="80" borderId="862" applyNumberFormat="0" applyAlignment="0" applyProtection="0"/>
    <xf numFmtId="0" fontId="213" fillId="65" borderId="862" applyNumberFormat="0" applyAlignment="0" applyProtection="0"/>
    <xf numFmtId="0" fontId="213" fillId="65" borderId="916" applyNumberFormat="0" applyAlignment="0" applyProtection="0"/>
    <xf numFmtId="0" fontId="213" fillId="65" borderId="781" applyNumberFormat="0" applyAlignment="0" applyProtection="0"/>
    <xf numFmtId="0" fontId="203" fillId="81" borderId="737" applyNumberFormat="0" applyFont="0" applyAlignment="0" applyProtection="0"/>
    <xf numFmtId="0" fontId="178" fillId="0" borderId="958" applyProtection="0"/>
    <xf numFmtId="0" fontId="257" fillId="59" borderId="729" applyNumberFormat="0" applyAlignment="0" applyProtection="0"/>
    <xf numFmtId="0" fontId="203" fillId="81" borderId="971" applyNumberFormat="0" applyFont="0" applyAlignment="0" applyProtection="0"/>
    <xf numFmtId="0" fontId="203" fillId="81" borderId="998" applyNumberFormat="0" applyFont="0" applyAlignment="0" applyProtection="0"/>
    <xf numFmtId="0" fontId="216" fillId="78" borderId="1062" applyNumberFormat="0" applyAlignment="0" applyProtection="0"/>
    <xf numFmtId="0" fontId="213" fillId="65" borderId="997" applyNumberFormat="0" applyAlignment="0" applyProtection="0"/>
    <xf numFmtId="0" fontId="213" fillId="80" borderId="952" applyNumberFormat="0" applyAlignment="0" applyProtection="0"/>
    <xf numFmtId="0" fontId="203" fillId="81" borderId="863" applyNumberFormat="0" applyFont="0" applyAlignment="0" applyProtection="0"/>
    <xf numFmtId="0" fontId="216" fillId="78" borderId="918" applyNumberFormat="0" applyAlignment="0" applyProtection="0"/>
    <xf numFmtId="182" fontId="225" fillId="0" borderId="915" applyFill="0" applyProtection="0"/>
    <xf numFmtId="0" fontId="229" fillId="83" borderId="912" applyAlignment="0">
      <alignment horizontal="center"/>
    </xf>
    <xf numFmtId="0" fontId="176" fillId="81" borderId="863" applyNumberFormat="0" applyFont="0" applyAlignment="0" applyProtection="0"/>
    <xf numFmtId="0" fontId="203" fillId="81" borderId="1043" applyNumberFormat="0" applyFont="0" applyAlignment="0" applyProtection="0"/>
    <xf numFmtId="0" fontId="213" fillId="80" borderId="727" applyNumberFormat="0" applyAlignment="0" applyProtection="0"/>
    <xf numFmtId="0" fontId="257" fillId="59" borderId="972" applyNumberFormat="0" applyAlignment="0" applyProtection="0"/>
    <xf numFmtId="0" fontId="213" fillId="65" borderId="772" applyNumberFormat="0" applyAlignment="0" applyProtection="0"/>
    <xf numFmtId="0" fontId="213" fillId="80" borderId="835" applyNumberFormat="0" applyAlignment="0" applyProtection="0"/>
    <xf numFmtId="0" fontId="213" fillId="65" borderId="1051" applyNumberFormat="0" applyAlignment="0" applyProtection="0"/>
    <xf numFmtId="0" fontId="203" fillId="81" borderId="728" applyNumberFormat="0" applyFont="0" applyAlignment="0" applyProtection="0"/>
    <xf numFmtId="200" fontId="225" fillId="0" borderId="789" applyFill="0" applyProtection="0"/>
    <xf numFmtId="0" fontId="213" fillId="80" borderId="772" applyNumberFormat="0" applyAlignment="0" applyProtection="0"/>
    <xf numFmtId="0" fontId="213" fillId="65" borderId="880" applyNumberFormat="0" applyAlignment="0" applyProtection="0"/>
    <xf numFmtId="0" fontId="213" fillId="65" borderId="1078" applyNumberFormat="0" applyAlignment="0" applyProtection="0"/>
    <xf numFmtId="0" fontId="213" fillId="65" borderId="916" applyNumberFormat="0" applyAlignment="0" applyProtection="0"/>
    <xf numFmtId="0" fontId="203" fillId="81" borderId="836" applyNumberFormat="0" applyFont="0" applyAlignment="0" applyProtection="0"/>
    <xf numFmtId="0" fontId="174" fillId="0" borderId="865" applyNumberFormat="0" applyFill="0" applyAlignment="0" applyProtection="0"/>
    <xf numFmtId="0" fontId="174" fillId="0" borderId="1063" applyNumberFormat="0" applyFill="0" applyAlignment="0" applyProtection="0"/>
    <xf numFmtId="0" fontId="176" fillId="81" borderId="710" applyNumberFormat="0" applyFont="0" applyAlignment="0" applyProtection="0"/>
    <xf numFmtId="0" fontId="213" fillId="65" borderId="772" applyNumberFormat="0" applyAlignment="0" applyProtection="0"/>
    <xf numFmtId="0" fontId="213" fillId="65" borderId="907" applyNumberFormat="0" applyAlignment="0" applyProtection="0"/>
    <xf numFmtId="0" fontId="213" fillId="65" borderId="1051" applyNumberFormat="0" applyAlignment="0" applyProtection="0"/>
    <xf numFmtId="0" fontId="174" fillId="0" borderId="911" applyNumberFormat="0" applyFill="0" applyAlignment="0" applyProtection="0"/>
    <xf numFmtId="0" fontId="203" fillId="81" borderId="737" applyNumberFormat="0" applyFont="0" applyAlignment="0" applyProtection="0"/>
    <xf numFmtId="0" fontId="203" fillId="81" borderId="773" applyNumberFormat="0" applyFont="0" applyAlignment="0" applyProtection="0"/>
    <xf numFmtId="0" fontId="213" fillId="80" borderId="835" applyNumberFormat="0" applyAlignment="0" applyProtection="0"/>
    <xf numFmtId="182" fontId="225" fillId="0" borderId="861" applyFill="0" applyProtection="0"/>
    <xf numFmtId="0" fontId="213" fillId="65" borderId="997" applyNumberFormat="0" applyAlignment="0" applyProtection="0"/>
    <xf numFmtId="0" fontId="216" fillId="59" borderId="729" applyNumberFormat="0" applyAlignment="0" applyProtection="0"/>
    <xf numFmtId="0" fontId="206" fillId="78" borderId="727" applyNumberFormat="0" applyAlignment="0" applyProtection="0"/>
    <xf numFmtId="0" fontId="203" fillId="81" borderId="863" applyNumberFormat="0" applyFont="0" applyAlignment="0" applyProtection="0"/>
    <xf numFmtId="0" fontId="216" fillId="59" borderId="774" applyNumberFormat="0" applyAlignment="0" applyProtection="0"/>
    <xf numFmtId="0" fontId="213" fillId="65" borderId="871" applyNumberFormat="0" applyAlignment="0" applyProtection="0"/>
    <xf numFmtId="0" fontId="174" fillId="0" borderId="731" applyNumberFormat="0" applyFill="0" applyAlignment="0" applyProtection="0"/>
    <xf numFmtId="0" fontId="213" fillId="65" borderId="898" applyNumberFormat="0" applyAlignment="0" applyProtection="0"/>
    <xf numFmtId="0" fontId="213" fillId="65" borderId="736" applyNumberFormat="0" applyAlignment="0" applyProtection="0"/>
    <xf numFmtId="0" fontId="213" fillId="65" borderId="952" applyNumberFormat="0" applyAlignment="0" applyProtection="0"/>
    <xf numFmtId="0" fontId="213" fillId="65" borderId="817" applyNumberFormat="0" applyAlignment="0" applyProtection="0"/>
    <xf numFmtId="200" fontId="225" fillId="0" borderId="861" applyFill="0" applyProtection="0"/>
    <xf numFmtId="0" fontId="213" fillId="65" borderId="907" applyNumberFormat="0" applyAlignment="0" applyProtection="0"/>
    <xf numFmtId="200" fontId="225" fillId="0" borderId="780" applyFill="0" applyProtection="0"/>
    <xf numFmtId="0" fontId="213" fillId="65" borderId="1015" applyNumberFormat="0" applyAlignment="0" applyProtection="0"/>
    <xf numFmtId="0" fontId="213" fillId="65" borderId="781" applyNumberFormat="0" applyAlignment="0" applyProtection="0"/>
    <xf numFmtId="0" fontId="213" fillId="65" borderId="727" applyNumberFormat="0" applyAlignment="0" applyProtection="0"/>
    <xf numFmtId="0" fontId="213" fillId="65" borderId="727" applyNumberFormat="0" applyAlignment="0" applyProtection="0"/>
    <xf numFmtId="0" fontId="203" fillId="81" borderId="863" applyNumberFormat="0" applyFont="0" applyAlignment="0" applyProtection="0"/>
    <xf numFmtId="0" fontId="216" fillId="59" borderId="792" applyNumberFormat="0" applyAlignment="0" applyProtection="0"/>
    <xf numFmtId="0" fontId="213" fillId="65" borderId="772" applyNumberFormat="0" applyAlignment="0" applyProtection="0"/>
    <xf numFmtId="182" fontId="225" fillId="0" borderId="951" applyFill="0" applyProtection="0"/>
    <xf numFmtId="0" fontId="257" fillId="59" borderId="783" applyNumberFormat="0" applyAlignment="0" applyProtection="0"/>
    <xf numFmtId="182" fontId="225" fillId="0" borderId="1005" applyFill="0" applyProtection="0"/>
    <xf numFmtId="0" fontId="216" fillId="78" borderId="1053" applyNumberFormat="0" applyAlignment="0" applyProtection="0"/>
    <xf numFmtId="200" fontId="225" fillId="0" borderId="951" applyFill="0" applyProtection="0"/>
    <xf numFmtId="0" fontId="213" fillId="65" borderId="808" applyNumberFormat="0" applyAlignment="0" applyProtection="0"/>
    <xf numFmtId="0" fontId="203" fillId="81" borderId="971" applyNumberFormat="0" applyFont="0" applyAlignment="0" applyProtection="0"/>
    <xf numFmtId="0" fontId="203" fillId="81" borderId="908" applyNumberFormat="0" applyFont="0" applyAlignment="0" applyProtection="0"/>
    <xf numFmtId="0" fontId="203" fillId="81" borderId="1043" applyNumberFormat="0" applyFont="0" applyAlignment="0" applyProtection="0"/>
    <xf numFmtId="0" fontId="203" fillId="81" borderId="971" applyNumberFormat="0" applyFont="0" applyAlignment="0" applyProtection="0"/>
    <xf numFmtId="0" fontId="203" fillId="81" borderId="1016" applyNumberFormat="0" applyFont="0" applyAlignment="0" applyProtection="0"/>
    <xf numFmtId="0" fontId="8" fillId="81" borderId="1043" applyNumberFormat="0" applyFont="0" applyAlignment="0" applyProtection="0"/>
    <xf numFmtId="0" fontId="213" fillId="65" borderId="952" applyNumberFormat="0" applyAlignment="0" applyProtection="0"/>
    <xf numFmtId="0" fontId="229" fillId="83" borderId="732" applyAlignment="0">
      <alignment horizontal="center"/>
    </xf>
    <xf numFmtId="0" fontId="203" fillId="81" borderId="917" applyNumberFormat="0" applyFont="0" applyAlignment="0" applyProtection="0"/>
    <xf numFmtId="0" fontId="213" fillId="65" borderId="997" applyNumberFormat="0" applyAlignment="0" applyProtection="0"/>
    <xf numFmtId="0" fontId="213" fillId="65" borderId="1051" applyNumberFormat="0" applyAlignment="0" applyProtection="0"/>
    <xf numFmtId="0" fontId="203" fillId="81" borderId="1007" applyNumberFormat="0" applyFont="0" applyAlignment="0" applyProtection="0"/>
    <xf numFmtId="0" fontId="206" fillId="78" borderId="997" applyNumberFormat="0" applyAlignment="0" applyProtection="0"/>
    <xf numFmtId="0" fontId="174" fillId="0" borderId="820" applyNumberFormat="0" applyFill="0" applyAlignment="0" applyProtection="0"/>
    <xf numFmtId="0" fontId="203" fillId="81" borderId="791" applyNumberFormat="0" applyFont="0" applyAlignment="0" applyProtection="0"/>
    <xf numFmtId="0" fontId="203" fillId="81" borderId="1052" applyNumberFormat="0" applyFont="0" applyAlignment="0" applyProtection="0"/>
    <xf numFmtId="0" fontId="203" fillId="81" borderId="1007" applyNumberFormat="0" applyFont="0" applyAlignment="0" applyProtection="0"/>
    <xf numFmtId="0" fontId="213" fillId="65" borderId="862" applyNumberFormat="0" applyAlignment="0" applyProtection="0"/>
    <xf numFmtId="0" fontId="213" fillId="65" borderId="997" applyNumberFormat="0" applyAlignment="0" applyProtection="0"/>
    <xf numFmtId="0" fontId="213" fillId="65" borderId="862" applyNumberFormat="0" applyAlignment="0" applyProtection="0"/>
    <xf numFmtId="0" fontId="8" fillId="81" borderId="737"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907" applyNumberFormat="0" applyAlignment="0" applyProtection="0"/>
    <xf numFmtId="0" fontId="213" fillId="65" borderId="862" applyNumberFormat="0" applyAlignment="0" applyProtection="0"/>
    <xf numFmtId="0" fontId="203" fillId="81" borderId="908" applyNumberFormat="0" applyFont="0" applyAlignment="0" applyProtection="0"/>
    <xf numFmtId="0" fontId="174" fillId="0" borderId="903" applyNumberFormat="0" applyFill="0" applyAlignment="0" applyProtection="0"/>
    <xf numFmtId="0" fontId="213" fillId="65" borderId="826" applyNumberFormat="0" applyAlignment="0" applyProtection="0"/>
    <xf numFmtId="0" fontId="213" fillId="65" borderId="736" applyNumberFormat="0" applyAlignment="0" applyProtection="0"/>
    <xf numFmtId="0" fontId="176" fillId="81" borderId="863" applyNumberFormat="0" applyFont="0" applyAlignment="0" applyProtection="0"/>
    <xf numFmtId="0" fontId="203" fillId="81" borderId="872" applyNumberFormat="0" applyFont="0" applyAlignment="0" applyProtection="0"/>
    <xf numFmtId="0" fontId="249" fillId="59" borderId="862" applyNumberFormat="0" applyAlignment="0" applyProtection="0"/>
    <xf numFmtId="0" fontId="203" fillId="81" borderId="827" applyNumberFormat="0" applyFont="0" applyAlignment="0" applyProtection="0"/>
    <xf numFmtId="0" fontId="213" fillId="65" borderId="952" applyNumberFormat="0" applyAlignment="0" applyProtection="0"/>
    <xf numFmtId="0" fontId="206" fillId="78" borderId="871" applyNumberFormat="0" applyAlignment="0" applyProtection="0"/>
    <xf numFmtId="0" fontId="229" fillId="83" borderId="1064" applyAlignment="0">
      <alignment horizontal="center"/>
    </xf>
    <xf numFmtId="0" fontId="213" fillId="80" borderId="970" applyNumberFormat="0" applyAlignment="0" applyProtection="0"/>
    <xf numFmtId="0" fontId="153" fillId="0" borderId="959">
      <alignment horizontal="left" vertical="center"/>
    </xf>
    <xf numFmtId="0" fontId="213" fillId="65" borderId="925" applyNumberFormat="0" applyAlignment="0" applyProtection="0"/>
    <xf numFmtId="0" fontId="203" fillId="81" borderId="908" applyNumberFormat="0" applyFont="0" applyAlignment="0" applyProtection="0"/>
    <xf numFmtId="0" fontId="203" fillId="81" borderId="908" applyNumberFormat="0" applyFont="0" applyAlignment="0" applyProtection="0"/>
    <xf numFmtId="0" fontId="213" fillId="65" borderId="907" applyNumberFormat="0" applyAlignment="0" applyProtection="0"/>
    <xf numFmtId="0" fontId="203" fillId="81" borderId="998" applyNumberFormat="0" applyFont="0" applyAlignment="0" applyProtection="0"/>
    <xf numFmtId="0" fontId="176" fillId="81" borderId="818" applyNumberFormat="0" applyFont="0" applyAlignment="0" applyProtection="0"/>
    <xf numFmtId="0" fontId="203" fillId="81" borderId="818" applyNumberFormat="0" applyFont="0" applyAlignment="0" applyProtection="0"/>
    <xf numFmtId="0" fontId="203" fillId="81" borderId="773" applyNumberFormat="0" applyFont="0" applyAlignment="0" applyProtection="0"/>
    <xf numFmtId="0" fontId="203" fillId="81" borderId="953" applyNumberFormat="0" applyFont="0" applyAlignment="0" applyProtection="0"/>
    <xf numFmtId="0" fontId="176" fillId="81" borderId="917" applyNumberFormat="0" applyFont="0" applyAlignment="0" applyProtection="0"/>
    <xf numFmtId="0" fontId="213" fillId="65" borderId="907" applyNumberFormat="0" applyAlignment="0" applyProtection="0"/>
    <xf numFmtId="0" fontId="213" fillId="80" borderId="1042" applyNumberFormat="0" applyAlignment="0" applyProtection="0"/>
    <xf numFmtId="0" fontId="213" fillId="65" borderId="1051" applyNumberFormat="0" applyAlignment="0" applyProtection="0"/>
    <xf numFmtId="200" fontId="225" fillId="0" borderId="834" applyFill="0" applyProtection="0"/>
    <xf numFmtId="200" fontId="225" fillId="0" borderId="1014" applyFill="0" applyProtection="0"/>
    <xf numFmtId="0" fontId="213" fillId="65" borderId="736" applyNumberFormat="0" applyAlignment="0" applyProtection="0"/>
    <xf numFmtId="200" fontId="225" fillId="0" borderId="906" applyFill="0" applyProtection="0"/>
    <xf numFmtId="0" fontId="213" fillId="65" borderId="916" applyNumberFormat="0" applyAlignment="0" applyProtection="0"/>
    <xf numFmtId="0" fontId="213" fillId="65" borderId="1006" applyNumberFormat="0" applyAlignment="0" applyProtection="0"/>
    <xf numFmtId="0" fontId="213" fillId="65" borderId="772" applyNumberFormat="0" applyAlignment="0" applyProtection="0"/>
    <xf numFmtId="0" fontId="174" fillId="0" borderId="784" applyNumberFormat="0" applyFill="0" applyAlignment="0" applyProtection="0"/>
    <xf numFmtId="0" fontId="213" fillId="65" borderId="1051" applyNumberFormat="0" applyAlignment="0" applyProtection="0"/>
    <xf numFmtId="0" fontId="174" fillId="0" borderId="876" applyNumberFormat="0" applyFill="0" applyAlignment="0" applyProtection="0"/>
    <xf numFmtId="0" fontId="176" fillId="81" borderId="773" applyNumberFormat="0" applyFont="0" applyAlignment="0" applyProtection="0"/>
    <xf numFmtId="0" fontId="216" fillId="59" borderId="738" applyNumberFormat="0" applyAlignment="0" applyProtection="0"/>
    <xf numFmtId="182" fontId="225" fillId="0" borderId="861" applyFill="0" applyProtection="0"/>
    <xf numFmtId="0" fontId="213" fillId="65" borderId="961" applyNumberFormat="0" applyAlignment="0" applyProtection="0"/>
    <xf numFmtId="0" fontId="213" fillId="65" borderId="817" applyNumberFormat="0" applyAlignment="0" applyProtection="0"/>
    <xf numFmtId="0" fontId="213" fillId="65" borderId="952" applyNumberFormat="0" applyAlignment="0" applyProtection="0"/>
    <xf numFmtId="0" fontId="203" fillId="81" borderId="836" applyNumberFormat="0" applyFont="0" applyAlignment="0" applyProtection="0"/>
    <xf numFmtId="0" fontId="213" fillId="65" borderId="1006" applyNumberFormat="0" applyAlignment="0" applyProtection="0"/>
    <xf numFmtId="0" fontId="203" fillId="81" borderId="962" applyNumberFormat="0" applyFont="0" applyAlignment="0" applyProtection="0"/>
    <xf numFmtId="0" fontId="206" fillId="78" borderId="952" applyNumberFormat="0" applyAlignment="0" applyProtection="0"/>
    <xf numFmtId="0" fontId="213" fillId="65" borderId="952" applyNumberFormat="0" applyAlignment="0" applyProtection="0"/>
    <xf numFmtId="0" fontId="213" fillId="80" borderId="772" applyNumberFormat="0" applyAlignment="0" applyProtection="0"/>
    <xf numFmtId="0" fontId="213" fillId="65" borderId="862" applyNumberFormat="0" applyAlignment="0" applyProtection="0"/>
    <xf numFmtId="182" fontId="225" fillId="0" borderId="1005" applyFill="0" applyProtection="0"/>
    <xf numFmtId="0" fontId="213" fillId="65" borderId="997" applyNumberFormat="0" applyAlignment="0" applyProtection="0"/>
    <xf numFmtId="0" fontId="213" fillId="80" borderId="997" applyNumberFormat="0" applyAlignment="0" applyProtection="0"/>
    <xf numFmtId="0" fontId="244" fillId="0" borderId="825" applyNumberFormat="0" applyFont="0" applyFill="0" applyAlignment="0" applyProtection="0"/>
    <xf numFmtId="0" fontId="216" fillId="78" borderId="819" applyNumberFormat="0" applyAlignment="0" applyProtection="0"/>
    <xf numFmtId="0" fontId="213" fillId="65" borderId="952" applyNumberFormat="0" applyAlignment="0" applyProtection="0"/>
    <xf numFmtId="0" fontId="203" fillId="81" borderId="782" applyNumberFormat="0" applyFont="0" applyAlignment="0" applyProtection="0"/>
    <xf numFmtId="0" fontId="203" fillId="81" borderId="773" applyNumberFormat="0" applyFont="0" applyAlignment="0" applyProtection="0"/>
    <xf numFmtId="0" fontId="203" fillId="81" borderId="728" applyNumberFormat="0" applyFont="0" applyAlignment="0" applyProtection="0"/>
    <xf numFmtId="0" fontId="229" fillId="83" borderId="1047" applyAlignment="0">
      <alignment horizontal="center"/>
    </xf>
    <xf numFmtId="0" fontId="203" fillId="81" borderId="962" applyNumberFormat="0" applyFont="0" applyAlignment="0" applyProtection="0"/>
    <xf numFmtId="0" fontId="257" fillId="59" borderId="819" applyNumberFormat="0" applyAlignment="0" applyProtection="0"/>
    <xf numFmtId="0" fontId="174" fillId="0" borderId="975" applyNumberFormat="0" applyFill="0" applyAlignment="0" applyProtection="0"/>
    <xf numFmtId="0" fontId="213" fillId="65" borderId="817" applyNumberFormat="0" applyAlignment="0" applyProtection="0"/>
    <xf numFmtId="0" fontId="213" fillId="65" borderId="781" applyNumberFormat="0" applyAlignment="0" applyProtection="0"/>
    <xf numFmtId="0" fontId="174" fillId="0" borderId="1056" applyNumberFormat="0" applyFill="0" applyAlignment="0" applyProtection="0"/>
    <xf numFmtId="0" fontId="213" fillId="80" borderId="817" applyNumberFormat="0" applyAlignment="0" applyProtection="0"/>
    <xf numFmtId="0" fontId="213" fillId="65" borderId="817" applyNumberFormat="0" applyAlignment="0" applyProtection="0"/>
    <xf numFmtId="0" fontId="213" fillId="65" borderId="1042" applyNumberFormat="0" applyAlignment="0" applyProtection="0"/>
    <xf numFmtId="0" fontId="213" fillId="65" borderId="916" applyNumberFormat="0" applyAlignment="0" applyProtection="0"/>
    <xf numFmtId="0" fontId="203" fillId="81" borderId="674" applyNumberFormat="0" applyFont="0" applyAlignment="0" applyProtection="0"/>
    <xf numFmtId="0" fontId="213" fillId="65" borderId="997" applyNumberFormat="0" applyAlignment="0" applyProtection="0"/>
    <xf numFmtId="200" fontId="225" fillId="0" borderId="906" applyFill="0" applyProtection="0"/>
    <xf numFmtId="0" fontId="213" fillId="65" borderId="772" applyNumberFormat="0" applyAlignment="0" applyProtection="0"/>
    <xf numFmtId="182" fontId="225" fillId="0" borderId="861" applyFill="0" applyProtection="0"/>
    <xf numFmtId="0" fontId="203" fillId="81" borderId="1043" applyNumberFormat="0" applyFont="0" applyAlignment="0" applyProtection="0"/>
    <xf numFmtId="0" fontId="213" fillId="65" borderId="781" applyNumberFormat="0" applyAlignment="0" applyProtection="0"/>
    <xf numFmtId="0" fontId="229" fillId="83" borderId="920" applyAlignment="0">
      <alignment horizontal="center"/>
    </xf>
    <xf numFmtId="0" fontId="213" fillId="65" borderId="1042" applyNumberFormat="0" applyAlignment="0" applyProtection="0"/>
    <xf numFmtId="0" fontId="216" fillId="59" borderId="738" applyNumberFormat="0" applyAlignment="0" applyProtection="0"/>
    <xf numFmtId="0" fontId="176" fillId="81" borderId="818" applyNumberFormat="0" applyFont="0" applyAlignment="0" applyProtection="0"/>
    <xf numFmtId="182" fontId="225" fillId="0" borderId="879" applyFill="0" applyProtection="0"/>
    <xf numFmtId="0" fontId="229" fillId="83" borderId="957" applyAlignment="0">
      <alignment horizontal="center"/>
    </xf>
    <xf numFmtId="0" fontId="203" fillId="81" borderId="674" applyNumberFormat="0" applyFont="0" applyAlignment="0" applyProtection="0"/>
    <xf numFmtId="0" fontId="213" fillId="65" borderId="862" applyNumberFormat="0" applyAlignment="0" applyProtection="0"/>
    <xf numFmtId="0" fontId="203" fillId="81" borderId="674" applyNumberFormat="0" applyFont="0" applyAlignment="0" applyProtection="0"/>
    <xf numFmtId="0" fontId="213" fillId="65" borderId="952" applyNumberFormat="0" applyAlignment="0" applyProtection="0"/>
    <xf numFmtId="0" fontId="203" fillId="81" borderId="674" applyNumberFormat="0" applyFont="0" applyAlignment="0" applyProtection="0"/>
    <xf numFmtId="0" fontId="213" fillId="80" borderId="1042" applyNumberFormat="0" applyAlignment="0" applyProtection="0"/>
    <xf numFmtId="0" fontId="213" fillId="65" borderId="790" applyNumberFormat="0" applyAlignment="0" applyProtection="0"/>
    <xf numFmtId="0" fontId="257" fillId="59" borderId="909" applyNumberFormat="0" applyAlignment="0" applyProtection="0"/>
    <xf numFmtId="0" fontId="203" fillId="81" borderId="728" applyNumberFormat="0" applyFont="0" applyAlignment="0" applyProtection="0"/>
    <xf numFmtId="0" fontId="213" fillId="65" borderId="817" applyNumberFormat="0" applyAlignment="0" applyProtection="0"/>
    <xf numFmtId="200" fontId="225" fillId="0" borderId="879" applyFill="0" applyProtection="0"/>
    <xf numFmtId="0" fontId="174" fillId="0" borderId="669" applyNumberFormat="0" applyFill="0" applyAlignment="0" applyProtection="0"/>
    <xf numFmtId="0" fontId="213" fillId="65" borderId="907" applyNumberFormat="0" applyAlignment="0" applyProtection="0"/>
    <xf numFmtId="0" fontId="213" fillId="65" borderId="925" applyNumberFormat="0" applyAlignment="0" applyProtection="0"/>
    <xf numFmtId="0" fontId="213" fillId="65" borderId="871" applyNumberFormat="0" applyAlignment="0" applyProtection="0"/>
    <xf numFmtId="182" fontId="225" fillId="0" borderId="780" applyFill="0" applyProtection="0"/>
    <xf numFmtId="0" fontId="174" fillId="0" borderId="1000" applyNumberFormat="0" applyFill="0" applyAlignment="0" applyProtection="0"/>
    <xf numFmtId="0" fontId="213" fillId="65" borderId="1060" applyNumberFormat="0" applyAlignment="0" applyProtection="0"/>
    <xf numFmtId="0" fontId="213" fillId="80" borderId="907" applyNumberFormat="0" applyAlignment="0" applyProtection="0"/>
    <xf numFmtId="0" fontId="213" fillId="65" borderId="781" applyNumberFormat="0" applyAlignment="0" applyProtection="0"/>
    <xf numFmtId="0" fontId="213" fillId="65" borderId="997" applyNumberFormat="0" applyAlignment="0" applyProtection="0"/>
    <xf numFmtId="0" fontId="213" fillId="65" borderId="772" applyNumberFormat="0" applyAlignment="0" applyProtection="0"/>
    <xf numFmtId="0" fontId="153" fillId="0" borderId="968">
      <alignment horizontal="left" vertical="center"/>
    </xf>
    <xf numFmtId="0" fontId="213" fillId="65" borderId="790" applyNumberFormat="0" applyAlignment="0" applyProtection="0"/>
    <xf numFmtId="0" fontId="178" fillId="0" borderId="796" applyProtection="0"/>
    <xf numFmtId="0" fontId="216" fillId="78" borderId="774" applyNumberFormat="0" applyAlignment="0" applyProtection="0"/>
    <xf numFmtId="0" fontId="229" fillId="83" borderId="686" applyAlignment="0">
      <alignment horizontal="center"/>
    </xf>
    <xf numFmtId="0" fontId="203" fillId="81" borderId="881" applyNumberFormat="0" applyFont="0" applyAlignment="0" applyProtection="0"/>
    <xf numFmtId="0" fontId="213" fillId="65" borderId="1042" applyNumberFormat="0" applyAlignment="0" applyProtection="0"/>
    <xf numFmtId="0" fontId="229" fillId="83" borderId="957" applyAlignment="0">
      <alignment horizontal="center"/>
    </xf>
    <xf numFmtId="182" fontId="225" fillId="0" borderId="996" applyFill="0" applyProtection="0"/>
    <xf numFmtId="0" fontId="203" fillId="81" borderId="773" applyNumberFormat="0" applyFont="0" applyAlignment="0" applyProtection="0"/>
    <xf numFmtId="0" fontId="203" fillId="81" borderId="854" applyNumberFormat="0" applyFont="0" applyAlignment="0" applyProtection="0"/>
    <xf numFmtId="0" fontId="229" fillId="83" borderId="686" applyAlignment="0">
      <alignment horizontal="center"/>
    </xf>
    <xf numFmtId="0" fontId="229" fillId="83" borderId="686" applyAlignment="0">
      <alignment horizontal="center"/>
    </xf>
    <xf numFmtId="0" fontId="229" fillId="83" borderId="686" applyAlignment="0">
      <alignment horizontal="center"/>
    </xf>
    <xf numFmtId="0" fontId="213" fillId="65" borderId="907" applyNumberFormat="0" applyAlignment="0" applyProtection="0"/>
    <xf numFmtId="182" fontId="225" fillId="0" borderId="960" applyFill="0" applyProtection="0"/>
    <xf numFmtId="0" fontId="8" fillId="81" borderId="881" applyNumberFormat="0" applyFont="0" applyAlignment="0" applyProtection="0"/>
    <xf numFmtId="0" fontId="238" fillId="59" borderId="745" applyNumberFormat="0" applyAlignment="0" applyProtection="0"/>
    <xf numFmtId="0" fontId="213" fillId="80" borderId="817" applyNumberFormat="0" applyAlignment="0" applyProtection="0"/>
    <xf numFmtId="0" fontId="203" fillId="81" borderId="881" applyNumberFormat="0" applyFont="0" applyAlignment="0" applyProtection="0"/>
    <xf numFmtId="0" fontId="213" fillId="80" borderId="727" applyNumberFormat="0" applyAlignment="0" applyProtection="0"/>
    <xf numFmtId="0" fontId="213" fillId="65" borderId="997" applyNumberFormat="0" applyAlignment="0" applyProtection="0"/>
    <xf numFmtId="0" fontId="229" fillId="83" borderId="686" applyAlignment="0">
      <alignment horizontal="center"/>
    </xf>
    <xf numFmtId="200" fontId="225" fillId="0" borderId="996" applyFill="0" applyProtection="0"/>
    <xf numFmtId="0" fontId="213" fillId="65" borderId="871" applyNumberFormat="0" applyAlignment="0" applyProtection="0"/>
    <xf numFmtId="0" fontId="176" fillId="81" borderId="908" applyNumberFormat="0" applyFont="0" applyAlignment="0" applyProtection="0"/>
    <xf numFmtId="0" fontId="213" fillId="65" borderId="826" applyNumberFormat="0" applyAlignment="0" applyProtection="0"/>
    <xf numFmtId="0" fontId="213" fillId="65" borderId="772" applyNumberFormat="0" applyAlignment="0" applyProtection="0"/>
    <xf numFmtId="0" fontId="213" fillId="65" borderId="736" applyNumberFormat="0" applyAlignment="0" applyProtection="0"/>
    <xf numFmtId="0" fontId="213" fillId="65" borderId="961" applyNumberFormat="0" applyAlignment="0" applyProtection="0"/>
    <xf numFmtId="0" fontId="213" fillId="65" borderId="997" applyNumberFormat="0" applyAlignment="0" applyProtection="0"/>
    <xf numFmtId="0" fontId="203" fillId="81" borderId="1043" applyNumberFormat="0" applyFont="0" applyAlignment="0" applyProtection="0"/>
    <xf numFmtId="0" fontId="203" fillId="81" borderId="791" applyNumberFormat="0" applyFont="0" applyAlignment="0" applyProtection="0"/>
    <xf numFmtId="0" fontId="203" fillId="81" borderId="728" applyNumberFormat="0" applyFont="0" applyAlignment="0" applyProtection="0"/>
    <xf numFmtId="0" fontId="213" fillId="65" borderId="673" applyNumberFormat="0" applyAlignment="0" applyProtection="0"/>
    <xf numFmtId="0" fontId="8" fillId="81" borderId="962" applyNumberFormat="0" applyFont="0" applyAlignment="0" applyProtection="0"/>
    <xf numFmtId="0" fontId="176" fillId="81" borderId="827" applyNumberFormat="0" applyFont="0" applyAlignment="0" applyProtection="0"/>
    <xf numFmtId="0" fontId="213" fillId="65" borderId="772" applyNumberFormat="0" applyAlignment="0" applyProtection="0"/>
    <xf numFmtId="0" fontId="213" fillId="65" borderId="817" applyNumberFormat="0" applyAlignment="0" applyProtection="0"/>
    <xf numFmtId="0" fontId="213" fillId="65" borderId="727" applyNumberFormat="0" applyAlignment="0" applyProtection="0"/>
    <xf numFmtId="0" fontId="174" fillId="0" borderId="838" applyNumberFormat="0" applyFill="0" applyAlignment="0" applyProtection="0"/>
    <xf numFmtId="0" fontId="203" fillId="81" borderId="818" applyNumberFormat="0" applyFont="0" applyAlignment="0" applyProtection="0"/>
    <xf numFmtId="200" fontId="225" fillId="0" borderId="1041" applyFill="0" applyProtection="0"/>
    <xf numFmtId="0" fontId="213" fillId="80" borderId="1042" applyNumberFormat="0" applyAlignment="0" applyProtection="0"/>
    <xf numFmtId="0" fontId="176" fillId="81" borderId="773" applyNumberFormat="0" applyFont="0" applyAlignment="0" applyProtection="0"/>
    <xf numFmtId="0" fontId="213" fillId="65" borderId="817" applyNumberFormat="0" applyAlignment="0" applyProtection="0"/>
    <xf numFmtId="0" fontId="213" fillId="65" borderId="727" applyNumberFormat="0" applyAlignment="0" applyProtection="0"/>
    <xf numFmtId="0" fontId="213" fillId="65" borderId="772" applyNumberFormat="0" applyAlignment="0" applyProtection="0"/>
    <xf numFmtId="0" fontId="213" fillId="65" borderId="817" applyNumberFormat="0" applyAlignment="0" applyProtection="0"/>
    <xf numFmtId="0" fontId="206" fillId="78" borderId="916" applyNumberFormat="0" applyAlignment="0" applyProtection="0"/>
    <xf numFmtId="0" fontId="213" fillId="65" borderId="952" applyNumberFormat="0" applyAlignment="0" applyProtection="0"/>
    <xf numFmtId="0" fontId="213" fillId="65" borderId="916" applyNumberFormat="0" applyAlignment="0" applyProtection="0"/>
    <xf numFmtId="0" fontId="213" fillId="65" borderId="736" applyNumberFormat="0" applyAlignment="0" applyProtection="0"/>
    <xf numFmtId="0" fontId="213" fillId="65" borderId="1042" applyNumberFormat="0" applyAlignment="0" applyProtection="0"/>
    <xf numFmtId="0" fontId="203" fillId="81" borderId="863" applyNumberFormat="0" applyFont="0" applyAlignment="0" applyProtection="0"/>
    <xf numFmtId="0" fontId="213" fillId="65" borderId="826" applyNumberFormat="0" applyAlignment="0" applyProtection="0"/>
    <xf numFmtId="0" fontId="203" fillId="81" borderId="728" applyNumberFormat="0" applyFont="0" applyAlignment="0" applyProtection="0"/>
    <xf numFmtId="0" fontId="213" fillId="65" borderId="907" applyNumberFormat="0" applyAlignment="0" applyProtection="0"/>
    <xf numFmtId="0" fontId="203" fillId="81" borderId="827" applyNumberFormat="0" applyFont="0" applyAlignment="0" applyProtection="0"/>
    <xf numFmtId="182" fontId="225" fillId="0" borderId="789" applyFill="0" applyProtection="0"/>
    <xf numFmtId="0" fontId="229" fillId="83" borderId="686" applyAlignment="0">
      <alignment horizontal="center"/>
    </xf>
    <xf numFmtId="0" fontId="229" fillId="83" borderId="686" applyAlignment="0">
      <alignment horizontal="center"/>
    </xf>
    <xf numFmtId="0" fontId="213" fillId="65" borderId="673" applyNumberFormat="0" applyAlignment="0" applyProtection="0"/>
    <xf numFmtId="0" fontId="206" fillId="78" borderId="817" applyNumberFormat="0" applyAlignment="0" applyProtection="0"/>
    <xf numFmtId="0" fontId="213" fillId="80" borderId="952" applyNumberFormat="0" applyAlignment="0" applyProtection="0"/>
    <xf numFmtId="0" fontId="213" fillId="65" borderId="970" applyNumberFormat="0" applyAlignment="0" applyProtection="0"/>
    <xf numFmtId="0" fontId="203" fillId="81" borderId="827" applyNumberFormat="0" applyFont="0" applyAlignment="0" applyProtection="0"/>
    <xf numFmtId="0" fontId="216" fillId="59" borderId="1044" applyNumberFormat="0" applyAlignment="0" applyProtection="0"/>
    <xf numFmtId="0" fontId="213" fillId="65" borderId="727" applyNumberFormat="0" applyAlignment="0" applyProtection="0"/>
    <xf numFmtId="0" fontId="213" fillId="65" borderId="952" applyNumberFormat="0" applyAlignment="0" applyProtection="0"/>
    <xf numFmtId="0" fontId="213" fillId="65" borderId="700" applyNumberFormat="0" applyAlignment="0" applyProtection="0"/>
    <xf numFmtId="0" fontId="153" fillId="0" borderId="950">
      <alignment horizontal="left" vertical="center"/>
    </xf>
    <xf numFmtId="0" fontId="203" fillId="81" borderId="1043" applyNumberFormat="0" applyFont="0" applyAlignment="0" applyProtection="0"/>
    <xf numFmtId="0" fontId="249" fillId="59" borderId="817" applyNumberFormat="0" applyAlignment="0" applyProtection="0"/>
    <xf numFmtId="200" fontId="225" fillId="0" borderId="1050" applyFill="0" applyProtection="0"/>
    <xf numFmtId="0" fontId="206" fillId="78" borderId="916" applyNumberFormat="0" applyAlignment="0" applyProtection="0"/>
    <xf numFmtId="0" fontId="257" fillId="59" borderId="882" applyNumberFormat="0" applyAlignment="0" applyProtection="0"/>
    <xf numFmtId="0" fontId="8" fillId="81" borderId="917" applyNumberFormat="0" applyFont="0" applyAlignment="0" applyProtection="0"/>
    <xf numFmtId="0" fontId="213" fillId="65" borderId="1006" applyNumberFormat="0" applyAlignment="0" applyProtection="0"/>
    <xf numFmtId="0" fontId="216" fillId="78" borderId="729" applyNumberFormat="0" applyAlignment="0" applyProtection="0"/>
    <xf numFmtId="0" fontId="213" fillId="65" borderId="817" applyNumberFormat="0" applyAlignment="0" applyProtection="0"/>
    <xf numFmtId="0" fontId="174" fillId="0" borderId="874" applyNumberFormat="0" applyFill="0" applyAlignment="0" applyProtection="0"/>
    <xf numFmtId="0" fontId="229" fillId="83" borderId="732" applyAlignment="0">
      <alignment horizontal="center"/>
    </xf>
    <xf numFmtId="0" fontId="213" fillId="65" borderId="772" applyNumberFormat="0" applyAlignment="0" applyProtection="0"/>
    <xf numFmtId="182" fontId="225" fillId="0" borderId="1050" applyFill="0" applyProtection="0"/>
    <xf numFmtId="0" fontId="213" fillId="65" borderId="907" applyNumberFormat="0" applyAlignment="0" applyProtection="0"/>
    <xf numFmtId="0" fontId="213" fillId="65" borderId="862" applyNumberFormat="0" applyAlignment="0" applyProtection="0"/>
    <xf numFmtId="0" fontId="213" fillId="65" borderId="997" applyNumberFormat="0" applyAlignment="0" applyProtection="0"/>
    <xf numFmtId="0" fontId="213" fillId="65" borderId="907" applyNumberFormat="0" applyAlignment="0" applyProtection="0"/>
    <xf numFmtId="0" fontId="229" fillId="83" borderId="732" applyAlignment="0">
      <alignment horizontal="center"/>
    </xf>
    <xf numFmtId="0" fontId="8" fillId="81" borderId="728" applyNumberFormat="0" applyFont="0" applyAlignment="0" applyProtection="0"/>
    <xf numFmtId="0" fontId="213" fillId="65" borderId="997" applyNumberFormat="0" applyAlignment="0" applyProtection="0"/>
    <xf numFmtId="0" fontId="216" fillId="59" borderId="864" applyNumberFormat="0" applyAlignment="0" applyProtection="0"/>
    <xf numFmtId="0" fontId="216" fillId="59" borderId="819" applyNumberFormat="0" applyAlignment="0" applyProtection="0"/>
    <xf numFmtId="0" fontId="203" fillId="81" borderId="818" applyNumberFormat="0" applyFont="0" applyAlignment="0" applyProtection="0"/>
    <xf numFmtId="0" fontId="213" fillId="65" borderId="961" applyNumberFormat="0" applyAlignment="0" applyProtection="0"/>
    <xf numFmtId="0" fontId="213" fillId="80" borderId="907" applyNumberFormat="0" applyAlignment="0" applyProtection="0"/>
    <xf numFmtId="182" fontId="225" fillId="0" borderId="879" applyFill="0" applyProtection="0"/>
    <xf numFmtId="0" fontId="213" fillId="65" borderId="727" applyNumberFormat="0" applyAlignment="0" applyProtection="0"/>
    <xf numFmtId="0" fontId="203" fillId="81" borderId="872" applyNumberFormat="0" applyFont="0" applyAlignment="0" applyProtection="0"/>
    <xf numFmtId="0" fontId="257" fillId="59" borderId="1062" applyNumberFormat="0" applyAlignment="0" applyProtection="0"/>
    <xf numFmtId="0" fontId="229" fillId="83" borderId="929" applyAlignment="0">
      <alignment horizontal="center"/>
    </xf>
    <xf numFmtId="0" fontId="213" fillId="65" borderId="997" applyNumberFormat="0" applyAlignment="0" applyProtection="0"/>
    <xf numFmtId="0" fontId="213" fillId="65" borderId="1006" applyNumberFormat="0" applyAlignment="0" applyProtection="0"/>
    <xf numFmtId="0" fontId="244" fillId="0" borderId="906" applyNumberFormat="0" applyFont="0" applyFill="0" applyAlignment="0" applyProtection="0"/>
    <xf numFmtId="0" fontId="229" fillId="83" borderId="732" applyAlignment="0">
      <alignment horizontal="center"/>
    </xf>
    <xf numFmtId="0" fontId="213" fillId="65" borderId="916" applyNumberFormat="0" applyAlignment="0" applyProtection="0"/>
    <xf numFmtId="0" fontId="153" fillId="0" borderId="734">
      <alignment horizontal="left" vertical="center"/>
    </xf>
    <xf numFmtId="200" fontId="225" fillId="0" borderId="1059" applyFill="0" applyProtection="0"/>
    <xf numFmtId="0" fontId="213" fillId="65" borderId="772" applyNumberFormat="0" applyAlignment="0" applyProtection="0"/>
    <xf numFmtId="182" fontId="225" fillId="0" borderId="780" applyFill="0" applyProtection="0"/>
    <xf numFmtId="0" fontId="203" fillId="81" borderId="827" applyNumberFormat="0" applyFont="0" applyAlignment="0" applyProtection="0"/>
    <xf numFmtId="0" fontId="216" fillId="78" borderId="972" applyNumberFormat="0" applyAlignment="0" applyProtection="0"/>
    <xf numFmtId="0" fontId="213" fillId="65" borderId="862" applyNumberFormat="0" applyAlignment="0" applyProtection="0"/>
    <xf numFmtId="0" fontId="203" fillId="81" borderId="1043" applyNumberFormat="0" applyFont="0" applyAlignment="0" applyProtection="0"/>
    <xf numFmtId="0" fontId="203" fillId="81" borderId="737" applyNumberFormat="0" applyFont="0" applyAlignment="0" applyProtection="0"/>
    <xf numFmtId="0" fontId="213" fillId="65" borderId="916" applyNumberFormat="0" applyAlignment="0" applyProtection="0"/>
    <xf numFmtId="0" fontId="213" fillId="65" borderId="727" applyNumberFormat="0" applyAlignment="0" applyProtection="0"/>
    <xf numFmtId="0" fontId="216" fillId="78" borderId="837" applyNumberFormat="0" applyAlignment="0" applyProtection="0"/>
    <xf numFmtId="0" fontId="213" fillId="65" borderId="952" applyNumberFormat="0" applyAlignment="0" applyProtection="0"/>
    <xf numFmtId="0" fontId="213" fillId="65" borderId="952" applyNumberFormat="0" applyAlignment="0" applyProtection="0"/>
    <xf numFmtId="0" fontId="213" fillId="65" borderId="817" applyNumberFormat="0" applyAlignment="0" applyProtection="0"/>
    <xf numFmtId="0" fontId="213" fillId="65" borderId="1006" applyNumberFormat="0" applyAlignment="0" applyProtection="0"/>
    <xf numFmtId="0" fontId="8" fillId="81" borderId="908" applyNumberFormat="0" applyFont="0" applyAlignment="0" applyProtection="0"/>
    <xf numFmtId="0" fontId="203" fillId="81" borderId="728" applyNumberFormat="0" applyFont="0" applyAlignment="0" applyProtection="0"/>
    <xf numFmtId="0" fontId="213" fillId="65" borderId="1015" applyNumberFormat="0" applyAlignment="0" applyProtection="0"/>
    <xf numFmtId="0" fontId="213" fillId="65" borderId="862" applyNumberFormat="0" applyAlignment="0" applyProtection="0"/>
    <xf numFmtId="0" fontId="8" fillId="81" borderId="818" applyNumberFormat="0" applyFont="0" applyAlignment="0" applyProtection="0"/>
    <xf numFmtId="0" fontId="203" fillId="81" borderId="908" applyNumberFormat="0" applyFont="0" applyAlignment="0" applyProtection="0"/>
    <xf numFmtId="0" fontId="203" fillId="81" borderId="773" applyNumberFormat="0" applyFont="0" applyAlignment="0" applyProtection="0"/>
    <xf numFmtId="0" fontId="213" fillId="65" borderId="727" applyNumberFormat="0" applyAlignment="0" applyProtection="0"/>
    <xf numFmtId="0" fontId="213" fillId="65" borderId="997" applyNumberFormat="0" applyAlignment="0" applyProtection="0"/>
    <xf numFmtId="0" fontId="213" fillId="65" borderId="970" applyNumberFormat="0" applyAlignment="0" applyProtection="0"/>
    <xf numFmtId="0" fontId="254" fillId="80" borderId="781" applyNumberFormat="0" applyAlignment="0" applyProtection="0"/>
    <xf numFmtId="0" fontId="213" fillId="65" borderId="826" applyNumberFormat="0" applyAlignment="0" applyProtection="0"/>
    <xf numFmtId="182" fontId="225" fillId="0" borderId="879" applyFill="0" applyProtection="0"/>
    <xf numFmtId="0" fontId="216" fillId="59" borderId="837" applyNumberFormat="0" applyAlignment="0" applyProtection="0"/>
    <xf numFmtId="0" fontId="213" fillId="65" borderId="835" applyNumberFormat="0" applyAlignment="0" applyProtection="0"/>
    <xf numFmtId="0" fontId="203" fillId="81" borderId="908" applyNumberFormat="0" applyFont="0" applyAlignment="0" applyProtection="0"/>
    <xf numFmtId="0" fontId="213" fillId="65" borderId="961" applyNumberFormat="0" applyAlignment="0" applyProtection="0"/>
    <xf numFmtId="182" fontId="225" fillId="0" borderId="771" applyFill="0" applyProtection="0"/>
    <xf numFmtId="0" fontId="213" fillId="65" borderId="862" applyNumberFormat="0" applyAlignment="0" applyProtection="0"/>
    <xf numFmtId="0" fontId="203" fillId="81" borderId="728" applyNumberFormat="0" applyFont="0" applyAlignment="0" applyProtection="0"/>
    <xf numFmtId="0" fontId="213" fillId="80" borderId="1042" applyNumberFormat="0" applyAlignment="0" applyProtection="0"/>
    <xf numFmtId="0" fontId="213" fillId="80" borderId="907" applyNumberFormat="0" applyAlignment="0" applyProtection="0"/>
    <xf numFmtId="0" fontId="213" fillId="65" borderId="817" applyNumberFormat="0" applyAlignment="0" applyProtection="0"/>
    <xf numFmtId="0" fontId="206" fillId="78" borderId="781" applyNumberFormat="0" applyAlignment="0" applyProtection="0"/>
    <xf numFmtId="0" fontId="229" fillId="83" borderId="1037" applyAlignment="0">
      <alignment horizontal="center"/>
    </xf>
    <xf numFmtId="0" fontId="203" fillId="81" borderId="863" applyNumberFormat="0" applyFont="0" applyAlignment="0" applyProtection="0"/>
    <xf numFmtId="0" fontId="176" fillId="81" borderId="1043" applyNumberFormat="0" applyFont="0" applyAlignment="0" applyProtection="0"/>
    <xf numFmtId="0" fontId="203" fillId="81" borderId="953" applyNumberFormat="0" applyFont="0" applyAlignment="0" applyProtection="0"/>
    <xf numFmtId="0" fontId="213" fillId="65" borderId="727" applyNumberFormat="0" applyAlignment="0" applyProtection="0"/>
    <xf numFmtId="0" fontId="213" fillId="65" borderId="1042" applyNumberFormat="0" applyAlignment="0" applyProtection="0"/>
    <xf numFmtId="0" fontId="229" fillId="83" borderId="857" applyAlignment="0">
      <alignment horizontal="center"/>
    </xf>
    <xf numFmtId="0" fontId="213" fillId="65" borderId="952" applyNumberFormat="0" applyAlignment="0" applyProtection="0"/>
    <xf numFmtId="0" fontId="213" fillId="65" borderId="1042" applyNumberFormat="0" applyAlignment="0" applyProtection="0"/>
    <xf numFmtId="0" fontId="238" fillId="59" borderId="862" applyNumberFormat="0" applyAlignment="0" applyProtection="0"/>
    <xf numFmtId="0" fontId="213" fillId="80" borderId="997" applyNumberFormat="0" applyAlignment="0" applyProtection="0"/>
    <xf numFmtId="0" fontId="203" fillId="81" borderId="1052" applyNumberFormat="0" applyFont="0" applyAlignment="0" applyProtection="0"/>
    <xf numFmtId="0" fontId="203" fillId="81" borderId="728" applyNumberFormat="0" applyFont="0" applyAlignment="0" applyProtection="0"/>
    <xf numFmtId="0" fontId="213" fillId="65" borderId="817" applyNumberFormat="0" applyAlignment="0" applyProtection="0"/>
    <xf numFmtId="0" fontId="203" fillId="81" borderId="728" applyNumberFormat="0" applyFont="0" applyAlignment="0" applyProtection="0"/>
    <xf numFmtId="0" fontId="213" fillId="65" borderId="925" applyNumberFormat="0" applyAlignment="0" applyProtection="0"/>
    <xf numFmtId="200" fontId="225" fillId="0" borderId="960" applyFill="0" applyProtection="0"/>
    <xf numFmtId="0" fontId="153" fillId="0" borderId="878">
      <alignment horizontal="left" vertical="center"/>
    </xf>
    <xf numFmtId="0" fontId="238" fillId="59" borderId="1006" applyNumberFormat="0" applyAlignment="0" applyProtection="0"/>
    <xf numFmtId="0" fontId="176" fillId="81" borderId="791" applyNumberFormat="0" applyFont="0" applyAlignment="0" applyProtection="0"/>
    <xf numFmtId="0" fontId="203" fillId="81" borderId="827" applyNumberFormat="0" applyFont="0" applyAlignment="0" applyProtection="0"/>
    <xf numFmtId="0" fontId="213" fillId="65" borderId="970" applyNumberFormat="0" applyAlignment="0" applyProtection="0"/>
    <xf numFmtId="182" fontId="225" fillId="0" borderId="780" applyFill="0" applyProtection="0"/>
    <xf numFmtId="200" fontId="225" fillId="0" borderId="861" applyFill="0" applyProtection="0"/>
    <xf numFmtId="0" fontId="153" fillId="0" borderId="1040">
      <alignment horizontal="left" vertical="center"/>
    </xf>
    <xf numFmtId="0" fontId="213" fillId="80" borderId="952" applyNumberFormat="0" applyAlignment="0" applyProtection="0"/>
    <xf numFmtId="0" fontId="203" fillId="81" borderId="737" applyNumberFormat="0" applyFont="0" applyAlignment="0" applyProtection="0"/>
    <xf numFmtId="0" fontId="213" fillId="65" borderId="907" applyNumberFormat="0" applyAlignment="0" applyProtection="0"/>
    <xf numFmtId="0" fontId="213" fillId="65" borderId="871" applyNumberFormat="0" applyAlignment="0" applyProtection="0"/>
    <xf numFmtId="0" fontId="213" fillId="65" borderId="727" applyNumberFormat="0" applyAlignment="0" applyProtection="0"/>
    <xf numFmtId="0" fontId="176" fillId="81" borderId="1043" applyNumberFormat="0" applyFont="0" applyAlignment="0" applyProtection="0"/>
    <xf numFmtId="0" fontId="213" fillId="65" borderId="952" applyNumberFormat="0" applyAlignment="0" applyProtection="0"/>
    <xf numFmtId="0" fontId="174" fillId="0" borderId="820" applyNumberFormat="0" applyFill="0" applyAlignment="0" applyProtection="0"/>
    <xf numFmtId="0" fontId="213" fillId="65" borderId="997" applyNumberFormat="0" applyAlignment="0" applyProtection="0"/>
    <xf numFmtId="0" fontId="213" fillId="65" borderId="952" applyNumberFormat="0" applyAlignment="0" applyProtection="0"/>
    <xf numFmtId="0" fontId="213" fillId="65" borderId="916" applyNumberFormat="0" applyAlignment="0" applyProtection="0"/>
    <xf numFmtId="0" fontId="203" fillId="81" borderId="1043" applyNumberFormat="0" applyFont="0" applyAlignment="0" applyProtection="0"/>
    <xf numFmtId="0" fontId="174" fillId="0" borderId="840" applyNumberFormat="0" applyFill="0" applyAlignment="0" applyProtection="0"/>
    <xf numFmtId="0" fontId="216" fillId="78" borderId="774" applyNumberFormat="0" applyAlignment="0" applyProtection="0"/>
    <xf numFmtId="0" fontId="203" fillId="81" borderId="908" applyNumberFormat="0" applyFont="0" applyAlignment="0" applyProtection="0"/>
    <xf numFmtId="0" fontId="229" fillId="83" borderId="857" applyAlignment="0">
      <alignment horizontal="center"/>
    </xf>
    <xf numFmtId="0" fontId="203" fillId="81" borderId="1016" applyNumberFormat="0" applyFont="0" applyAlignment="0" applyProtection="0"/>
    <xf numFmtId="0" fontId="213" fillId="65" borderId="781" applyNumberFormat="0" applyAlignment="0" applyProtection="0"/>
    <xf numFmtId="0" fontId="213" fillId="65" borderId="952" applyNumberFormat="0" applyAlignment="0" applyProtection="0"/>
    <xf numFmtId="0" fontId="176" fillId="81" borderId="818" applyNumberFormat="0" applyFont="0" applyAlignment="0" applyProtection="0"/>
    <xf numFmtId="0" fontId="238" fillId="59" borderId="862" applyNumberFormat="0" applyAlignment="0" applyProtection="0"/>
    <xf numFmtId="0" fontId="213" fillId="65" borderId="1015" applyNumberFormat="0" applyAlignment="0" applyProtection="0"/>
    <xf numFmtId="0" fontId="176" fillId="81" borderId="728" applyNumberFormat="0" applyFont="0" applyAlignment="0" applyProtection="0"/>
    <xf numFmtId="0" fontId="206" fillId="78" borderId="790" applyNumberFormat="0" applyAlignment="0" applyProtection="0"/>
    <xf numFmtId="0" fontId="213" fillId="65" borderId="772" applyNumberFormat="0" applyAlignment="0" applyProtection="0"/>
    <xf numFmtId="182" fontId="225" fillId="0" borderId="726" applyFill="0" applyProtection="0"/>
    <xf numFmtId="0" fontId="206" fillId="78" borderId="790" applyNumberFormat="0" applyAlignment="0" applyProtection="0"/>
    <xf numFmtId="0" fontId="216" fillId="59" borderId="783" applyNumberFormat="0" applyAlignment="0" applyProtection="0"/>
    <xf numFmtId="0" fontId="203" fillId="81" borderId="998" applyNumberFormat="0" applyFont="0" applyAlignment="0" applyProtection="0"/>
    <xf numFmtId="0" fontId="213" fillId="65" borderId="880" applyNumberFormat="0" applyAlignment="0" applyProtection="0"/>
    <xf numFmtId="0" fontId="213" fillId="65" borderId="862" applyNumberFormat="0" applyAlignment="0" applyProtection="0"/>
    <xf numFmtId="200" fontId="225" fillId="0" borderId="1041" applyFill="0" applyProtection="0"/>
    <xf numFmtId="0" fontId="244" fillId="0" borderId="879" applyNumberFormat="0" applyFont="0" applyFill="0" applyAlignment="0" applyProtection="0"/>
    <xf numFmtId="0" fontId="244" fillId="0" borderId="924" applyNumberFormat="0" applyFont="0" applyFill="0" applyAlignment="0" applyProtection="0"/>
    <xf numFmtId="0" fontId="203" fillId="81" borderId="827" applyNumberFormat="0" applyFont="0" applyAlignment="0" applyProtection="0"/>
    <xf numFmtId="0" fontId="213" fillId="65" borderId="772" applyNumberFormat="0" applyAlignment="0" applyProtection="0"/>
    <xf numFmtId="0" fontId="8" fillId="81" borderId="899" applyNumberFormat="0" applyFont="0" applyAlignment="0" applyProtection="0"/>
    <xf numFmtId="0" fontId="203" fillId="81" borderId="827" applyNumberFormat="0" applyFont="0" applyAlignment="0" applyProtection="0"/>
    <xf numFmtId="0" fontId="203" fillId="81" borderId="773" applyNumberFormat="0" applyFont="0" applyAlignment="0" applyProtection="0"/>
    <xf numFmtId="200" fontId="225" fillId="0" borderId="735" applyFill="0" applyProtection="0"/>
    <xf numFmtId="0" fontId="203" fillId="81" borderId="926" applyNumberFormat="0" applyFont="0" applyAlignment="0" applyProtection="0"/>
    <xf numFmtId="182" fontId="225" fillId="0" borderId="1005" applyFill="0" applyProtection="0"/>
    <xf numFmtId="0" fontId="213" fillId="65" borderId="907" applyNumberFormat="0" applyAlignment="0" applyProtection="0"/>
    <xf numFmtId="0" fontId="153" fillId="0" borderId="923">
      <alignment horizontal="left" vertical="center"/>
    </xf>
    <xf numFmtId="0" fontId="213" fillId="65" borderId="817" applyNumberFormat="0" applyAlignment="0" applyProtection="0"/>
    <xf numFmtId="0" fontId="238" fillId="59" borderId="736" applyNumberFormat="0" applyAlignment="0" applyProtection="0"/>
    <xf numFmtId="0" fontId="8" fillId="81" borderId="1043" applyNumberFormat="0" applyFont="0" applyAlignment="0" applyProtection="0"/>
    <xf numFmtId="0" fontId="176" fillId="81" borderId="728" applyNumberFormat="0" applyFont="0" applyAlignment="0" applyProtection="0"/>
    <xf numFmtId="0" fontId="213" fillId="65" borderId="736" applyNumberFormat="0" applyAlignment="0" applyProtection="0"/>
    <xf numFmtId="0" fontId="213" fillId="65" borderId="997" applyNumberFormat="0" applyAlignment="0" applyProtection="0"/>
    <xf numFmtId="0" fontId="174" fillId="0" borderId="1011" applyNumberFormat="0" applyFill="0" applyAlignment="0" applyProtection="0"/>
    <xf numFmtId="0" fontId="229" fillId="83" borderId="1064" applyAlignment="0">
      <alignment horizontal="center"/>
    </xf>
    <xf numFmtId="0" fontId="203" fillId="81" borderId="1043" applyNumberFormat="0" applyFont="0" applyAlignment="0" applyProtection="0"/>
    <xf numFmtId="182" fontId="225" fillId="0" borderId="969" applyFill="0" applyProtection="0"/>
    <xf numFmtId="0" fontId="203" fillId="81" borderId="728" applyNumberFormat="0" applyFont="0" applyAlignment="0" applyProtection="0"/>
    <xf numFmtId="0" fontId="216" fillId="78" borderId="1044" applyNumberFormat="0" applyAlignment="0" applyProtection="0"/>
    <xf numFmtId="0" fontId="213" fillId="65" borderId="916" applyNumberFormat="0" applyAlignment="0" applyProtection="0"/>
    <xf numFmtId="0" fontId="174" fillId="0" borderId="821" applyNumberFormat="0" applyFill="0" applyAlignment="0" applyProtection="0"/>
    <xf numFmtId="0" fontId="203" fillId="81" borderId="944" applyNumberFormat="0" applyFont="0" applyAlignment="0" applyProtection="0"/>
    <xf numFmtId="0" fontId="213" fillId="65" borderId="772" applyNumberFormat="0" applyAlignment="0" applyProtection="0"/>
    <xf numFmtId="0" fontId="213" fillId="65" borderId="997" applyNumberFormat="0" applyAlignment="0" applyProtection="0"/>
    <xf numFmtId="0" fontId="203" fillId="81" borderId="1007" applyNumberFormat="0" applyFont="0" applyAlignment="0" applyProtection="0"/>
    <xf numFmtId="0" fontId="213" fillId="65" borderId="1042" applyNumberFormat="0" applyAlignment="0" applyProtection="0"/>
    <xf numFmtId="0" fontId="203" fillId="81" borderId="953" applyNumberFormat="0" applyFont="0" applyAlignment="0" applyProtection="0"/>
    <xf numFmtId="182" fontId="225" fillId="0" borderId="861" applyFill="0" applyProtection="0"/>
    <xf numFmtId="200" fontId="225" fillId="0" borderId="1041" applyFill="0" applyProtection="0"/>
    <xf numFmtId="0" fontId="238" fillId="59" borderId="826" applyNumberFormat="0" applyAlignment="0" applyProtection="0"/>
    <xf numFmtId="0" fontId="203" fillId="81" borderId="998" applyNumberFormat="0" applyFont="0" applyAlignment="0" applyProtection="0"/>
    <xf numFmtId="0" fontId="203" fillId="81" borderId="962" applyNumberFormat="0" applyFont="0" applyAlignment="0" applyProtection="0"/>
    <xf numFmtId="0" fontId="213" fillId="80" borderId="781" applyNumberFormat="0" applyAlignment="0" applyProtection="0"/>
    <xf numFmtId="0" fontId="238" fillId="59" borderId="952" applyNumberFormat="0" applyAlignment="0" applyProtection="0"/>
    <xf numFmtId="0" fontId="203" fillId="81" borderId="791" applyNumberFormat="0" applyFont="0" applyAlignment="0" applyProtection="0"/>
    <xf numFmtId="0" fontId="203" fillId="81" borderId="818" applyNumberFormat="0" applyFont="0" applyAlignment="0" applyProtection="0"/>
    <xf numFmtId="0" fontId="203" fillId="81" borderId="782" applyNumberFormat="0" applyFont="0" applyAlignment="0" applyProtection="0"/>
    <xf numFmtId="0" fontId="213" fillId="65" borderId="907" applyNumberFormat="0" applyAlignment="0" applyProtection="0"/>
    <xf numFmtId="0" fontId="213" fillId="65" borderId="907" applyNumberFormat="0" applyAlignment="0" applyProtection="0"/>
    <xf numFmtId="0" fontId="174" fillId="0" borderId="865" applyNumberFormat="0" applyFill="0" applyAlignment="0" applyProtection="0"/>
    <xf numFmtId="0" fontId="213" fillId="65" borderId="817" applyNumberFormat="0" applyAlignment="0" applyProtection="0"/>
    <xf numFmtId="0" fontId="216" fillId="78" borderId="909" applyNumberFormat="0" applyAlignment="0" applyProtection="0"/>
    <xf numFmtId="0" fontId="213" fillId="65" borderId="1006" applyNumberFormat="0" applyAlignment="0" applyProtection="0"/>
    <xf numFmtId="0" fontId="203" fillId="81" borderId="1052" applyNumberFormat="0" applyFont="0" applyAlignment="0" applyProtection="0"/>
    <xf numFmtId="0" fontId="203" fillId="81" borderId="1061" applyNumberFormat="0" applyFont="0" applyAlignment="0" applyProtection="0"/>
    <xf numFmtId="0" fontId="213" fillId="65" borderId="736" applyNumberFormat="0" applyAlignment="0" applyProtection="0"/>
    <xf numFmtId="0" fontId="213" fillId="65" borderId="772" applyNumberFormat="0" applyAlignment="0" applyProtection="0"/>
    <xf numFmtId="0" fontId="213" fillId="65" borderId="1006" applyNumberFormat="0" applyAlignment="0" applyProtection="0"/>
    <xf numFmtId="0" fontId="213" fillId="80" borderId="1042" applyNumberFormat="0" applyAlignment="0" applyProtection="0"/>
    <xf numFmtId="0" fontId="153" fillId="0" borderId="860">
      <alignment horizontal="left" vertical="center"/>
    </xf>
    <xf numFmtId="0" fontId="203" fillId="81" borderId="863" applyNumberFormat="0" applyFont="0" applyAlignment="0" applyProtection="0"/>
    <xf numFmtId="200" fontId="225" fillId="0" borderId="870" applyFill="0" applyProtection="0"/>
    <xf numFmtId="200" fontId="225" fillId="0" borderId="771" applyFill="0" applyProtection="0"/>
    <xf numFmtId="0" fontId="213" fillId="65" borderId="862" applyNumberFormat="0" applyAlignment="0" applyProtection="0"/>
    <xf numFmtId="0" fontId="213" fillId="65" borderId="727" applyNumberFormat="0" applyAlignment="0" applyProtection="0"/>
    <xf numFmtId="0" fontId="213" fillId="65" borderId="871" applyNumberFormat="0" applyAlignment="0" applyProtection="0"/>
    <xf numFmtId="0" fontId="203" fillId="81" borderId="818" applyNumberFormat="0" applyFont="0" applyAlignment="0" applyProtection="0"/>
    <xf numFmtId="0" fontId="213" fillId="65" borderId="952" applyNumberFormat="0" applyAlignment="0" applyProtection="0"/>
    <xf numFmtId="0" fontId="213" fillId="65" borderId="727" applyNumberFormat="0" applyAlignment="0" applyProtection="0"/>
    <xf numFmtId="0" fontId="213" fillId="80" borderId="907" applyNumberFormat="0" applyAlignment="0" applyProtection="0"/>
    <xf numFmtId="0" fontId="238" fillId="59" borderId="817" applyNumberFormat="0" applyAlignment="0" applyProtection="0"/>
    <xf numFmtId="0" fontId="203" fillId="81" borderId="818" applyNumberFormat="0" applyFont="0" applyAlignment="0" applyProtection="0"/>
    <xf numFmtId="0" fontId="213" fillId="65" borderId="925" applyNumberFormat="0" applyAlignment="0" applyProtection="0"/>
    <xf numFmtId="0" fontId="216" fillId="59" borderId="999" applyNumberFormat="0" applyAlignment="0" applyProtection="0"/>
    <xf numFmtId="0" fontId="174" fillId="0" borderId="731" applyNumberFormat="0" applyFill="0" applyAlignment="0" applyProtection="0"/>
    <xf numFmtId="0" fontId="213" fillId="65" borderId="781" applyNumberFormat="0" applyAlignment="0" applyProtection="0"/>
    <xf numFmtId="0" fontId="203" fillId="81" borderId="1043" applyNumberFormat="0" applyFont="0" applyAlignment="0" applyProtection="0"/>
    <xf numFmtId="0" fontId="176" fillId="81" borderId="926" applyNumberFormat="0" applyFont="0" applyAlignment="0" applyProtection="0"/>
    <xf numFmtId="200" fontId="225" fillId="0" borderId="735" applyFill="0" applyProtection="0"/>
    <xf numFmtId="0" fontId="213" fillId="65" borderId="952" applyNumberFormat="0" applyAlignment="0" applyProtection="0"/>
    <xf numFmtId="0" fontId="213" fillId="65" borderId="1042" applyNumberFormat="0" applyAlignment="0" applyProtection="0"/>
    <xf numFmtId="0" fontId="206" fillId="78" borderId="907" applyNumberFormat="0" applyAlignment="0" applyProtection="0"/>
    <xf numFmtId="0" fontId="213" fillId="65" borderId="781" applyNumberFormat="0" applyAlignment="0" applyProtection="0"/>
    <xf numFmtId="0" fontId="176" fillId="81" borderId="773" applyNumberFormat="0" applyFont="0" applyAlignment="0" applyProtection="0"/>
    <xf numFmtId="0" fontId="213" fillId="65" borderId="1006" applyNumberFormat="0" applyAlignment="0" applyProtection="0"/>
    <xf numFmtId="0" fontId="238" fillId="59" borderId="772" applyNumberFormat="0" applyAlignment="0" applyProtection="0"/>
    <xf numFmtId="0" fontId="203" fillId="81" borderId="782" applyNumberFormat="0" applyFont="0" applyAlignment="0" applyProtection="0"/>
    <xf numFmtId="0" fontId="213" fillId="65" borderId="916" applyNumberFormat="0" applyAlignment="0" applyProtection="0"/>
    <xf numFmtId="0" fontId="213" fillId="65" borderId="997" applyNumberFormat="0" applyAlignment="0" applyProtection="0"/>
    <xf numFmtId="0" fontId="213" fillId="65" borderId="772" applyNumberFormat="0" applyAlignment="0" applyProtection="0"/>
    <xf numFmtId="0" fontId="213" fillId="65" borderId="727" applyNumberFormat="0" applyAlignment="0" applyProtection="0"/>
    <xf numFmtId="0" fontId="203" fillId="81" borderId="710" applyNumberFormat="0" applyFont="0" applyAlignment="0" applyProtection="0"/>
    <xf numFmtId="0" fontId="213" fillId="65" borderId="1006" applyNumberFormat="0" applyAlignment="0" applyProtection="0"/>
    <xf numFmtId="0" fontId="238" fillId="59" borderId="880" applyNumberFormat="0" applyAlignment="0" applyProtection="0"/>
    <xf numFmtId="0" fontId="8" fillId="81" borderId="926" applyNumberFormat="0" applyFont="0" applyAlignment="0" applyProtection="0"/>
    <xf numFmtId="0" fontId="203" fillId="81" borderId="953" applyNumberFormat="0" applyFont="0" applyAlignment="0" applyProtection="0"/>
    <xf numFmtId="0" fontId="203" fillId="81" borderId="872" applyNumberFormat="0" applyFont="0" applyAlignment="0" applyProtection="0"/>
    <xf numFmtId="182" fontId="225" fillId="0" borderId="870" applyFill="0" applyProtection="0"/>
    <xf numFmtId="182" fontId="225" fillId="0" borderId="960" applyFill="0" applyProtection="0"/>
    <xf numFmtId="0" fontId="249" fillId="59" borderId="826" applyNumberFormat="0" applyAlignment="0" applyProtection="0"/>
    <xf numFmtId="0" fontId="174" fillId="0" borderId="1009" applyNumberFormat="0" applyFill="0" applyAlignment="0" applyProtection="0"/>
    <xf numFmtId="0" fontId="203" fillId="81" borderId="836" applyNumberFormat="0" applyFont="0" applyAlignment="0" applyProtection="0"/>
    <xf numFmtId="0" fontId="153" fillId="0" borderId="815">
      <alignment horizontal="left" vertical="center"/>
    </xf>
    <xf numFmtId="0" fontId="213" fillId="65" borderId="835" applyNumberFormat="0" applyAlignment="0" applyProtection="0"/>
    <xf numFmtId="0" fontId="203" fillId="81" borderId="953" applyNumberFormat="0" applyFont="0" applyAlignment="0" applyProtection="0"/>
    <xf numFmtId="0" fontId="176" fillId="81" borderId="953" applyNumberFormat="0" applyFont="0" applyAlignment="0" applyProtection="0"/>
    <xf numFmtId="0" fontId="213" fillId="65" borderId="907" applyNumberFormat="0" applyAlignment="0" applyProtection="0"/>
    <xf numFmtId="0" fontId="213" fillId="65" borderId="916" applyNumberFormat="0" applyAlignment="0" applyProtection="0"/>
    <xf numFmtId="200" fontId="225" fillId="0" borderId="735" applyFill="0" applyProtection="0"/>
    <xf numFmtId="0" fontId="213" fillId="65" borderId="772" applyNumberFormat="0" applyAlignment="0" applyProtection="0"/>
    <xf numFmtId="0" fontId="238" fillId="59" borderId="1060" applyNumberFormat="0" applyAlignment="0" applyProtection="0"/>
    <xf numFmtId="0" fontId="153" fillId="0" borderId="1013">
      <alignment horizontal="left" vertical="center"/>
    </xf>
    <xf numFmtId="200" fontId="225" fillId="0" borderId="924" applyFill="0" applyProtection="0"/>
    <xf numFmtId="0" fontId="203" fillId="81" borderId="1043" applyNumberFormat="0" applyFont="0" applyAlignment="0" applyProtection="0"/>
    <xf numFmtId="0" fontId="213" fillId="65" borderId="1006" applyNumberFormat="0" applyAlignment="0" applyProtection="0"/>
    <xf numFmtId="0" fontId="203" fillId="81" borderId="872" applyNumberFormat="0" applyFont="0" applyAlignment="0" applyProtection="0"/>
    <xf numFmtId="0" fontId="213" fillId="65" borderId="736" applyNumberFormat="0" applyAlignment="0" applyProtection="0"/>
    <xf numFmtId="0" fontId="213" fillId="80" borderId="1042" applyNumberFormat="0" applyAlignment="0" applyProtection="0"/>
    <xf numFmtId="0" fontId="229" fillId="83" borderId="732" applyAlignment="0">
      <alignment horizontal="center"/>
    </xf>
    <xf numFmtId="0" fontId="213" fillId="65" borderId="781" applyNumberFormat="0" applyAlignment="0" applyProtection="0"/>
    <xf numFmtId="0" fontId="8" fillId="81" borderId="773" applyNumberFormat="0" applyFont="0" applyAlignment="0" applyProtection="0"/>
    <xf numFmtId="0" fontId="203" fillId="81" borderId="1052" applyNumberFormat="0" applyFont="0" applyAlignment="0" applyProtection="0"/>
    <xf numFmtId="0" fontId="203" fillId="81" borderId="854" applyNumberFormat="0" applyFont="0" applyAlignment="0" applyProtection="0"/>
    <xf numFmtId="182" fontId="225" fillId="0" borderId="825" applyFill="0" applyProtection="0"/>
    <xf numFmtId="0" fontId="203" fillId="81" borderId="998" applyNumberFormat="0" applyFont="0" applyAlignment="0" applyProtection="0"/>
    <xf numFmtId="0" fontId="206" fillId="78" borderId="1051" applyNumberFormat="0" applyAlignment="0" applyProtection="0"/>
    <xf numFmtId="200" fontId="225" fillId="0" borderId="780" applyFill="0" applyProtection="0"/>
    <xf numFmtId="0" fontId="229" fillId="83" borderId="722" applyAlignment="0">
      <alignment horizontal="center"/>
    </xf>
    <xf numFmtId="0" fontId="203" fillId="81" borderId="872" applyNumberFormat="0" applyFont="0" applyAlignment="0" applyProtection="0"/>
    <xf numFmtId="182" fontId="225" fillId="0" borderId="870" applyFill="0" applyProtection="0"/>
    <xf numFmtId="0" fontId="203" fillId="81" borderId="809" applyNumberFormat="0" applyFont="0" applyAlignment="0" applyProtection="0"/>
    <xf numFmtId="0" fontId="213" fillId="65" borderId="961" applyNumberFormat="0" applyAlignment="0" applyProtection="0"/>
    <xf numFmtId="0" fontId="213" fillId="65" borderId="772" applyNumberFormat="0" applyAlignment="0" applyProtection="0"/>
    <xf numFmtId="0" fontId="216" fillId="78" borderId="954" applyNumberFormat="0" applyAlignment="0" applyProtection="0"/>
    <xf numFmtId="200" fontId="225" fillId="0" borderId="726" applyFill="0" applyProtection="0"/>
    <xf numFmtId="0" fontId="213" fillId="65" borderId="862" applyNumberFormat="0" applyAlignment="0" applyProtection="0"/>
    <xf numFmtId="0" fontId="8" fillId="81" borderId="809" applyNumberFormat="0" applyFont="0" applyAlignment="0" applyProtection="0"/>
    <xf numFmtId="182" fontId="225" fillId="0" borderId="1014" applyFill="0" applyProtection="0"/>
    <xf numFmtId="0" fontId="213" fillId="65" borderId="997" applyNumberFormat="0" applyAlignment="0" applyProtection="0"/>
    <xf numFmtId="0" fontId="229" fillId="83" borderId="957" applyAlignment="0">
      <alignment horizontal="center"/>
    </xf>
    <xf numFmtId="182" fontId="225" fillId="0" borderId="1041" applyFill="0" applyProtection="0"/>
    <xf numFmtId="200" fontId="225" fillId="0" borderId="915" applyFill="0" applyProtection="0"/>
    <xf numFmtId="0" fontId="213" fillId="65" borderId="772" applyNumberFormat="0" applyAlignment="0" applyProtection="0"/>
    <xf numFmtId="0" fontId="203" fillId="81" borderId="1052" applyNumberFormat="0" applyFont="0" applyAlignment="0" applyProtection="0"/>
    <xf numFmtId="0" fontId="203" fillId="81" borderId="953" applyNumberFormat="0" applyFont="0" applyAlignment="0" applyProtection="0"/>
    <xf numFmtId="0" fontId="213" fillId="65" borderId="1042" applyNumberFormat="0" applyAlignment="0" applyProtection="0"/>
    <xf numFmtId="0" fontId="206" fillId="78" borderId="736" applyNumberFormat="0" applyAlignment="0" applyProtection="0"/>
    <xf numFmtId="0" fontId="216" fillId="59" borderId="981" applyNumberFormat="0" applyAlignment="0" applyProtection="0"/>
    <xf numFmtId="0" fontId="213" fillId="65" borderId="727" applyNumberFormat="0" applyAlignment="0" applyProtection="0"/>
    <xf numFmtId="0" fontId="206" fillId="78" borderId="1006" applyNumberFormat="0" applyAlignment="0" applyProtection="0"/>
    <xf numFmtId="0" fontId="174" fillId="0" borderId="1020" applyNumberFormat="0" applyFill="0" applyAlignment="0" applyProtection="0"/>
    <xf numFmtId="182" fontId="225" fillId="0" borderId="735" applyFill="0" applyProtection="0"/>
    <xf numFmtId="0" fontId="8" fillId="81" borderId="1016" applyNumberFormat="0" applyFon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881" applyNumberFormat="0" applyFont="0" applyAlignment="0" applyProtection="0"/>
    <xf numFmtId="0" fontId="213" fillId="65" borderId="1042" applyNumberFormat="0" applyAlignment="0" applyProtection="0"/>
    <xf numFmtId="0" fontId="203" fillId="81" borderId="1016" applyNumberFormat="0" applyFont="0" applyAlignment="0" applyProtection="0"/>
    <xf numFmtId="0" fontId="213" fillId="65" borderId="817" applyNumberFormat="0" applyAlignment="0" applyProtection="0"/>
    <xf numFmtId="182" fontId="225" fillId="0" borderId="924" applyFill="0" applyProtection="0"/>
    <xf numFmtId="0" fontId="8" fillId="81" borderId="1016" applyNumberFormat="0" applyFont="0" applyAlignment="0" applyProtection="0"/>
    <xf numFmtId="0" fontId="229" fillId="83" borderId="875" applyAlignment="0">
      <alignment horizontal="center"/>
    </xf>
    <xf numFmtId="0" fontId="203" fillId="81" borderId="728" applyNumberFormat="0" applyFont="0" applyAlignment="0" applyProtection="0"/>
    <xf numFmtId="0" fontId="213" fillId="65" borderId="826" applyNumberFormat="0" applyAlignment="0" applyProtection="0"/>
    <xf numFmtId="0" fontId="213" fillId="65" borderId="772" applyNumberFormat="0" applyAlignment="0" applyProtection="0"/>
    <xf numFmtId="182" fontId="225" fillId="0" borderId="726" applyFill="0" applyProtection="0"/>
    <xf numFmtId="0" fontId="203" fillId="81" borderId="1043" applyNumberFormat="0" applyFont="0" applyAlignment="0" applyProtection="0"/>
    <xf numFmtId="0" fontId="203" fillId="81" borderId="1043" applyNumberFormat="0" applyFont="0" applyAlignment="0" applyProtection="0"/>
    <xf numFmtId="0" fontId="213" fillId="65" borderId="880" applyNumberFormat="0" applyAlignment="0" applyProtection="0"/>
    <xf numFmtId="0" fontId="238" fillId="59" borderId="727" applyNumberFormat="0" applyAlignment="0" applyProtection="0"/>
    <xf numFmtId="0" fontId="213" fillId="65" borderId="1015" applyNumberFormat="0" applyAlignment="0" applyProtection="0"/>
    <xf numFmtId="0" fontId="153" fillId="0" borderId="959">
      <alignment horizontal="left" vertical="center"/>
    </xf>
    <xf numFmtId="182" fontId="225" fillId="0" borderId="1050" applyFill="0" applyProtection="0"/>
    <xf numFmtId="0" fontId="216" fillId="59" borderId="954" applyNumberFormat="0" applyAlignment="0" applyProtection="0"/>
    <xf numFmtId="0" fontId="216" fillId="78" borderId="1089" applyNumberFormat="0" applyAlignment="0" applyProtection="0"/>
    <xf numFmtId="200" fontId="225" fillId="0" borderId="906" applyFill="0" applyProtection="0"/>
    <xf numFmtId="0" fontId="213" fillId="80" borderId="1006" applyNumberFormat="0" applyAlignment="0" applyProtection="0"/>
    <xf numFmtId="0" fontId="153" fillId="0" borderId="1049">
      <alignment horizontal="left" vertical="center"/>
    </xf>
    <xf numFmtId="0" fontId="213" fillId="65" borderId="997" applyNumberFormat="0" applyAlignment="0" applyProtection="0"/>
    <xf numFmtId="0" fontId="238" fillId="59" borderId="1051" applyNumberFormat="0" applyAlignment="0" applyProtection="0"/>
    <xf numFmtId="0" fontId="213" fillId="65" borderId="925" applyNumberFormat="0" applyAlignment="0" applyProtection="0"/>
    <xf numFmtId="0" fontId="213" fillId="65" borderId="817" applyNumberFormat="0" applyAlignment="0" applyProtection="0"/>
    <xf numFmtId="0" fontId="213" fillId="65" borderId="907" applyNumberFormat="0" applyAlignment="0" applyProtection="0"/>
    <xf numFmtId="0" fontId="216" fillId="78" borderId="1044" applyNumberFormat="0" applyAlignment="0" applyProtection="0"/>
    <xf numFmtId="0" fontId="203" fillId="81" borderId="872" applyNumberFormat="0" applyFont="0" applyAlignment="0" applyProtection="0"/>
    <xf numFmtId="0" fontId="203" fillId="81" borderId="1016" applyNumberFormat="0" applyFont="0" applyAlignment="0" applyProtection="0"/>
    <xf numFmtId="182" fontId="225" fillId="0" borderId="816" applyFill="0" applyProtection="0"/>
    <xf numFmtId="0" fontId="213" fillId="65" borderId="790" applyNumberFormat="0" applyAlignment="0" applyProtection="0"/>
    <xf numFmtId="0" fontId="203" fillId="81" borderId="737" applyNumberFormat="0" applyFont="0" applyAlignment="0" applyProtection="0"/>
    <xf numFmtId="0" fontId="203" fillId="81" borderId="773" applyNumberFormat="0" applyFont="0" applyAlignment="0" applyProtection="0"/>
    <xf numFmtId="0" fontId="213" fillId="80" borderId="772" applyNumberFormat="0" applyAlignment="0" applyProtection="0"/>
    <xf numFmtId="0" fontId="203" fillId="81" borderId="674" applyNumberFormat="0" applyFont="0" applyAlignment="0" applyProtection="0"/>
    <xf numFmtId="182" fontId="225" fillId="0" borderId="906" applyFill="0" applyProtection="0"/>
    <xf numFmtId="0" fontId="203" fillId="81" borderId="1052" applyNumberFormat="0" applyFont="0" applyAlignment="0" applyProtection="0"/>
    <xf numFmtId="0" fontId="213" fillId="65" borderId="1042" applyNumberFormat="0" applyAlignment="0" applyProtection="0"/>
    <xf numFmtId="0" fontId="203" fillId="81" borderId="971" applyNumberFormat="0" applyFont="0" applyAlignment="0" applyProtection="0"/>
    <xf numFmtId="0" fontId="213" fillId="65" borderId="907" applyNumberFormat="0" applyAlignment="0" applyProtection="0"/>
    <xf numFmtId="0" fontId="206" fillId="78" borderId="1060" applyNumberFormat="0" applyAlignment="0" applyProtection="0"/>
    <xf numFmtId="0" fontId="176" fillId="81" borderId="728" applyNumberFormat="0" applyFont="0" applyAlignment="0" applyProtection="0"/>
    <xf numFmtId="0" fontId="206" fillId="78" borderId="997" applyNumberFormat="0" applyAlignment="0" applyProtection="0"/>
    <xf numFmtId="0" fontId="213" fillId="80" borderId="727" applyNumberFormat="0" applyAlignment="0" applyProtection="0"/>
    <xf numFmtId="0" fontId="213" fillId="65" borderId="817" applyNumberFormat="0" applyAlignment="0" applyProtection="0"/>
    <xf numFmtId="0" fontId="153" fillId="0" borderId="914">
      <alignment horizontal="left" vertical="center"/>
    </xf>
    <xf numFmtId="182" fontId="225" fillId="0" borderId="1050" applyFill="0" applyProtection="0"/>
    <xf numFmtId="0" fontId="213" fillId="65" borderId="772" applyNumberFormat="0" applyAlignment="0" applyProtection="0"/>
    <xf numFmtId="0" fontId="213" fillId="65" borderId="907" applyNumberFormat="0" applyAlignment="0" applyProtection="0"/>
    <xf numFmtId="0" fontId="213" fillId="65" borderId="727" applyNumberFormat="0" applyAlignment="0" applyProtection="0"/>
    <xf numFmtId="200" fontId="225" fillId="0" borderId="915" applyFill="0" applyProtection="0"/>
    <xf numFmtId="0" fontId="213" fillId="65" borderId="862" applyNumberFormat="0" applyAlignment="0" applyProtection="0"/>
    <xf numFmtId="0" fontId="203" fillId="81" borderId="791" applyNumberFormat="0" applyFont="0" applyAlignment="0" applyProtection="0"/>
    <xf numFmtId="0" fontId="203" fillId="81" borderId="809" applyNumberFormat="0" applyFont="0" applyAlignment="0" applyProtection="0"/>
    <xf numFmtId="0" fontId="213" fillId="65" borderId="781" applyNumberFormat="0" applyAlignment="0" applyProtection="0"/>
    <xf numFmtId="0" fontId="213" fillId="65" borderId="907" applyNumberFormat="0" applyAlignment="0" applyProtection="0"/>
    <xf numFmtId="0" fontId="176" fillId="81" borderId="818" applyNumberFormat="0" applyFont="0" applyAlignment="0" applyProtection="0"/>
    <xf numFmtId="0" fontId="213" fillId="80" borderId="835" applyNumberFormat="0" applyAlignment="0" applyProtection="0"/>
    <xf numFmtId="0" fontId="203" fillId="81" borderId="917" applyNumberFormat="0" applyFont="0" applyAlignment="0" applyProtection="0"/>
    <xf numFmtId="0" fontId="213" fillId="65" borderId="925" applyNumberFormat="0" applyAlignment="0" applyProtection="0"/>
    <xf numFmtId="0" fontId="206" fillId="78" borderId="997" applyNumberFormat="0" applyAlignment="0" applyProtection="0"/>
    <xf numFmtId="200" fontId="225" fillId="0" borderId="1014" applyFill="0" applyProtection="0"/>
    <xf numFmtId="0" fontId="213" fillId="65" borderId="862" applyNumberFormat="0" applyAlignment="0" applyProtection="0"/>
    <xf numFmtId="0" fontId="206" fillId="78" borderId="952" applyNumberFormat="0" applyAlignment="0" applyProtection="0"/>
    <xf numFmtId="0" fontId="213" fillId="65" borderId="1060" applyNumberFormat="0" applyAlignment="0" applyProtection="0"/>
    <xf numFmtId="200" fontId="225" fillId="0" borderId="1014" applyFill="0" applyProtection="0"/>
    <xf numFmtId="0" fontId="213" fillId="65" borderId="1042" applyNumberFormat="0" applyAlignment="0" applyProtection="0"/>
    <xf numFmtId="0" fontId="213" fillId="65" borderId="772" applyNumberFormat="0" applyAlignment="0" applyProtection="0"/>
    <xf numFmtId="200" fontId="225" fillId="0" borderId="969" applyFill="0" applyProtection="0"/>
    <xf numFmtId="200" fontId="225" fillId="0" borderId="906" applyFill="0" applyProtection="0"/>
    <xf numFmtId="200" fontId="225" fillId="0" borderId="771" applyFill="0" applyProtection="0"/>
    <xf numFmtId="0" fontId="213" fillId="65" borderId="961" applyNumberFormat="0" applyAlignment="0" applyProtection="0"/>
    <xf numFmtId="182" fontId="225" fillId="0" borderId="825" applyFill="0" applyProtection="0"/>
    <xf numFmtId="0" fontId="213" fillId="80" borderId="781" applyNumberFormat="0" applyAlignment="0" applyProtection="0"/>
    <xf numFmtId="0" fontId="213" fillId="65" borderId="826" applyNumberFormat="0" applyAlignment="0" applyProtection="0"/>
    <xf numFmtId="182" fontId="225" fillId="0" borderId="924" applyFill="0" applyProtection="0"/>
    <xf numFmtId="0" fontId="229" fillId="83" borderId="957" applyAlignment="0">
      <alignment horizontal="center"/>
    </xf>
    <xf numFmtId="0" fontId="213" fillId="65" borderId="862" applyNumberFormat="0" applyAlignment="0" applyProtection="0"/>
    <xf numFmtId="0" fontId="213" fillId="65" borderId="961" applyNumberFormat="0" applyAlignment="0" applyProtection="0"/>
    <xf numFmtId="0" fontId="8" fillId="81" borderId="998" applyNumberFormat="0" applyFont="0" applyAlignment="0" applyProtection="0"/>
    <xf numFmtId="0" fontId="213" fillId="80" borderId="772" applyNumberFormat="0" applyAlignment="0" applyProtection="0"/>
    <xf numFmtId="0" fontId="203" fillId="81" borderId="773" applyNumberFormat="0" applyFont="0" applyAlignment="0" applyProtection="0"/>
    <xf numFmtId="0" fontId="213" fillId="80" borderId="907" applyNumberFormat="0" applyAlignment="0" applyProtection="0"/>
    <xf numFmtId="0" fontId="213" fillId="65" borderId="916" applyNumberFormat="0" applyAlignment="0" applyProtection="0"/>
    <xf numFmtId="0" fontId="203" fillId="81" borderId="971" applyNumberFormat="0" applyFont="0" applyAlignment="0" applyProtection="0"/>
    <xf numFmtId="0" fontId="203" fillId="81" borderId="872" applyNumberFormat="0" applyFont="0" applyAlignment="0" applyProtection="0"/>
    <xf numFmtId="0" fontId="254" fillId="80" borderId="736" applyNumberFormat="0" applyAlignment="0" applyProtection="0"/>
    <xf numFmtId="0" fontId="213" fillId="65" borderId="1060" applyNumberFormat="0" applyAlignment="0" applyProtection="0"/>
    <xf numFmtId="0" fontId="216" fillId="78" borderId="864" applyNumberFormat="0" applyAlignment="0" applyProtection="0"/>
    <xf numFmtId="0" fontId="213" fillId="65" borderId="1051" applyNumberFormat="0" applyAlignment="0" applyProtection="0"/>
    <xf numFmtId="0" fontId="213" fillId="65" borderId="871" applyNumberFormat="0" applyAlignment="0" applyProtection="0"/>
    <xf numFmtId="0" fontId="213" fillId="65" borderId="925" applyNumberFormat="0" applyAlignment="0" applyProtection="0"/>
    <xf numFmtId="0" fontId="203" fillId="81" borderId="674" applyNumberFormat="0" applyFont="0" applyAlignment="0" applyProtection="0"/>
    <xf numFmtId="0" fontId="203" fillId="81" borderId="944" applyNumberFormat="0" applyFont="0" applyAlignment="0" applyProtection="0"/>
    <xf numFmtId="0" fontId="216" fillId="78" borderId="1053" applyNumberFormat="0" applyAlignment="0" applyProtection="0"/>
    <xf numFmtId="0" fontId="203" fillId="81" borderId="998" applyNumberFormat="0" applyFont="0" applyAlignment="0" applyProtection="0"/>
    <xf numFmtId="0" fontId="213" fillId="65" borderId="835" applyNumberFormat="0" applyAlignment="0" applyProtection="0"/>
    <xf numFmtId="0" fontId="213" fillId="65" borderId="826" applyNumberFormat="0" applyAlignment="0" applyProtection="0"/>
    <xf numFmtId="0" fontId="153" fillId="0" borderId="725">
      <alignment horizontal="left" vertical="center"/>
    </xf>
    <xf numFmtId="0" fontId="203" fillId="81" borderId="899" applyNumberFormat="0" applyFont="0" applyAlignment="0" applyProtection="0"/>
    <xf numFmtId="0" fontId="203" fillId="81" borderId="818" applyNumberFormat="0" applyFont="0" applyAlignment="0" applyProtection="0"/>
    <xf numFmtId="0" fontId="206" fillId="78" borderId="1051" applyNumberFormat="0" applyAlignment="0" applyProtection="0"/>
    <xf numFmtId="0" fontId="213" fillId="65" borderId="1042" applyNumberFormat="0" applyAlignment="0" applyProtection="0"/>
    <xf numFmtId="0" fontId="206" fillId="78" borderId="952" applyNumberFormat="0" applyAlignment="0" applyProtection="0"/>
    <xf numFmtId="0" fontId="176" fillId="81" borderId="953" applyNumberFormat="0" applyFont="0" applyAlignment="0" applyProtection="0"/>
    <xf numFmtId="0" fontId="213" fillId="65" borderId="790" applyNumberFormat="0" applyAlignment="0" applyProtection="0"/>
    <xf numFmtId="0" fontId="213" fillId="65" borderId="772" applyNumberFormat="0" applyAlignment="0" applyProtection="0"/>
    <xf numFmtId="0" fontId="213" fillId="65" borderId="871" applyNumberFormat="0" applyAlignment="0" applyProtection="0"/>
    <xf numFmtId="0" fontId="8" fillId="81" borderId="881" applyNumberFormat="0" applyFont="0" applyAlignment="0" applyProtection="0"/>
    <xf numFmtId="0" fontId="213" fillId="65" borderId="826" applyNumberFormat="0" applyAlignment="0" applyProtection="0"/>
    <xf numFmtId="0" fontId="203" fillId="81" borderId="728" applyNumberFormat="0" applyFont="0" applyAlignment="0" applyProtection="0"/>
    <xf numFmtId="0" fontId="213" fillId="65" borderId="952" applyNumberFormat="0" applyAlignment="0" applyProtection="0"/>
    <xf numFmtId="0" fontId="153" fillId="0" borderId="959">
      <alignment horizontal="left" vertical="center"/>
    </xf>
    <xf numFmtId="0" fontId="8" fillId="81" borderId="953" applyNumberFormat="0" applyFont="0" applyAlignment="0" applyProtection="0"/>
    <xf numFmtId="182" fontId="225" fillId="0" borderId="861" applyFill="0" applyProtection="0"/>
    <xf numFmtId="0" fontId="229" fillId="83" borderId="974" applyAlignment="0">
      <alignment horizontal="center"/>
    </xf>
    <xf numFmtId="200" fontId="225" fillId="0" borderId="1041" applyFill="0" applyProtection="0"/>
    <xf numFmtId="0" fontId="213" fillId="65" borderId="997" applyNumberFormat="0" applyAlignment="0" applyProtection="0"/>
    <xf numFmtId="0" fontId="213" fillId="80" borderId="781" applyNumberFormat="0" applyAlignment="0" applyProtection="0"/>
    <xf numFmtId="0" fontId="213" fillId="65" borderId="1051" applyNumberFormat="0" applyAlignment="0" applyProtection="0"/>
    <xf numFmtId="0" fontId="213" fillId="65" borderId="907" applyNumberFormat="0" applyAlignment="0" applyProtection="0"/>
    <xf numFmtId="0" fontId="213" fillId="65" borderId="736" applyNumberFormat="0" applyAlignment="0" applyProtection="0"/>
    <xf numFmtId="0" fontId="213" fillId="65" borderId="916" applyNumberFormat="0" applyAlignment="0" applyProtection="0"/>
    <xf numFmtId="0" fontId="213" fillId="65" borderId="1015" applyNumberFormat="0" applyAlignment="0" applyProtection="0"/>
    <xf numFmtId="182" fontId="225" fillId="0" borderId="1014" applyFill="0" applyProtection="0"/>
    <xf numFmtId="0" fontId="174" fillId="0" borderId="731" applyNumberFormat="0" applyFill="0" applyAlignment="0" applyProtection="0"/>
    <xf numFmtId="0" fontId="213" fillId="65" borderId="952" applyNumberFormat="0" applyAlignment="0" applyProtection="0"/>
    <xf numFmtId="0" fontId="153" fillId="0" borderId="914">
      <alignment horizontal="left" vertical="center"/>
    </xf>
    <xf numFmtId="0" fontId="8" fillId="81" borderId="872" applyNumberFormat="0" applyFont="0" applyAlignment="0" applyProtection="0"/>
    <xf numFmtId="0" fontId="229" fillId="83" borderId="974" applyAlignment="0">
      <alignment horizontal="center"/>
    </xf>
    <xf numFmtId="0" fontId="213" fillId="65" borderId="907" applyNumberFormat="0" applyAlignment="0" applyProtection="0"/>
    <xf numFmtId="0" fontId="203" fillId="81" borderId="836" applyNumberFormat="0" applyFont="0" applyAlignment="0" applyProtection="0"/>
    <xf numFmtId="0" fontId="213" fillId="65" borderId="817" applyNumberFormat="0" applyAlignment="0" applyProtection="0"/>
    <xf numFmtId="0" fontId="213" fillId="65" borderId="997" applyNumberFormat="0" applyAlignment="0" applyProtection="0"/>
    <xf numFmtId="0" fontId="174" fillId="0" borderId="750" applyNumberFormat="0" applyFill="0" applyAlignment="0" applyProtection="0"/>
    <xf numFmtId="0" fontId="203" fillId="81" borderId="881" applyNumberFormat="0" applyFont="0" applyAlignment="0" applyProtection="0"/>
    <xf numFmtId="0" fontId="249" fillId="59" borderId="997" applyNumberFormat="0" applyAlignment="0" applyProtection="0"/>
    <xf numFmtId="0" fontId="213" fillId="65" borderId="925" applyNumberFormat="0" applyAlignment="0" applyProtection="0"/>
    <xf numFmtId="0" fontId="229" fillId="83" borderId="929" applyAlignment="0">
      <alignment horizontal="center"/>
    </xf>
    <xf numFmtId="0" fontId="213" fillId="80" borderId="952" applyNumberFormat="0" applyAlignment="0" applyProtection="0"/>
    <xf numFmtId="0" fontId="229" fillId="83" borderId="822" applyAlignment="0">
      <alignment horizontal="center"/>
    </xf>
    <xf numFmtId="0" fontId="203" fillId="81" borderId="953" applyNumberFormat="0" applyFont="0" applyAlignment="0" applyProtection="0"/>
    <xf numFmtId="0" fontId="203" fillId="81" borderId="953" applyNumberFormat="0" applyFont="0" applyAlignment="0" applyProtection="0"/>
    <xf numFmtId="0" fontId="203" fillId="81" borderId="1007" applyNumberFormat="0" applyFont="0" applyAlignment="0" applyProtection="0"/>
    <xf numFmtId="200" fontId="225" fillId="0" borderId="969" applyFill="0" applyProtection="0"/>
    <xf numFmtId="0" fontId="229" fillId="83" borderId="767" applyAlignment="0">
      <alignment horizontal="center"/>
    </xf>
    <xf numFmtId="0" fontId="203" fillId="81" borderId="773" applyNumberFormat="0" applyFont="0" applyAlignment="0" applyProtection="0"/>
    <xf numFmtId="182" fontId="225" fillId="0" borderId="834" applyFill="0" applyProtection="0"/>
    <xf numFmtId="0" fontId="213" fillId="65" borderId="961" applyNumberFormat="0" applyAlignment="0" applyProtection="0"/>
    <xf numFmtId="0" fontId="216" fillId="78" borderId="729" applyNumberFormat="0" applyAlignment="0" applyProtection="0"/>
    <xf numFmtId="0" fontId="249" fillId="59" borderId="1042" applyNumberFormat="0" applyAlignment="0" applyProtection="0"/>
    <xf numFmtId="0" fontId="213" fillId="65" borderId="997" applyNumberFormat="0" applyAlignment="0" applyProtection="0"/>
    <xf numFmtId="0" fontId="213" fillId="65" borderId="817"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1042" applyNumberFormat="0" applyAlignment="0" applyProtection="0"/>
    <xf numFmtId="200" fontId="225" fillId="0" borderId="726" applyFill="0" applyProtection="0"/>
    <xf numFmtId="0" fontId="203" fillId="81" borderId="818" applyNumberFormat="0" applyFont="0" applyAlignment="0" applyProtection="0"/>
    <xf numFmtId="0" fontId="213" fillId="65" borderId="997" applyNumberFormat="0" applyAlignment="0" applyProtection="0"/>
    <xf numFmtId="0" fontId="203" fillId="81" borderId="773" applyNumberFormat="0" applyFont="0" applyAlignment="0" applyProtection="0"/>
    <xf numFmtId="0" fontId="244" fillId="0" borderId="951" applyNumberFormat="0" applyFont="0" applyFill="0" applyAlignment="0" applyProtection="0"/>
    <xf numFmtId="0" fontId="213" fillId="65" borderId="925" applyNumberFormat="0" applyAlignment="0" applyProtection="0"/>
    <xf numFmtId="0" fontId="203" fillId="81" borderId="908" applyNumberFormat="0" applyFont="0" applyAlignment="0" applyProtection="0"/>
    <xf numFmtId="0" fontId="213" fillId="65" borderId="1006" applyNumberFormat="0" applyAlignment="0" applyProtection="0"/>
    <xf numFmtId="0" fontId="203" fillId="81" borderId="737"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772" applyNumberFormat="0" applyAlignment="0" applyProtection="0"/>
    <xf numFmtId="182" fontId="225" fillId="0" borderId="816" applyFill="0" applyProtection="0"/>
    <xf numFmtId="0" fontId="203" fillId="81" borderId="998" applyNumberFormat="0" applyFont="0" applyAlignment="0" applyProtection="0"/>
    <xf numFmtId="0" fontId="203" fillId="81" borderId="998" applyNumberFormat="0" applyFont="0" applyAlignment="0" applyProtection="0"/>
    <xf numFmtId="0" fontId="203" fillId="81" borderId="908" applyNumberFormat="0" applyFont="0" applyAlignment="0" applyProtection="0"/>
    <xf numFmtId="0" fontId="213" fillId="80" borderId="817" applyNumberFormat="0" applyAlignment="0" applyProtection="0"/>
    <xf numFmtId="0" fontId="244" fillId="0" borderId="816" applyNumberFormat="0" applyFont="0" applyFill="0" applyAlignment="0" applyProtection="0"/>
    <xf numFmtId="0" fontId="238" fillId="59" borderId="691" applyNumberFormat="0" applyAlignment="0" applyProtection="0"/>
    <xf numFmtId="0" fontId="203" fillId="81" borderId="863" applyNumberFormat="0" applyFont="0" applyAlignment="0" applyProtection="0"/>
    <xf numFmtId="0" fontId="203" fillId="81" borderId="863" applyNumberFormat="0" applyFont="0" applyAlignment="0" applyProtection="0"/>
    <xf numFmtId="0" fontId="213" fillId="65" borderId="952" applyNumberFormat="0" applyAlignment="0" applyProtection="0"/>
    <xf numFmtId="0" fontId="213" fillId="65" borderId="772" applyNumberFormat="0" applyAlignment="0" applyProtection="0"/>
    <xf numFmtId="0" fontId="203" fillId="81" borderId="818" applyNumberFormat="0" applyFont="0" applyAlignment="0" applyProtection="0"/>
    <xf numFmtId="0" fontId="213" fillId="65" borderId="1015" applyNumberFormat="0" applyAlignment="0" applyProtection="0"/>
    <xf numFmtId="0" fontId="203" fillId="81" borderId="881" applyNumberFormat="0" applyFont="0" applyAlignment="0" applyProtection="0"/>
    <xf numFmtId="0" fontId="203" fillId="81" borderId="836" applyNumberFormat="0" applyFont="0" applyAlignment="0" applyProtection="0"/>
    <xf numFmtId="0" fontId="213" fillId="65" borderId="727" applyNumberFormat="0" applyAlignment="0" applyProtection="0"/>
    <xf numFmtId="0" fontId="229" fillId="83" borderId="777" applyAlignment="0">
      <alignment horizontal="center"/>
    </xf>
    <xf numFmtId="0" fontId="213" fillId="65" borderId="952" applyNumberFormat="0" applyAlignment="0" applyProtection="0"/>
    <xf numFmtId="0" fontId="203" fillId="81" borderId="818" applyNumberFormat="0" applyFont="0" applyAlignment="0" applyProtection="0"/>
    <xf numFmtId="0" fontId="174" fillId="0" borderId="813" applyNumberFormat="0" applyFill="0" applyAlignment="0" applyProtection="0"/>
    <xf numFmtId="0" fontId="176" fillId="81" borderId="773" applyNumberFormat="0" applyFont="0" applyAlignment="0" applyProtection="0"/>
    <xf numFmtId="0" fontId="229" fillId="83" borderId="777" applyAlignment="0">
      <alignment horizontal="center"/>
    </xf>
    <xf numFmtId="0" fontId="213" fillId="65" borderId="997" applyNumberFormat="0" applyAlignment="0" applyProtection="0"/>
    <xf numFmtId="182" fontId="225" fillId="0" borderId="906" applyFill="0" applyProtection="0"/>
    <xf numFmtId="0" fontId="216" fillId="59" borderId="1017" applyNumberFormat="0" applyAlignment="0" applyProtection="0"/>
    <xf numFmtId="0" fontId="213" fillId="80" borderId="736" applyNumberFormat="0" applyAlignment="0" applyProtection="0"/>
    <xf numFmtId="0" fontId="213" fillId="65" borderId="871" applyNumberFormat="0" applyAlignment="0" applyProtection="0"/>
    <xf numFmtId="0" fontId="153" fillId="0" borderId="905">
      <alignment horizontal="left" vertical="center"/>
    </xf>
    <xf numFmtId="0" fontId="8" fillId="81" borderId="1007" applyNumberFormat="0" applyFont="0" applyAlignment="0" applyProtection="0"/>
    <xf numFmtId="0" fontId="229" fillId="83" borderId="1037" applyAlignment="0">
      <alignment horizontal="center"/>
    </xf>
    <xf numFmtId="0" fontId="213" fillId="80" borderId="790" applyNumberFormat="0" applyAlignment="0" applyProtection="0"/>
    <xf numFmtId="0" fontId="203" fillId="81" borderId="728" applyNumberFormat="0" applyFont="0" applyAlignment="0" applyProtection="0"/>
    <xf numFmtId="0" fontId="213" fillId="65" borderId="907" applyNumberFormat="0" applyAlignment="0" applyProtection="0"/>
    <xf numFmtId="0" fontId="213" fillId="65" borderId="970" applyNumberFormat="0" applyAlignment="0" applyProtection="0"/>
    <xf numFmtId="182" fontId="225" fillId="0" borderId="816" applyFill="0" applyProtection="0"/>
    <xf numFmtId="0" fontId="213" fillId="65" borderId="727" applyNumberFormat="0" applyAlignment="0" applyProtection="0"/>
    <xf numFmtId="0" fontId="213" fillId="65" borderId="772" applyNumberFormat="0" applyAlignment="0" applyProtection="0"/>
    <xf numFmtId="0" fontId="238" fillId="59" borderId="673" applyNumberFormat="0" applyAlignment="0" applyProtection="0"/>
    <xf numFmtId="0" fontId="213" fillId="65" borderId="817" applyNumberFormat="0" applyAlignment="0" applyProtection="0"/>
    <xf numFmtId="200" fontId="225" fillId="0" borderId="861" applyFill="0" applyProtection="0"/>
    <xf numFmtId="0" fontId="203" fillId="81" borderId="1043" applyNumberFormat="0" applyFont="0" applyAlignment="0" applyProtection="0"/>
    <xf numFmtId="0" fontId="213" fillId="80" borderId="817" applyNumberFormat="0" applyAlignment="0" applyProtection="0"/>
    <xf numFmtId="0" fontId="254" fillId="80" borderId="826" applyNumberFormat="0" applyAlignment="0" applyProtection="0"/>
    <xf numFmtId="0" fontId="213" fillId="80" borderId="952" applyNumberFormat="0" applyAlignment="0" applyProtection="0"/>
    <xf numFmtId="0" fontId="229" fillId="83" borderId="777" applyAlignment="0">
      <alignment horizontal="center"/>
    </xf>
    <xf numFmtId="0" fontId="213" fillId="80" borderId="817" applyNumberFormat="0" applyAlignment="0" applyProtection="0"/>
    <xf numFmtId="0" fontId="176" fillId="81" borderId="827" applyNumberFormat="0" applyFont="0" applyAlignment="0" applyProtection="0"/>
    <xf numFmtId="0" fontId="213" fillId="65" borderId="1015" applyNumberFormat="0" applyAlignment="0" applyProtection="0"/>
    <xf numFmtId="0" fontId="153" fillId="0" borderId="914">
      <alignment horizontal="left" vertical="center"/>
    </xf>
    <xf numFmtId="0" fontId="216" fillId="78" borderId="873" applyNumberFormat="0" applyAlignment="0" applyProtection="0"/>
    <xf numFmtId="0" fontId="213" fillId="65" borderId="781" applyNumberFormat="0" applyAlignment="0" applyProtection="0"/>
    <xf numFmtId="0" fontId="8" fillId="81" borderId="782" applyNumberFormat="0" applyFont="0" applyAlignment="0" applyProtection="0"/>
    <xf numFmtId="0" fontId="213" fillId="65" borderId="1042" applyNumberFormat="0" applyAlignment="0" applyProtection="0"/>
    <xf numFmtId="0" fontId="174" fillId="0" borderId="776" applyNumberFormat="0" applyFill="0" applyAlignment="0" applyProtection="0"/>
    <xf numFmtId="0" fontId="174" fillId="0" borderId="1046" applyNumberFormat="0" applyFill="0" applyAlignment="0" applyProtection="0"/>
    <xf numFmtId="0" fontId="174" fillId="0" borderId="1036" applyNumberFormat="0" applyFill="0" applyAlignment="0" applyProtection="0"/>
    <xf numFmtId="0" fontId="213" fillId="65" borderId="826" applyNumberFormat="0" applyAlignment="0" applyProtection="0"/>
    <xf numFmtId="0" fontId="213" fillId="65" borderId="961" applyNumberFormat="0" applyAlignment="0" applyProtection="0"/>
    <xf numFmtId="0" fontId="153" fillId="0" borderId="968">
      <alignment horizontal="left" vertical="center"/>
    </xf>
    <xf numFmtId="0" fontId="213" fillId="65" borderId="1042" applyNumberFormat="0" applyAlignment="0" applyProtection="0"/>
    <xf numFmtId="0" fontId="229" fillId="83" borderId="884" applyAlignment="0">
      <alignment horizontal="center"/>
    </xf>
    <xf numFmtId="0" fontId="213" fillId="65" borderId="970" applyNumberFormat="0" applyAlignment="0" applyProtection="0"/>
    <xf numFmtId="0" fontId="213" fillId="65" borderId="1051" applyNumberFormat="0" applyAlignment="0" applyProtection="0"/>
    <xf numFmtId="0" fontId="203" fillId="81" borderId="818" applyNumberFormat="0" applyFont="0" applyAlignment="0" applyProtection="0"/>
    <xf numFmtId="0" fontId="203" fillId="81" borderId="773" applyNumberFormat="0" applyFont="0" applyAlignment="0" applyProtection="0"/>
    <xf numFmtId="0" fontId="203" fillId="81" borderId="863" applyNumberFormat="0" applyFont="0" applyAlignment="0" applyProtection="0"/>
    <xf numFmtId="0" fontId="213" fillId="65" borderId="772" applyNumberFormat="0" applyAlignment="0" applyProtection="0"/>
    <xf numFmtId="0" fontId="203" fillId="81" borderId="773" applyNumberFormat="0" applyFont="0" applyAlignment="0" applyProtection="0"/>
    <xf numFmtId="0" fontId="203" fillId="81" borderId="836" applyNumberFormat="0" applyFont="0" applyAlignment="0" applyProtection="0"/>
    <xf numFmtId="182" fontId="225" fillId="0" borderId="924" applyFill="0" applyProtection="0"/>
    <xf numFmtId="0" fontId="213" fillId="65" borderId="826" applyNumberFormat="0" applyAlignment="0" applyProtection="0"/>
    <xf numFmtId="0" fontId="153" fillId="0" borderId="815">
      <alignment horizontal="left" vertical="center"/>
    </xf>
    <xf numFmtId="0" fontId="213" fillId="65" borderId="862" applyNumberFormat="0" applyAlignment="0" applyProtection="0"/>
    <xf numFmtId="0" fontId="213" fillId="80" borderId="736" applyNumberFormat="0" applyAlignment="0" applyProtection="0"/>
    <xf numFmtId="0" fontId="203" fillId="81" borderId="953" applyNumberFormat="0" applyFont="0" applyAlignment="0" applyProtection="0"/>
    <xf numFmtId="0" fontId="213" fillId="65" borderId="817" applyNumberFormat="0" applyAlignment="0" applyProtection="0"/>
    <xf numFmtId="0" fontId="213" fillId="65" borderId="862" applyNumberFormat="0" applyAlignment="0" applyProtection="0"/>
    <xf numFmtId="0" fontId="213" fillId="65" borderId="736" applyNumberFormat="0" applyAlignment="0" applyProtection="0"/>
    <xf numFmtId="0" fontId="153" fillId="0" borderId="1049">
      <alignment horizontal="left" vertical="center"/>
    </xf>
    <xf numFmtId="0" fontId="203" fillId="81" borderId="881" applyNumberFormat="0" applyFont="0" applyAlignment="0" applyProtection="0"/>
    <xf numFmtId="0" fontId="174" fillId="0" borderId="964" applyNumberFormat="0" applyFill="0" applyAlignment="0" applyProtection="0"/>
    <xf numFmtId="0" fontId="213" fillId="65" borderId="826" applyNumberFormat="0" applyAlignment="0" applyProtection="0"/>
    <xf numFmtId="0" fontId="213" fillId="65" borderId="952" applyNumberFormat="0" applyAlignment="0" applyProtection="0"/>
    <xf numFmtId="0" fontId="203" fillId="81" borderId="953" applyNumberFormat="0" applyFont="0" applyAlignment="0" applyProtection="0"/>
    <xf numFmtId="0" fontId="254" fillId="80" borderId="997" applyNumberFormat="0" applyAlignment="0" applyProtection="0"/>
    <xf numFmtId="182" fontId="225" fillId="0" borderId="1059" applyFill="0" applyProtection="0"/>
    <xf numFmtId="0" fontId="174" fillId="0" borderId="928" applyNumberFormat="0" applyFill="0" applyAlignment="0" applyProtection="0"/>
    <xf numFmtId="200" fontId="225" fillId="0" borderId="816" applyFill="0" applyProtection="0"/>
    <xf numFmtId="0" fontId="8" fillId="81" borderId="1052" applyNumberFormat="0" applyFont="0" applyAlignment="0" applyProtection="0"/>
    <xf numFmtId="182" fontId="225" fillId="0" borderId="825" applyFill="0" applyProtection="0"/>
    <xf numFmtId="0" fontId="203" fillId="81" borderId="1061" applyNumberFormat="0" applyFont="0" applyAlignment="0" applyProtection="0"/>
    <xf numFmtId="0" fontId="153" fillId="0" borderId="878">
      <alignment horizontal="left" vertical="center"/>
    </xf>
    <xf numFmtId="0" fontId="203" fillId="81" borderId="998" applyNumberFormat="0" applyFont="0" applyAlignment="0" applyProtection="0"/>
    <xf numFmtId="0" fontId="8" fillId="81" borderId="962" applyNumberFormat="0" applyFont="0" applyAlignment="0" applyProtection="0"/>
    <xf numFmtId="0" fontId="203" fillId="81" borderId="926" applyNumberFormat="0" applyFont="0" applyAlignment="0" applyProtection="0"/>
    <xf numFmtId="0" fontId="203" fillId="81" borderId="818" applyNumberFormat="0" applyFont="0" applyAlignment="0" applyProtection="0"/>
    <xf numFmtId="0" fontId="203" fillId="81" borderId="917" applyNumberFormat="0" applyFont="0" applyAlignment="0" applyProtection="0"/>
    <xf numFmtId="0" fontId="213" fillId="65" borderId="907" applyNumberFormat="0" applyAlignment="0" applyProtection="0"/>
    <xf numFmtId="0" fontId="203" fillId="81" borderId="854" applyNumberFormat="0" applyFont="0" applyAlignment="0" applyProtection="0"/>
    <xf numFmtId="0" fontId="153" fillId="0" borderId="815">
      <alignment horizontal="left" vertical="center"/>
    </xf>
    <xf numFmtId="0" fontId="213" fillId="65" borderId="997" applyNumberFormat="0" applyAlignment="0" applyProtection="0"/>
    <xf numFmtId="0" fontId="238" fillId="59" borderId="907" applyNumberFormat="0" applyAlignment="0" applyProtection="0"/>
    <xf numFmtId="0" fontId="213" fillId="65" borderId="880" applyNumberFormat="0" applyAlignment="0" applyProtection="0"/>
    <xf numFmtId="0" fontId="203" fillId="81" borderId="863" applyNumberFormat="0" applyFont="0" applyAlignment="0" applyProtection="0"/>
    <xf numFmtId="0" fontId="213" fillId="65" borderId="817" applyNumberFormat="0" applyAlignment="0" applyProtection="0"/>
    <xf numFmtId="0" fontId="174" fillId="0" borderId="1065" applyNumberFormat="0" applyFill="0" applyAlignment="0" applyProtection="0"/>
    <xf numFmtId="0" fontId="203" fillId="81" borderId="773" applyNumberFormat="0" applyFont="0" applyAlignment="0" applyProtection="0"/>
    <xf numFmtId="182" fontId="225" fillId="0" borderId="915" applyFill="0" applyProtection="0"/>
    <xf numFmtId="0" fontId="213" fillId="65" borderId="997" applyNumberFormat="0" applyAlignment="0" applyProtection="0"/>
    <xf numFmtId="0" fontId="213" fillId="65" borderId="961" applyNumberFormat="0" applyAlignment="0" applyProtection="0"/>
    <xf numFmtId="0" fontId="213" fillId="65" borderId="1006" applyNumberFormat="0" applyAlignment="0" applyProtection="0"/>
    <xf numFmtId="0" fontId="213" fillId="65" borderId="781" applyNumberFormat="0" applyAlignment="0" applyProtection="0"/>
    <xf numFmtId="0" fontId="213" fillId="65" borderId="772" applyNumberFormat="0" applyAlignment="0" applyProtection="0"/>
    <xf numFmtId="0" fontId="244" fillId="0" borderId="780" applyNumberFormat="0" applyFont="0" applyFill="0" applyAlignment="0" applyProtection="0"/>
    <xf numFmtId="0" fontId="176" fillId="81" borderId="818" applyNumberFormat="0" applyFont="0" applyAlignment="0" applyProtection="0"/>
    <xf numFmtId="0" fontId="213" fillId="65" borderId="862" applyNumberFormat="0" applyAlignment="0" applyProtection="0"/>
    <xf numFmtId="0" fontId="238" fillId="59" borderId="970" applyNumberFormat="0" applyAlignment="0" applyProtection="0"/>
    <xf numFmtId="0" fontId="229" fillId="83" borderId="912" applyAlignment="0">
      <alignment horizontal="center"/>
    </xf>
    <xf numFmtId="200" fontId="225" fillId="0" borderId="960" applyFill="0" applyProtection="0"/>
    <xf numFmtId="0" fontId="229" fillId="83" borderId="884" applyAlignment="0">
      <alignment horizontal="center"/>
    </xf>
    <xf numFmtId="0" fontId="8" fillId="81" borderId="737" applyNumberFormat="0" applyFont="0" applyAlignment="0" applyProtection="0"/>
    <xf numFmtId="0" fontId="203" fillId="81" borderId="728" applyNumberFormat="0" applyFont="0" applyAlignment="0" applyProtection="0"/>
    <xf numFmtId="0" fontId="203" fillId="81" borderId="728" applyNumberFormat="0" applyFont="0" applyAlignment="0" applyProtection="0"/>
    <xf numFmtId="0" fontId="203" fillId="81" borderId="737" applyNumberFormat="0" applyFont="0" applyAlignment="0" applyProtection="0"/>
    <xf numFmtId="0" fontId="203" fillId="81" borderId="737" applyNumberFormat="0" applyFont="0" applyAlignment="0" applyProtection="0"/>
    <xf numFmtId="0" fontId="244" fillId="0" borderId="735" applyNumberFormat="0" applyFont="0" applyFill="0" applyAlignment="0" applyProtection="0"/>
    <xf numFmtId="0" fontId="216" fillId="78" borderId="738" applyNumberFormat="0" applyAlignment="0" applyProtection="0"/>
    <xf numFmtId="0" fontId="203" fillId="81" borderId="737"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36" applyNumberFormat="0" applyAlignment="0" applyProtection="0"/>
    <xf numFmtId="0" fontId="203" fillId="81" borderId="737" applyNumberFormat="0" applyFont="0" applyAlignment="0" applyProtection="0"/>
    <xf numFmtId="0" fontId="229" fillId="83" borderId="740" applyAlignment="0">
      <alignment horizontal="center"/>
    </xf>
    <xf numFmtId="182" fontId="225" fillId="0" borderId="735" applyFill="0" applyProtection="0"/>
    <xf numFmtId="0" fontId="203" fillId="81" borderId="737" applyNumberFormat="0" applyFont="0" applyAlignment="0" applyProtection="0"/>
    <xf numFmtId="0" fontId="213" fillId="65" borderId="736" applyNumberFormat="0" applyAlignment="0" applyProtection="0"/>
    <xf numFmtId="0" fontId="176" fillId="81" borderId="863" applyNumberFormat="0" applyFont="0" applyAlignment="0" applyProtection="0"/>
    <xf numFmtId="200" fontId="225" fillId="0" borderId="771" applyFill="0" applyProtection="0"/>
    <xf numFmtId="0" fontId="213" fillId="65" borderId="1006" applyNumberFormat="0" applyAlignment="0" applyProtection="0"/>
    <xf numFmtId="0" fontId="174" fillId="0" borderId="840" applyNumberFormat="0" applyFill="0" applyAlignment="0" applyProtection="0"/>
    <xf numFmtId="0" fontId="213" fillId="65" borderId="817" applyNumberFormat="0" applyAlignment="0" applyProtection="0"/>
    <xf numFmtId="0" fontId="213" fillId="65" borderId="997" applyNumberFormat="0" applyAlignment="0" applyProtection="0"/>
    <xf numFmtId="0" fontId="213" fillId="65" borderId="1042" applyNumberFormat="0" applyAlignment="0" applyProtection="0"/>
    <xf numFmtId="200" fontId="225" fillId="0" borderId="861" applyFill="0" applyProtection="0"/>
    <xf numFmtId="0" fontId="213" fillId="65" borderId="916" applyNumberFormat="0" applyAlignment="0" applyProtection="0"/>
    <xf numFmtId="200" fontId="225" fillId="0" borderId="1041" applyFill="0" applyProtection="0"/>
    <xf numFmtId="0" fontId="257" fillId="59" borderId="999" applyNumberFormat="0" applyAlignment="0" applyProtection="0"/>
    <xf numFmtId="0" fontId="213" fillId="65" borderId="952" applyNumberFormat="0" applyAlignment="0" applyProtection="0"/>
    <xf numFmtId="200" fontId="225" fillId="0" borderId="879" applyFill="0" applyProtection="0"/>
    <xf numFmtId="0" fontId="213" fillId="65" borderId="826" applyNumberFormat="0" applyAlignment="0" applyProtection="0"/>
    <xf numFmtId="0" fontId="203" fillId="81" borderId="881" applyNumberFormat="0" applyFont="0" applyAlignment="0" applyProtection="0"/>
    <xf numFmtId="0" fontId="213" fillId="65" borderId="862" applyNumberFormat="0" applyAlignment="0" applyProtection="0"/>
    <xf numFmtId="0" fontId="203" fillId="81" borderId="872" applyNumberFormat="0" applyFont="0" applyAlignment="0" applyProtection="0"/>
    <xf numFmtId="0" fontId="206" fillId="78" borderId="817" applyNumberFormat="0" applyAlignment="0" applyProtection="0"/>
    <xf numFmtId="0" fontId="213" fillId="65" borderId="817" applyNumberFormat="0" applyAlignment="0" applyProtection="0"/>
    <xf numFmtId="0" fontId="174" fillId="0" borderId="775" applyNumberFormat="0" applyFill="0" applyAlignment="0" applyProtection="0"/>
    <xf numFmtId="0" fontId="213" fillId="65" borderId="1051" applyNumberFormat="0" applyAlignment="0" applyProtection="0"/>
    <xf numFmtId="0" fontId="213" fillId="80" borderId="781" applyNumberFormat="0" applyAlignment="0" applyProtection="0"/>
    <xf numFmtId="0" fontId="213" fillId="65" borderId="772" applyNumberFormat="0" applyAlignment="0" applyProtection="0"/>
    <xf numFmtId="0" fontId="254" fillId="80" borderId="862" applyNumberFormat="0" applyAlignment="0" applyProtection="0"/>
    <xf numFmtId="0" fontId="216" fillId="59" borderId="954" applyNumberFormat="0" applyAlignment="0" applyProtection="0"/>
    <xf numFmtId="0" fontId="213" fillId="65" borderId="1051" applyNumberFormat="0" applyAlignment="0" applyProtection="0"/>
    <xf numFmtId="0" fontId="213" fillId="65" borderId="970" applyNumberFormat="0" applyAlignment="0" applyProtection="0"/>
    <xf numFmtId="0" fontId="203" fillId="81" borderId="809" applyNumberFormat="0" applyFont="0" applyAlignment="0" applyProtection="0"/>
    <xf numFmtId="0" fontId="213" fillId="65" borderId="826" applyNumberFormat="0" applyAlignment="0" applyProtection="0"/>
    <xf numFmtId="0" fontId="203" fillId="81" borderId="926" applyNumberFormat="0" applyFont="0" applyAlignment="0" applyProtection="0"/>
    <xf numFmtId="0" fontId="203" fillId="81" borderId="836" applyNumberFormat="0" applyFont="0" applyAlignment="0" applyProtection="0"/>
    <xf numFmtId="0" fontId="203" fillId="81" borderId="953" applyNumberFormat="0" applyFont="0" applyAlignment="0" applyProtection="0"/>
    <xf numFmtId="0" fontId="229" fillId="83" borderId="912" applyAlignment="0">
      <alignment horizontal="center"/>
    </xf>
    <xf numFmtId="0" fontId="213" fillId="80" borderId="907" applyNumberFormat="0" applyAlignment="0" applyProtection="0"/>
    <xf numFmtId="0" fontId="174" fillId="0" borderId="865" applyNumberFormat="0" applyFill="0" applyAlignment="0" applyProtection="0"/>
    <xf numFmtId="0" fontId="8" fillId="81" borderId="863" applyNumberFormat="0" applyFont="0" applyAlignment="0" applyProtection="0"/>
    <xf numFmtId="0" fontId="216" fillId="78" borderId="828" applyNumberFormat="0" applyAlignment="0" applyProtection="0"/>
    <xf numFmtId="0" fontId="213" fillId="65" borderId="772" applyNumberFormat="0" applyAlignment="0" applyProtection="0"/>
    <xf numFmtId="0" fontId="203" fillId="81" borderId="1043" applyNumberFormat="0" applyFont="0" applyAlignment="0" applyProtection="0"/>
    <xf numFmtId="0" fontId="213" fillId="65" borderId="817" applyNumberFormat="0" applyAlignment="0" applyProtection="0"/>
    <xf numFmtId="0" fontId="213" fillId="65" borderId="907" applyNumberFormat="0" applyAlignment="0" applyProtection="0"/>
    <xf numFmtId="0" fontId="176" fillId="81" borderId="1007" applyNumberFormat="0" applyFont="0" applyAlignment="0" applyProtection="0"/>
    <xf numFmtId="182" fontId="225" fillId="0" borderId="915" applyFill="0" applyProtection="0"/>
    <xf numFmtId="0" fontId="203" fillId="81" borderId="1016" applyNumberFormat="0" applyFont="0" applyAlignment="0" applyProtection="0"/>
    <xf numFmtId="0" fontId="213" fillId="65" borderId="817" applyNumberFormat="0" applyAlignment="0" applyProtection="0"/>
    <xf numFmtId="0" fontId="213" fillId="65" borderId="997" applyNumberFormat="0" applyAlignment="0" applyProtection="0"/>
    <xf numFmtId="0" fontId="257" fillId="59" borderId="1017" applyNumberFormat="0" applyAlignment="0" applyProtection="0"/>
    <xf numFmtId="0" fontId="213" fillId="80" borderId="727" applyNumberFormat="0" applyAlignment="0" applyProtection="0"/>
    <xf numFmtId="0" fontId="203" fillId="81" borderId="863" applyNumberFormat="0" applyFont="0" applyAlignment="0" applyProtection="0"/>
    <xf numFmtId="0" fontId="213" fillId="65" borderId="772" applyNumberFormat="0" applyAlignment="0" applyProtection="0"/>
    <xf numFmtId="0" fontId="213" fillId="65" borderId="907" applyNumberFormat="0" applyAlignment="0" applyProtection="0"/>
    <xf numFmtId="0" fontId="203" fillId="81" borderId="971" applyNumberFormat="0" applyFont="0" applyAlignment="0" applyProtection="0"/>
    <xf numFmtId="0" fontId="254" fillId="80" borderId="952" applyNumberFormat="0" applyAlignment="0" applyProtection="0"/>
    <xf numFmtId="0" fontId="213" fillId="65" borderId="790" applyNumberFormat="0" applyAlignment="0" applyProtection="0"/>
    <xf numFmtId="182" fontId="225" fillId="0" borderId="834" applyFill="0" applyProtection="0"/>
    <xf numFmtId="200" fontId="225" fillId="0" borderId="951" applyFill="0" applyProtection="0"/>
    <xf numFmtId="0" fontId="213" fillId="65" borderId="727" applyNumberFormat="0" applyAlignment="0" applyProtection="0"/>
    <xf numFmtId="0" fontId="8" fillId="81" borderId="728" applyNumberFormat="0" applyFont="0" applyAlignment="0" applyProtection="0"/>
    <xf numFmtId="0" fontId="213" fillId="65" borderId="970" applyNumberFormat="0" applyAlignment="0" applyProtection="0"/>
    <xf numFmtId="0" fontId="213" fillId="65" borderId="916" applyNumberFormat="0" applyAlignment="0" applyProtection="0"/>
    <xf numFmtId="200" fontId="225" fillId="0" borderId="969" applyFill="0" applyProtection="0"/>
    <xf numFmtId="0" fontId="174" fillId="0" borderId="930" applyNumberFormat="0" applyFill="0" applyAlignment="0" applyProtection="0"/>
    <xf numFmtId="200" fontId="225" fillId="0" borderId="969" applyFill="0" applyProtection="0"/>
    <xf numFmtId="0" fontId="203" fillId="81" borderId="953" applyNumberFormat="0" applyFont="0" applyAlignment="0" applyProtection="0"/>
    <xf numFmtId="0" fontId="229" fillId="83" borderId="957" applyAlignment="0">
      <alignment horizontal="center"/>
    </xf>
    <xf numFmtId="0" fontId="213" fillId="65" borderId="817" applyNumberFormat="0" applyAlignment="0" applyProtection="0"/>
    <xf numFmtId="0" fontId="203" fillId="81" borderId="1016" applyNumberFormat="0" applyFont="0" applyAlignment="0" applyProtection="0"/>
    <xf numFmtId="0" fontId="206" fillId="78" borderId="907" applyNumberFormat="0" applyAlignment="0" applyProtection="0"/>
    <xf numFmtId="0" fontId="213" fillId="65" borderId="871" applyNumberFormat="0" applyAlignment="0" applyProtection="0"/>
    <xf numFmtId="0" fontId="229" fillId="83" borderId="867" applyAlignment="0">
      <alignment horizontal="center"/>
    </xf>
    <xf numFmtId="0" fontId="174" fillId="0" borderId="775" applyNumberFormat="0" applyFill="0" applyAlignment="0" applyProtection="0"/>
    <xf numFmtId="0" fontId="176" fillId="81" borderId="773" applyNumberFormat="0" applyFont="0" applyAlignment="0" applyProtection="0"/>
    <xf numFmtId="0" fontId="229" fillId="83" borderId="974" applyAlignment="0">
      <alignment horizontal="center"/>
    </xf>
    <xf numFmtId="0" fontId="213" fillId="65" borderId="1051" applyNumberFormat="0" applyAlignment="0" applyProtection="0"/>
    <xf numFmtId="0" fontId="206" fillId="78" borderId="781" applyNumberFormat="0" applyAlignment="0" applyProtection="0"/>
    <xf numFmtId="0" fontId="203" fillId="81" borderId="773" applyNumberFormat="0" applyFont="0" applyAlignment="0" applyProtection="0"/>
    <xf numFmtId="0" fontId="249" fillId="59" borderId="907" applyNumberFormat="0" applyAlignment="0" applyProtection="0"/>
    <xf numFmtId="0" fontId="213" fillId="65" borderId="826" applyNumberFormat="0" applyAlignment="0" applyProtection="0"/>
    <xf numFmtId="0" fontId="203" fillId="81" borderId="1007" applyNumberFormat="0" applyFont="0" applyAlignment="0" applyProtection="0"/>
    <xf numFmtId="0" fontId="203" fillId="81" borderId="872"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65" borderId="673" applyNumberFormat="0" applyAlignment="0" applyProtection="0"/>
    <xf numFmtId="0" fontId="213" fillId="80" borderId="673" applyNumberFormat="0" applyAlignment="0" applyProtection="0"/>
    <xf numFmtId="0" fontId="213" fillId="80" borderId="1060" applyNumberFormat="0" applyAlignment="0" applyProtection="0"/>
    <xf numFmtId="0" fontId="174" fillId="0" borderId="956" applyNumberFormat="0" applyFill="0" applyAlignment="0" applyProtection="0"/>
    <xf numFmtId="0" fontId="176" fillId="81" borderId="872" applyNumberFormat="0" applyFont="0" applyAlignment="0" applyProtection="0"/>
    <xf numFmtId="0" fontId="213" fillId="65" borderId="925" applyNumberFormat="0" applyAlignment="0" applyProtection="0"/>
    <xf numFmtId="0" fontId="213" fillId="65" borderId="1006" applyNumberFormat="0" applyAlignment="0" applyProtection="0"/>
    <xf numFmtId="0" fontId="229" fillId="83" borderId="867" applyAlignment="0">
      <alignment horizontal="center"/>
    </xf>
    <xf numFmtId="0" fontId="213" fillId="65" borderId="772" applyNumberFormat="0" applyAlignment="0" applyProtection="0"/>
    <xf numFmtId="0" fontId="213" fillId="65" borderId="826" applyNumberFormat="0" applyAlignment="0" applyProtection="0"/>
    <xf numFmtId="0" fontId="213" fillId="65" borderId="997" applyNumberFormat="0" applyAlignment="0" applyProtection="0"/>
    <xf numFmtId="0" fontId="213" fillId="65" borderId="952" applyNumberFormat="0" applyAlignment="0" applyProtection="0"/>
    <xf numFmtId="0" fontId="213" fillId="65" borderId="1051" applyNumberFormat="0" applyAlignment="0" applyProtection="0"/>
    <xf numFmtId="0" fontId="203" fillId="81" borderId="917" applyNumberFormat="0" applyFont="0" applyAlignment="0" applyProtection="0"/>
    <xf numFmtId="182" fontId="225" fillId="0" borderId="969" applyFill="0" applyProtection="0"/>
    <xf numFmtId="0" fontId="153" fillId="0" borderId="1040">
      <alignment horizontal="left" vertical="center"/>
    </xf>
    <xf numFmtId="0" fontId="8" fillId="81" borderId="827" applyNumberFormat="0" applyFont="0" applyAlignment="0" applyProtection="0"/>
    <xf numFmtId="0" fontId="229" fillId="83" borderId="965" applyAlignment="0">
      <alignment horizontal="center"/>
    </xf>
    <xf numFmtId="0" fontId="229" fillId="83" borderId="1002" applyAlignment="0">
      <alignment horizontal="center"/>
    </xf>
    <xf numFmtId="0" fontId="206" fillId="78" borderId="862" applyNumberFormat="0" applyAlignment="0" applyProtection="0"/>
    <xf numFmtId="0" fontId="203" fillId="81" borderId="953" applyNumberFormat="0" applyFont="0" applyAlignment="0" applyProtection="0"/>
    <xf numFmtId="0" fontId="229" fillId="83" borderId="957" applyAlignment="0">
      <alignment horizontal="center"/>
    </xf>
    <xf numFmtId="0" fontId="213" fillId="65" borderId="1051" applyNumberFormat="0" applyAlignment="0" applyProtection="0"/>
    <xf numFmtId="200" fontId="225" fillId="0" borderId="960" applyFill="0" applyProtection="0"/>
    <xf numFmtId="0" fontId="203" fillId="81" borderId="818" applyNumberFormat="0" applyFont="0" applyAlignment="0" applyProtection="0"/>
    <xf numFmtId="0" fontId="203" fillId="81" borderId="1007" applyNumberFormat="0" applyFont="0" applyAlignment="0" applyProtection="0"/>
    <xf numFmtId="0" fontId="176" fillId="81" borderId="953" applyNumberFormat="0" applyFont="0" applyAlignment="0" applyProtection="0"/>
    <xf numFmtId="0" fontId="213" fillId="65" borderId="997" applyNumberFormat="0" applyAlignment="0" applyProtection="0"/>
    <xf numFmtId="0" fontId="213" fillId="65" borderId="1015" applyNumberFormat="0" applyAlignment="0" applyProtection="0"/>
    <xf numFmtId="0" fontId="213" fillId="65" borderId="997" applyNumberFormat="0" applyAlignment="0" applyProtection="0"/>
    <xf numFmtId="0" fontId="238" fillId="59" borderId="1042" applyNumberFormat="0" applyAlignment="0" applyProtection="0"/>
    <xf numFmtId="0" fontId="203" fillId="81" borderId="908" applyNumberFormat="0" applyFont="0" applyAlignment="0" applyProtection="0"/>
    <xf numFmtId="0" fontId="257" fillId="59" borderId="873" applyNumberFormat="0" applyAlignment="0" applyProtection="0"/>
    <xf numFmtId="0" fontId="213" fillId="65" borderId="1015" applyNumberFormat="0" applyAlignment="0" applyProtection="0"/>
    <xf numFmtId="182" fontId="225" fillId="0" borderId="771" applyFill="0" applyProtection="0"/>
    <xf numFmtId="0" fontId="213" fillId="65" borderId="862" applyNumberFormat="0" applyAlignment="0" applyProtection="0"/>
    <xf numFmtId="0" fontId="176" fillId="81" borderId="944" applyNumberFormat="0" applyFont="0" applyAlignment="0" applyProtection="0"/>
    <xf numFmtId="0" fontId="213" fillId="80" borderId="997" applyNumberFormat="0" applyAlignment="0" applyProtection="0"/>
    <xf numFmtId="0" fontId="213" fillId="65" borderId="907" applyNumberFormat="0" applyAlignment="0" applyProtection="0"/>
    <xf numFmtId="0" fontId="176" fillId="81" borderId="962" applyNumberFormat="0" applyFont="0" applyAlignment="0" applyProtection="0"/>
    <xf numFmtId="0" fontId="213" fillId="65" borderId="997" applyNumberFormat="0" applyAlignment="0" applyProtection="0"/>
    <xf numFmtId="0" fontId="213" fillId="80" borderId="1042" applyNumberFormat="0" applyAlignment="0" applyProtection="0"/>
    <xf numFmtId="0" fontId="213" fillId="65" borderId="961" applyNumberFormat="0" applyAlignment="0" applyProtection="0"/>
    <xf numFmtId="0" fontId="203" fillId="81" borderId="1007" applyNumberFormat="0" applyFont="0" applyAlignment="0" applyProtection="0"/>
    <xf numFmtId="0" fontId="203" fillId="81" borderId="809" applyNumberFormat="0" applyFont="0" applyAlignment="0" applyProtection="0"/>
    <xf numFmtId="200" fontId="225" fillId="0" borderId="726" applyFill="0" applyProtection="0"/>
    <xf numFmtId="182" fontId="225" fillId="0" borderId="726" applyFill="0" applyProtection="0"/>
    <xf numFmtId="0" fontId="153" fillId="0" borderId="725">
      <alignment horizontal="left" vertical="center"/>
    </xf>
    <xf numFmtId="0" fontId="213" fillId="65" borderId="1042" applyNumberFormat="0" applyAlignment="0" applyProtection="0"/>
    <xf numFmtId="0" fontId="213" fillId="65" borderId="826" applyNumberFormat="0" applyAlignment="0" applyProtection="0"/>
    <xf numFmtId="0" fontId="153" fillId="0" borderId="995">
      <alignment horizontal="left" vertical="center"/>
    </xf>
    <xf numFmtId="200" fontId="225" fillId="0" borderId="1014" applyFill="0" applyProtection="0"/>
    <xf numFmtId="0" fontId="213" fillId="65" borderId="961" applyNumberFormat="0" applyAlignment="0" applyProtection="0"/>
    <xf numFmtId="0" fontId="213" fillId="65" borderId="952" applyNumberFormat="0" applyAlignment="0" applyProtection="0"/>
    <xf numFmtId="0" fontId="174" fillId="0" borderId="883" applyNumberFormat="0" applyFill="0" applyAlignment="0" applyProtection="0"/>
    <xf numFmtId="0" fontId="213" fillId="65" borderId="1060" applyNumberFormat="0" applyAlignment="0" applyProtection="0"/>
    <xf numFmtId="0" fontId="213" fillId="80" borderId="1051" applyNumberFormat="0" applyAlignment="0" applyProtection="0"/>
    <xf numFmtId="0" fontId="216" fillId="78" borderId="774" applyNumberFormat="0" applyAlignment="0" applyProtection="0"/>
    <xf numFmtId="0" fontId="213" fillId="65" borderId="952" applyNumberFormat="0" applyAlignment="0" applyProtection="0"/>
    <xf numFmtId="0" fontId="203" fillId="81" borderId="998" applyNumberFormat="0" applyFont="0" applyAlignment="0" applyProtection="0"/>
    <xf numFmtId="0" fontId="229" fillId="83" borderId="1064" applyAlignment="0">
      <alignment horizontal="center"/>
    </xf>
    <xf numFmtId="0" fontId="203" fillId="81" borderId="998" applyNumberFormat="0" applyFont="0" applyAlignment="0" applyProtection="0"/>
    <xf numFmtId="0" fontId="213" fillId="65" borderId="1042" applyNumberFormat="0" applyAlignment="0" applyProtection="0"/>
    <xf numFmtId="0" fontId="213" fillId="65" borderId="880" applyNumberFormat="0" applyAlignment="0" applyProtection="0"/>
    <xf numFmtId="0" fontId="216" fillId="59" borderId="846" applyNumberFormat="0" applyAlignment="0" applyProtection="0"/>
    <xf numFmtId="0" fontId="213" fillId="80" borderId="1042" applyNumberFormat="0" applyAlignment="0" applyProtection="0"/>
    <xf numFmtId="0" fontId="176" fillId="81" borderId="881" applyNumberFormat="0" applyFont="0" applyAlignment="0" applyProtection="0"/>
    <xf numFmtId="0" fontId="203" fillId="81" borderId="1016" applyNumberFormat="0" applyFont="0" applyAlignment="0" applyProtection="0"/>
    <xf numFmtId="0" fontId="213" fillId="65" borderId="772" applyNumberFormat="0" applyAlignment="0" applyProtection="0"/>
    <xf numFmtId="0" fontId="213" fillId="65" borderId="907" applyNumberFormat="0" applyAlignment="0" applyProtection="0"/>
    <xf numFmtId="0" fontId="213" fillId="65" borderId="862" applyNumberFormat="0" applyAlignment="0" applyProtection="0"/>
    <xf numFmtId="0" fontId="213" fillId="65" borderId="826" applyNumberFormat="0" applyAlignment="0" applyProtection="0"/>
    <xf numFmtId="0" fontId="213" fillId="65" borderId="817" applyNumberFormat="0" applyAlignment="0" applyProtection="0"/>
    <xf numFmtId="0" fontId="229" fillId="83" borderId="822" applyAlignment="0">
      <alignment horizontal="center"/>
    </xf>
    <xf numFmtId="0" fontId="153" fillId="0" borderId="1004">
      <alignment horizontal="left" vertical="center"/>
    </xf>
    <xf numFmtId="0" fontId="203" fillId="81" borderId="854" applyNumberFormat="0" applyFont="0" applyAlignment="0" applyProtection="0"/>
    <xf numFmtId="200" fontId="225" fillId="0" borderId="1050" applyFill="0" applyProtection="0"/>
    <xf numFmtId="0" fontId="203" fillId="81" borderId="881" applyNumberFormat="0" applyFont="0" applyAlignment="0" applyProtection="0"/>
    <xf numFmtId="0" fontId="203" fillId="81" borderId="998" applyNumberFormat="0" applyFont="0" applyAlignment="0" applyProtection="0"/>
    <xf numFmtId="0" fontId="203" fillId="81" borderId="773" applyNumberFormat="0" applyFont="0" applyAlignment="0" applyProtection="0"/>
    <xf numFmtId="0" fontId="229" fillId="83" borderId="1055" applyAlignment="0">
      <alignment horizontal="center"/>
    </xf>
    <xf numFmtId="0" fontId="213" fillId="65" borderId="907" applyNumberFormat="0" applyAlignment="0" applyProtection="0"/>
    <xf numFmtId="0" fontId="174" fillId="0" borderId="750" applyNumberFormat="0" applyFill="0" applyAlignment="0" applyProtection="0"/>
    <xf numFmtId="0" fontId="213" fillId="65" borderId="817" applyNumberFormat="0" applyAlignment="0" applyProtection="0"/>
    <xf numFmtId="0" fontId="203" fillId="81" borderId="1043" applyNumberFormat="0" applyFont="0" applyAlignment="0" applyProtection="0"/>
    <xf numFmtId="0" fontId="213" fillId="65" borderId="826" applyNumberFormat="0" applyAlignment="0" applyProtection="0"/>
    <xf numFmtId="0" fontId="203" fillId="81" borderId="908" applyNumberFormat="0" applyFont="0" applyAlignment="0" applyProtection="0"/>
    <xf numFmtId="0" fontId="153" fillId="0" borderId="815">
      <alignment horizontal="left" vertical="center"/>
    </xf>
    <xf numFmtId="0" fontId="213" fillId="65" borderId="961" applyNumberFormat="0" applyAlignment="0" applyProtection="0"/>
    <xf numFmtId="0" fontId="213" fillId="65" borderId="952" applyNumberFormat="0" applyAlignment="0" applyProtection="0"/>
    <xf numFmtId="0" fontId="174" fillId="0" borderId="820" applyNumberFormat="0" applyFill="0" applyAlignment="0" applyProtection="0"/>
    <xf numFmtId="182" fontId="225" fillId="0" borderId="1041" applyFill="0" applyProtection="0"/>
    <xf numFmtId="0" fontId="216" fillId="78" borderId="864" applyNumberFormat="0" applyAlignment="0" applyProtection="0"/>
    <xf numFmtId="0" fontId="203" fillId="81" borderId="962" applyNumberFormat="0" applyFont="0" applyAlignment="0" applyProtection="0"/>
    <xf numFmtId="0" fontId="203" fillId="81" borderId="728" applyNumberFormat="0" applyFont="0" applyAlignment="0" applyProtection="0"/>
    <xf numFmtId="182" fontId="225" fillId="0" borderId="726" applyFill="0" applyProtection="0"/>
    <xf numFmtId="0" fontId="8" fillId="81" borderId="710" applyNumberFormat="0" applyFont="0" applyAlignment="0" applyProtection="0"/>
    <xf numFmtId="0" fontId="153" fillId="0" borderId="833">
      <alignment horizontal="left" vertical="center"/>
    </xf>
    <xf numFmtId="0" fontId="203" fillId="81" borderId="710" applyNumberFormat="0" applyFont="0" applyAlignment="0" applyProtection="0"/>
    <xf numFmtId="200" fontId="225" fillId="0" borderId="771" applyFill="0" applyProtection="0"/>
    <xf numFmtId="0" fontId="203" fillId="81" borderId="1052" applyNumberFormat="0" applyFont="0" applyAlignment="0" applyProtection="0"/>
    <xf numFmtId="0" fontId="216" fillId="78" borderId="1017" applyNumberFormat="0" applyAlignment="0" applyProtection="0"/>
    <xf numFmtId="182" fontId="225" fillId="0" borderId="825" applyFill="0" applyProtection="0"/>
    <xf numFmtId="0" fontId="203" fillId="81" borderId="917" applyNumberFormat="0" applyFont="0" applyAlignment="0" applyProtection="0"/>
    <xf numFmtId="0" fontId="213" fillId="65" borderId="961" applyNumberFormat="0" applyAlignment="0" applyProtection="0"/>
    <xf numFmtId="0" fontId="8" fillId="81" borderId="998" applyNumberFormat="0" applyFont="0" applyAlignment="0" applyProtection="0"/>
    <xf numFmtId="0" fontId="213" fillId="65" borderId="727" applyNumberFormat="0" applyAlignment="0" applyProtection="0"/>
    <xf numFmtId="0" fontId="213" fillId="65" borderId="727"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0" fontId="213" fillId="80" borderId="970" applyNumberFormat="0" applyAlignment="0" applyProtection="0"/>
    <xf numFmtId="0" fontId="213" fillId="65" borderId="952" applyNumberFormat="0" applyAlignment="0" applyProtection="0"/>
    <xf numFmtId="0" fontId="8" fillId="81" borderId="1052" applyNumberFormat="0" applyFont="0" applyAlignment="0" applyProtection="0"/>
    <xf numFmtId="0" fontId="203" fillId="81" borderId="953" applyNumberFormat="0" applyFont="0" applyAlignment="0" applyProtection="0"/>
    <xf numFmtId="0" fontId="203" fillId="81" borderId="863" applyNumberFormat="0" applyFont="0" applyAlignment="0" applyProtection="0"/>
    <xf numFmtId="0" fontId="203" fillId="81" borderId="926" applyNumberFormat="0" applyFont="0" applyAlignment="0" applyProtection="0"/>
    <xf numFmtId="0" fontId="203" fillId="81" borderId="881" applyNumberFormat="0" applyFont="0" applyAlignment="0" applyProtection="0"/>
    <xf numFmtId="0" fontId="213" fillId="65" borderId="970" applyNumberFormat="0" applyAlignment="0" applyProtection="0"/>
    <xf numFmtId="0" fontId="229" fillId="83" borderId="912" applyAlignment="0">
      <alignment horizontal="center"/>
    </xf>
    <xf numFmtId="0" fontId="213" fillId="65" borderId="1006" applyNumberFormat="0" applyAlignment="0" applyProtection="0"/>
    <xf numFmtId="182" fontId="225" fillId="0" borderId="924" applyFill="0" applyProtection="0"/>
    <xf numFmtId="0" fontId="174" fillId="0" borderId="948" applyNumberFormat="0" applyFill="0" applyAlignment="0" applyProtection="0"/>
    <xf numFmtId="200" fontId="225" fillId="0" borderId="906" applyFill="0" applyProtection="0"/>
    <xf numFmtId="0" fontId="213" fillId="65" borderId="1042" applyNumberFormat="0" applyAlignment="0" applyProtection="0"/>
    <xf numFmtId="0" fontId="203" fillId="81" borderId="989" applyNumberFormat="0" applyFont="0" applyAlignment="0" applyProtection="0"/>
    <xf numFmtId="0" fontId="8" fillId="81" borderId="863" applyNumberFormat="0" applyFont="0" applyAlignment="0" applyProtection="0"/>
    <xf numFmtId="0" fontId="213" fillId="65" borderId="817" applyNumberFormat="0" applyAlignment="0" applyProtection="0"/>
    <xf numFmtId="200" fontId="225" fillId="0" borderId="906" applyFill="0" applyProtection="0"/>
    <xf numFmtId="0" fontId="213" fillId="65" borderId="970" applyNumberFormat="0" applyAlignment="0" applyProtection="0"/>
    <xf numFmtId="0" fontId="174" fillId="0" borderId="921" applyNumberFormat="0" applyFill="0" applyAlignment="0" applyProtection="0"/>
    <xf numFmtId="0" fontId="213" fillId="65" borderId="970" applyNumberFormat="0" applyAlignment="0" applyProtection="0"/>
    <xf numFmtId="0" fontId="213" fillId="65" borderId="1042"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1042" applyNumberFormat="0" applyAlignment="0" applyProtection="0"/>
    <xf numFmtId="0" fontId="213" fillId="65" borderId="1051" applyNumberFormat="0" applyAlignment="0" applyProtection="0"/>
    <xf numFmtId="0" fontId="203" fillId="81" borderId="818" applyNumberFormat="0" applyFont="0" applyAlignment="0" applyProtection="0"/>
    <xf numFmtId="182" fontId="225" fillId="0" borderId="996" applyFill="0" applyProtection="0"/>
    <xf numFmtId="0" fontId="203" fillId="81" borderId="953" applyNumberFormat="0" applyFont="0" applyAlignment="0" applyProtection="0"/>
    <xf numFmtId="0" fontId="229" fillId="83" borderId="1019" applyAlignment="0">
      <alignment horizontal="center"/>
    </xf>
    <xf numFmtId="0" fontId="213" fillId="65" borderId="916" applyNumberFormat="0" applyAlignment="0" applyProtection="0"/>
    <xf numFmtId="0" fontId="153" fillId="0" borderId="950">
      <alignment horizontal="left" vertical="center"/>
    </xf>
    <xf numFmtId="0" fontId="213" fillId="65" borderId="997" applyNumberFormat="0" applyAlignment="0" applyProtection="0"/>
    <xf numFmtId="0" fontId="213" fillId="65" borderId="952" applyNumberFormat="0" applyAlignment="0" applyProtection="0"/>
    <xf numFmtId="0" fontId="174" fillId="0" borderId="786" applyNumberFormat="0" applyFill="0" applyAlignment="0" applyProtection="0"/>
    <xf numFmtId="0" fontId="206" fillId="78" borderId="826" applyNumberFormat="0" applyAlignment="0" applyProtection="0"/>
    <xf numFmtId="0" fontId="213" fillId="65" borderId="907" applyNumberFormat="0" applyAlignment="0" applyProtection="0"/>
    <xf numFmtId="182" fontId="225" fillId="0" borderId="915" applyFill="0" applyProtection="0"/>
    <xf numFmtId="0" fontId="203" fillId="81" borderId="971" applyNumberFormat="0" applyFont="0" applyAlignment="0" applyProtection="0"/>
    <xf numFmtId="0" fontId="203" fillId="81" borderId="908" applyNumberFormat="0" applyFont="0" applyAlignment="0" applyProtection="0"/>
    <xf numFmtId="0" fontId="174" fillId="0" borderId="975" applyNumberFormat="0" applyFill="0" applyAlignment="0" applyProtection="0"/>
    <xf numFmtId="0" fontId="203" fillId="81" borderId="1016" applyNumberFormat="0" applyFont="0" applyAlignment="0" applyProtection="0"/>
    <xf numFmtId="0" fontId="203" fillId="81" borderId="1052" applyNumberFormat="0" applyFont="0" applyAlignment="0" applyProtection="0"/>
    <xf numFmtId="0" fontId="203" fillId="81" borderId="953" applyNumberFormat="0" applyFont="0" applyAlignment="0" applyProtection="0"/>
    <xf numFmtId="0" fontId="213" fillId="65" borderId="907" applyNumberFormat="0" applyAlignment="0" applyProtection="0"/>
    <xf numFmtId="182" fontId="225" fillId="0" borderId="870" applyFill="0" applyProtection="0"/>
    <xf numFmtId="0" fontId="203" fillId="81" borderId="1061" applyNumberFormat="0" applyFont="0" applyAlignment="0" applyProtection="0"/>
    <xf numFmtId="0" fontId="176" fillId="81" borderId="791"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13" fillId="65" borderId="790" applyNumberFormat="0" applyAlignment="0" applyProtection="0"/>
    <xf numFmtId="0" fontId="8" fillId="81" borderId="791" applyNumberFormat="0" applyFont="0" applyAlignment="0" applyProtection="0"/>
    <xf numFmtId="0" fontId="203" fillId="81" borderId="791" applyNumberFormat="0" applyFont="0" applyAlignment="0" applyProtection="0"/>
    <xf numFmtId="0" fontId="213" fillId="65" borderId="961" applyNumberFormat="0" applyAlignment="0" applyProtection="0"/>
    <xf numFmtId="0" fontId="213" fillId="65" borderId="727" applyNumberFormat="0" applyAlignment="0" applyProtection="0"/>
    <xf numFmtId="0" fontId="213" fillId="65" borderId="790" applyNumberFormat="0" applyAlignment="0" applyProtection="0"/>
    <xf numFmtId="0" fontId="203" fillId="81" borderId="1007" applyNumberFormat="0" applyFont="0" applyAlignment="0" applyProtection="0"/>
    <xf numFmtId="0" fontId="213" fillId="65" borderId="862" applyNumberFormat="0" applyAlignment="0" applyProtection="0"/>
    <xf numFmtId="0" fontId="153" fillId="0" borderId="725">
      <alignment horizontal="left" vertical="center"/>
    </xf>
    <xf numFmtId="0" fontId="213" fillId="65" borderId="1042" applyNumberFormat="0" applyAlignment="0" applyProtection="0"/>
    <xf numFmtId="0" fontId="203" fillId="81" borderId="1043" applyNumberFormat="0" applyFont="0" applyAlignment="0" applyProtection="0"/>
    <xf numFmtId="0" fontId="213" fillId="80" borderId="826" applyNumberFormat="0" applyAlignment="0" applyProtection="0"/>
    <xf numFmtId="0" fontId="176" fillId="81" borderId="1016" applyNumberFormat="0" applyFont="0" applyAlignment="0" applyProtection="0"/>
    <xf numFmtId="0" fontId="174" fillId="0" borderId="821" applyNumberFormat="0" applyFill="0" applyAlignment="0" applyProtection="0"/>
    <xf numFmtId="200" fontId="225" fillId="0" borderId="834" applyFill="0" applyProtection="0"/>
    <xf numFmtId="0" fontId="203" fillId="81" borderId="836" applyNumberFormat="0" applyFont="0" applyAlignment="0" applyProtection="0"/>
    <xf numFmtId="0" fontId="213" fillId="65" borderId="880" applyNumberFormat="0" applyAlignment="0" applyProtection="0"/>
    <xf numFmtId="0" fontId="229" fillId="83" borderId="839" applyAlignment="0">
      <alignment horizontal="center"/>
    </xf>
    <xf numFmtId="0" fontId="8" fillId="81" borderId="674" applyNumberFormat="0" applyFont="0" applyAlignment="0" applyProtection="0"/>
    <xf numFmtId="0" fontId="176"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176" fillId="81" borderId="674" applyNumberFormat="0" applyFont="0" applyAlignment="0" applyProtection="0"/>
    <xf numFmtId="0" fontId="216" fillId="59" borderId="675" applyNumberFormat="0" applyAlignment="0" applyProtection="0"/>
    <xf numFmtId="0" fontId="213" fillId="65" borderId="862" applyNumberFormat="0" applyAlignment="0" applyProtection="0"/>
    <xf numFmtId="0" fontId="153" fillId="0" borderId="995">
      <alignment horizontal="left" vertical="center"/>
    </xf>
    <xf numFmtId="0" fontId="203" fillId="81" borderId="818" applyNumberFormat="0" applyFont="0" applyAlignment="0" applyProtection="0"/>
    <xf numFmtId="0" fontId="213" fillId="65" borderId="916" applyNumberFormat="0" applyAlignment="0" applyProtection="0"/>
    <xf numFmtId="0" fontId="213" fillId="65" borderId="970" applyNumberFormat="0" applyAlignment="0" applyProtection="0"/>
    <xf numFmtId="0" fontId="174" fillId="0" borderId="676" applyNumberFormat="0" applyFill="0" applyAlignment="0" applyProtection="0"/>
    <xf numFmtId="0" fontId="213" fillId="65" borderId="952" applyNumberFormat="0" applyAlignment="0" applyProtection="0"/>
    <xf numFmtId="0" fontId="216" fillId="78" borderId="675" applyNumberFormat="0" applyAlignment="0" applyProtection="0"/>
    <xf numFmtId="0" fontId="174" fillId="0" borderId="678" applyNumberFormat="0" applyFill="0" applyAlignment="0" applyProtection="0"/>
    <xf numFmtId="0" fontId="203" fillId="81" borderId="827" applyNumberFormat="0" applyFon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03" fillId="81" borderId="674" applyNumberFormat="0" applyFont="0" applyAlignment="0" applyProtection="0"/>
    <xf numFmtId="182" fontId="225" fillId="0" borderId="816" applyFill="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54" fillId="80" borderId="772" applyNumberFormat="0" applyAlignment="0" applyProtection="0"/>
    <xf numFmtId="0" fontId="213" fillId="65" borderId="952" applyNumberFormat="0" applyAlignment="0" applyProtection="0"/>
    <xf numFmtId="0" fontId="203" fillId="81" borderId="998" applyNumberFormat="0" applyFont="0" applyAlignment="0" applyProtection="0"/>
    <xf numFmtId="0" fontId="213" fillId="80" borderId="727" applyNumberFormat="0" applyAlignment="0" applyProtection="0"/>
    <xf numFmtId="0" fontId="213" fillId="65" borderId="736" applyNumberFormat="0" applyAlignment="0" applyProtection="0"/>
    <xf numFmtId="0" fontId="203" fillId="81" borderId="881" applyNumberFormat="0" applyFont="0" applyAlignment="0" applyProtection="0"/>
    <xf numFmtId="0" fontId="216" fillId="78" borderId="954" applyNumberFormat="0" applyAlignment="0" applyProtection="0"/>
    <xf numFmtId="0" fontId="213" fillId="65" borderId="817" applyNumberFormat="0" applyAlignment="0" applyProtection="0"/>
    <xf numFmtId="0" fontId="213" fillId="80" borderId="862" applyNumberFormat="0" applyAlignment="0" applyProtection="0"/>
    <xf numFmtId="0" fontId="203" fillId="81" borderId="782" applyNumberFormat="0" applyFont="0" applyAlignment="0" applyProtection="0"/>
    <xf numFmtId="0" fontId="203" fillId="81" borderId="998" applyNumberFormat="0" applyFont="0" applyAlignment="0" applyProtection="0"/>
    <xf numFmtId="0" fontId="153" fillId="0" borderId="869">
      <alignment horizontal="left" vertical="center"/>
    </xf>
    <xf numFmtId="0" fontId="213" fillId="65" borderId="727" applyNumberFormat="0" applyAlignment="0" applyProtection="0"/>
    <xf numFmtId="0" fontId="213" fillId="65" borderId="916" applyNumberFormat="0" applyAlignment="0" applyProtection="0"/>
    <xf numFmtId="0" fontId="176" fillId="81" borderId="773" applyNumberFormat="0" applyFont="0" applyAlignment="0" applyProtection="0"/>
    <xf numFmtId="0" fontId="153" fillId="0" borderId="824">
      <alignment horizontal="left" vertical="center"/>
    </xf>
    <xf numFmtId="0" fontId="206" fillId="78" borderId="727" applyNumberFormat="0" applyAlignment="0" applyProtection="0"/>
    <xf numFmtId="0" fontId="8" fillId="81" borderId="728" applyNumberFormat="0" applyFont="0" applyAlignment="0" applyProtection="0"/>
    <xf numFmtId="0" fontId="213" fillId="65" borderId="1042" applyNumberFormat="0" applyAlignment="0" applyProtection="0"/>
    <xf numFmtId="182" fontId="225" fillId="0" borderId="1041" applyFill="0" applyProtection="0"/>
    <xf numFmtId="0" fontId="213" fillId="65" borderId="1042" applyNumberFormat="0" applyAlignment="0" applyProtection="0"/>
    <xf numFmtId="182" fontId="225" fillId="0" borderId="1005" applyFill="0" applyProtection="0"/>
    <xf numFmtId="0" fontId="238" fillId="59" borderId="916" applyNumberFormat="0" applyAlignment="0" applyProtection="0"/>
    <xf numFmtId="0" fontId="213" fillId="65" borderId="1006" applyNumberFormat="0" applyAlignment="0" applyProtection="0"/>
    <xf numFmtId="0" fontId="203" fillId="81" borderId="926" applyNumberFormat="0" applyFont="0" applyAlignment="0" applyProtection="0"/>
    <xf numFmtId="0" fontId="213" fillId="80" borderId="817" applyNumberFormat="0" applyAlignment="0" applyProtection="0"/>
    <xf numFmtId="0" fontId="213" fillId="65" borderId="997" applyNumberFormat="0" applyAlignment="0" applyProtection="0"/>
    <xf numFmtId="0" fontId="229" fillId="83" borderId="822" applyAlignment="0">
      <alignment horizontal="center"/>
    </xf>
    <xf numFmtId="0" fontId="229" fillId="83" borderId="822" applyAlignment="0">
      <alignment horizontal="center"/>
    </xf>
    <xf numFmtId="0" fontId="203" fillId="81" borderId="1061" applyNumberFormat="0" applyFont="0" applyAlignment="0" applyProtection="0"/>
    <xf numFmtId="0" fontId="213" fillId="65" borderId="961" applyNumberFormat="0" applyAlignment="0" applyProtection="0"/>
    <xf numFmtId="0" fontId="249" fillId="59" borderId="781" applyNumberFormat="0" applyAlignment="0" applyProtection="0"/>
    <xf numFmtId="182" fontId="225" fillId="0" borderId="771" applyFill="0" applyProtection="0"/>
    <xf numFmtId="182" fontId="225" fillId="0" borderId="1014" applyFill="0" applyProtection="0"/>
    <xf numFmtId="0" fontId="203" fillId="81" borderId="863" applyNumberFormat="0" applyFont="0" applyAlignment="0" applyProtection="0"/>
    <xf numFmtId="0" fontId="178" fillId="0" borderId="886" applyProtection="0"/>
    <xf numFmtId="0" fontId="203" fillId="81" borderId="818" applyNumberFormat="0" applyFont="0" applyAlignment="0" applyProtection="0"/>
    <xf numFmtId="182" fontId="225" fillId="0" borderId="870" applyFill="0" applyProtection="0"/>
    <xf numFmtId="0" fontId="153" fillId="0" borderId="968">
      <alignment horizontal="left" vertical="center"/>
    </xf>
    <xf numFmtId="0" fontId="213" fillId="65" borderId="970" applyNumberFormat="0" applyAlignment="0" applyProtection="0"/>
    <xf numFmtId="182" fontId="225" fillId="0" borderId="789" applyFill="0" applyProtection="0"/>
    <xf numFmtId="0" fontId="174" fillId="0" borderId="911" applyNumberFormat="0" applyFill="0" applyAlignment="0" applyProtection="0"/>
    <xf numFmtId="0" fontId="176" fillId="81" borderId="827" applyNumberFormat="0" applyFont="0" applyAlignment="0" applyProtection="0"/>
    <xf numFmtId="0" fontId="203" fillId="81" borderId="962" applyNumberFormat="0" applyFont="0" applyAlignment="0" applyProtection="0"/>
    <xf numFmtId="0" fontId="216" fillId="78" borderId="837" applyNumberFormat="0" applyAlignment="0" applyProtection="0"/>
    <xf numFmtId="0" fontId="203" fillId="81" borderId="674" applyNumberFormat="0" applyFont="0" applyAlignment="0" applyProtection="0"/>
    <xf numFmtId="0" fontId="213" fillId="65" borderId="736" applyNumberFormat="0" applyAlignment="0" applyProtection="0"/>
    <xf numFmtId="0" fontId="213" fillId="65" borderId="862" applyNumberFormat="0" applyAlignment="0" applyProtection="0"/>
    <xf numFmtId="0" fontId="229" fillId="83" borderId="777" applyAlignment="0">
      <alignment horizontal="center"/>
    </xf>
    <xf numFmtId="200" fontId="225" fillId="0" borderId="834" applyFill="0" applyProtection="0"/>
    <xf numFmtId="0" fontId="176" fillId="81" borderId="782" applyNumberFormat="0" applyFont="0" applyAlignment="0" applyProtection="0"/>
    <xf numFmtId="200" fontId="225" fillId="0" borderId="834" applyFill="0" applyProtection="0"/>
    <xf numFmtId="0" fontId="206" fillId="78" borderId="673" applyNumberFormat="0" applyAlignment="0" applyProtection="0"/>
    <xf numFmtId="0" fontId="176" fillId="81" borderId="953" applyNumberFormat="0" applyFont="0" applyAlignment="0" applyProtection="0"/>
    <xf numFmtId="0" fontId="176" fillId="81" borderId="674" applyNumberFormat="0" applyFont="0" applyAlignment="0" applyProtection="0"/>
    <xf numFmtId="0" fontId="238" fillId="59"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216" fillId="59" borderId="675" applyNumberFormat="0" applyAlignment="0" applyProtection="0"/>
    <xf numFmtId="0" fontId="213" fillId="80" borderId="673" applyNumberFormat="0" applyAlignment="0" applyProtection="0"/>
    <xf numFmtId="0" fontId="213" fillId="65" borderId="817" applyNumberFormat="0" applyAlignment="0" applyProtection="0"/>
    <xf numFmtId="0" fontId="174" fillId="0" borderId="829" applyNumberFormat="0" applyFill="0" applyAlignment="0" applyProtection="0"/>
    <xf numFmtId="0" fontId="176" fillId="81" borderId="674" applyNumberFormat="0" applyFont="0" applyAlignment="0" applyProtection="0"/>
    <xf numFmtId="0" fontId="213" fillId="65" borderId="1042" applyNumberFormat="0" applyAlignment="0" applyProtection="0"/>
    <xf numFmtId="0" fontId="213" fillId="65" borderId="826" applyNumberFormat="0" applyAlignment="0" applyProtection="0"/>
    <xf numFmtId="0" fontId="8" fillId="81" borderId="1052" applyNumberFormat="0" applyFont="0" applyAlignment="0" applyProtection="0"/>
    <xf numFmtId="0" fontId="203" fillId="81" borderId="1043" applyNumberFormat="0" applyFont="0" applyAlignment="0" applyProtection="0"/>
    <xf numFmtId="0" fontId="213" fillId="65" borderId="781" applyNumberFormat="0" applyAlignment="0" applyProtection="0"/>
    <xf numFmtId="0" fontId="213" fillId="80" borderId="871" applyNumberFormat="0" applyAlignment="0" applyProtection="0"/>
    <xf numFmtId="0" fontId="238" fillId="59" borderId="835" applyNumberFormat="0" applyAlignment="0" applyProtection="0"/>
    <xf numFmtId="0" fontId="213" fillId="65" borderId="727" applyNumberFormat="0" applyAlignment="0" applyProtection="0"/>
    <xf numFmtId="0" fontId="257" fillId="59" borderId="1044" applyNumberFormat="0" applyAlignment="0" applyProtection="0"/>
    <xf numFmtId="182" fontId="225" fillId="0" borderId="879" applyFill="0" applyProtection="0"/>
    <xf numFmtId="0" fontId="213" fillId="65" borderId="835" applyNumberFormat="0" applyAlignment="0" applyProtection="0"/>
    <xf numFmtId="0" fontId="203" fillId="81" borderId="872" applyNumberFormat="0" applyFont="0" applyAlignment="0" applyProtection="0"/>
    <xf numFmtId="0" fontId="203" fillId="81" borderId="998" applyNumberFormat="0" applyFont="0" applyAlignment="0" applyProtection="0"/>
    <xf numFmtId="0" fontId="176" fillId="81" borderId="998" applyNumberFormat="0" applyFont="0" applyAlignment="0" applyProtection="0"/>
    <xf numFmtId="200" fontId="225" fillId="0" borderId="825" applyFill="0" applyProtection="0"/>
    <xf numFmtId="0" fontId="213" fillId="65" borderId="727" applyNumberFormat="0" applyAlignment="0" applyProtection="0"/>
    <xf numFmtId="0" fontId="8" fillId="81" borderId="926" applyNumberFormat="0" applyFont="0" applyAlignment="0" applyProtection="0"/>
    <xf numFmtId="0" fontId="203" fillId="81" borderId="710" applyNumberFormat="0" applyFont="0" applyAlignment="0" applyProtection="0"/>
    <xf numFmtId="0" fontId="203" fillId="81" borderId="962" applyNumberFormat="0" applyFont="0" applyAlignment="0" applyProtection="0"/>
    <xf numFmtId="200" fontId="225" fillId="0" borderId="771" applyFill="0" applyProtection="0"/>
    <xf numFmtId="0" fontId="203" fillId="81" borderId="908" applyNumberFormat="0" applyFont="0" applyAlignment="0" applyProtection="0"/>
    <xf numFmtId="0" fontId="203" fillId="81" borderId="962" applyNumberFormat="0" applyFont="0" applyAlignment="0" applyProtection="0"/>
    <xf numFmtId="182" fontId="225" fillId="0" borderId="996" applyFill="0" applyProtection="0"/>
    <xf numFmtId="0" fontId="203" fillId="81" borderId="728" applyNumberFormat="0" applyFont="0" applyAlignment="0" applyProtection="0"/>
    <xf numFmtId="0" fontId="213" fillId="65" borderId="817" applyNumberFormat="0" applyAlignment="0" applyProtection="0"/>
    <xf numFmtId="0" fontId="213" fillId="65" borderId="727" applyNumberFormat="0" applyAlignment="0" applyProtection="0"/>
    <xf numFmtId="0" fontId="213" fillId="65" borderId="1042" applyNumberFormat="0" applyAlignment="0" applyProtection="0"/>
    <xf numFmtId="0" fontId="213" fillId="65" borderId="952" applyNumberFormat="0" applyAlignment="0" applyProtection="0"/>
    <xf numFmtId="0" fontId="8" fillId="81" borderId="773" applyNumberFormat="0" applyFont="0" applyAlignment="0" applyProtection="0"/>
    <xf numFmtId="0" fontId="229" fillId="83" borderId="1047" applyAlignment="0">
      <alignment horizontal="center"/>
    </xf>
    <xf numFmtId="0" fontId="153" fillId="0" borderId="1058">
      <alignment horizontal="left" vertical="center"/>
    </xf>
    <xf numFmtId="0" fontId="203" fillId="81" borderId="818" applyNumberFormat="0" applyFont="0" applyAlignment="0" applyProtection="0"/>
    <xf numFmtId="0" fontId="213" fillId="65" borderId="997" applyNumberFormat="0" applyAlignment="0" applyProtection="0"/>
    <xf numFmtId="182" fontId="225" fillId="0" borderId="735" applyFill="0" applyProtection="0"/>
    <xf numFmtId="0" fontId="206" fillId="78" borderId="1042" applyNumberFormat="0" applyAlignment="0" applyProtection="0"/>
    <xf numFmtId="0" fontId="213" fillId="80" borderId="997" applyNumberFormat="0" applyAlignment="0" applyProtection="0"/>
    <xf numFmtId="0" fontId="213" fillId="65" borderId="772" applyNumberFormat="0" applyAlignment="0" applyProtection="0"/>
    <xf numFmtId="0" fontId="203" fillId="81" borderId="998" applyNumberFormat="0" applyFont="0" applyAlignment="0" applyProtection="0"/>
    <xf numFmtId="0" fontId="213" fillId="65" borderId="970" applyNumberFormat="0" applyAlignment="0" applyProtection="0"/>
    <xf numFmtId="0" fontId="213" fillId="65" borderId="952" applyNumberFormat="0" applyAlignment="0" applyProtection="0"/>
    <xf numFmtId="0" fontId="203" fillId="81" borderId="710" applyNumberFormat="0" applyFont="0" applyAlignment="0" applyProtection="0"/>
    <xf numFmtId="0" fontId="213" fillId="80" borderId="736" applyNumberFormat="0" applyAlignment="0" applyProtection="0"/>
    <xf numFmtId="0" fontId="229" fillId="83" borderId="1082" applyAlignment="0">
      <alignment horizontal="center"/>
    </xf>
    <xf numFmtId="0" fontId="213" fillId="65" borderId="727" applyNumberFormat="0" applyAlignment="0" applyProtection="0"/>
    <xf numFmtId="0" fontId="176" fillId="81" borderId="998" applyNumberFormat="0" applyFont="0" applyAlignment="0" applyProtection="0"/>
    <xf numFmtId="0" fontId="229" fillId="83" borderId="839" applyAlignment="0">
      <alignment horizontal="center"/>
    </xf>
    <xf numFmtId="0" fontId="203" fillId="81" borderId="773" applyNumberFormat="0" applyFont="0" applyAlignment="0" applyProtection="0"/>
    <xf numFmtId="0" fontId="213" fillId="65" borderId="961" applyNumberFormat="0" applyAlignment="0" applyProtection="0"/>
    <xf numFmtId="0" fontId="213" fillId="65" borderId="1006" applyNumberFormat="0" applyAlignment="0" applyProtection="0"/>
    <xf numFmtId="0" fontId="213" fillId="65" borderId="781" applyNumberFormat="0" applyAlignment="0" applyProtection="0"/>
    <xf numFmtId="0" fontId="203" fillId="81" borderId="728" applyNumberFormat="0" applyFont="0" applyAlignment="0" applyProtection="0"/>
    <xf numFmtId="0" fontId="213" fillId="65" borderId="727" applyNumberFormat="0" applyAlignment="0" applyProtection="0"/>
    <xf numFmtId="0" fontId="206" fillId="78" borderId="907" applyNumberFormat="0" applyAlignment="0" applyProtection="0"/>
    <xf numFmtId="0" fontId="216" fillId="78" borderId="783" applyNumberFormat="0" applyAlignment="0" applyProtection="0"/>
    <xf numFmtId="0" fontId="176" fillId="81" borderId="872" applyNumberFormat="0" applyFont="0" applyAlignment="0" applyProtection="0"/>
    <xf numFmtId="0" fontId="213" fillId="65" borderId="727" applyNumberFormat="0" applyAlignment="0" applyProtection="0"/>
    <xf numFmtId="0" fontId="213" fillId="65" borderId="790" applyNumberFormat="0" applyAlignment="0" applyProtection="0"/>
    <xf numFmtId="182" fontId="225" fillId="0" borderId="861" applyFill="0" applyProtection="0"/>
    <xf numFmtId="0" fontId="203" fillId="81" borderId="782" applyNumberFormat="0" applyFont="0" applyAlignment="0" applyProtection="0"/>
    <xf numFmtId="0" fontId="206" fillId="78" borderId="835" applyNumberFormat="0" applyAlignment="0" applyProtection="0"/>
    <xf numFmtId="0" fontId="213" fillId="65" borderId="826" applyNumberFormat="0" applyAlignment="0" applyProtection="0"/>
    <xf numFmtId="0" fontId="213" fillId="65" borderId="1006" applyNumberFormat="0" applyAlignment="0" applyProtection="0"/>
    <xf numFmtId="0" fontId="176" fillId="81" borderId="872" applyNumberFormat="0" applyFont="0" applyAlignment="0" applyProtection="0"/>
    <xf numFmtId="0" fontId="213" fillId="65" borderId="997" applyNumberFormat="0" applyAlignment="0" applyProtection="0"/>
    <xf numFmtId="200" fontId="225" fillId="0" borderId="960" applyFill="0" applyProtection="0"/>
    <xf numFmtId="0" fontId="203" fillId="81" borderId="962" applyNumberFormat="0" applyFont="0" applyAlignment="0" applyProtection="0"/>
    <xf numFmtId="0" fontId="213" fillId="80" borderId="826" applyNumberFormat="0" applyAlignment="0" applyProtection="0"/>
    <xf numFmtId="0" fontId="213" fillId="65" borderId="826" applyNumberFormat="0" applyAlignment="0" applyProtection="0"/>
    <xf numFmtId="0" fontId="213" fillId="65" borderId="727" applyNumberFormat="0" applyAlignment="0" applyProtection="0"/>
    <xf numFmtId="0" fontId="213" fillId="65" borderId="1042" applyNumberFormat="0" applyAlignment="0" applyProtection="0"/>
    <xf numFmtId="0" fontId="203" fillId="81" borderId="827" applyNumberFormat="0" applyFont="0" applyAlignment="0" applyProtection="0"/>
    <xf numFmtId="200" fontId="225" fillId="0" borderId="996" applyFill="0" applyProtection="0"/>
    <xf numFmtId="0" fontId="213" fillId="65" borderId="997" applyNumberFormat="0" applyAlignment="0" applyProtection="0"/>
    <xf numFmtId="0" fontId="213" fillId="65" borderId="862" applyNumberFormat="0" applyAlignment="0" applyProtection="0"/>
    <xf numFmtId="200" fontId="225" fillId="0" borderId="1050" applyFill="0" applyProtection="0"/>
    <xf numFmtId="0" fontId="213" fillId="65" borderId="1042" applyNumberFormat="0" applyAlignment="0" applyProtection="0"/>
    <xf numFmtId="0" fontId="213" fillId="65" borderId="997" applyNumberFormat="0" applyAlignment="0" applyProtection="0"/>
    <xf numFmtId="0" fontId="213" fillId="65" borderId="826" applyNumberFormat="0" applyAlignment="0" applyProtection="0"/>
    <xf numFmtId="0" fontId="213" fillId="65" borderId="862" applyNumberFormat="0" applyAlignment="0" applyProtection="0"/>
    <xf numFmtId="0" fontId="244" fillId="0" borderId="969" applyNumberFormat="0" applyFont="0" applyFill="0" applyAlignment="0" applyProtection="0"/>
    <xf numFmtId="0" fontId="213" fillId="65" borderId="871" applyNumberFormat="0" applyAlignment="0" applyProtection="0"/>
    <xf numFmtId="0" fontId="216" fillId="78" borderId="909" applyNumberFormat="0" applyAlignment="0" applyProtection="0"/>
    <xf numFmtId="0" fontId="203" fillId="81" borderId="881" applyNumberFormat="0" applyFont="0" applyAlignment="0" applyProtection="0"/>
    <xf numFmtId="0" fontId="213" fillId="65" borderId="916" applyNumberFormat="0" applyAlignment="0" applyProtection="0"/>
    <xf numFmtId="0" fontId="203" fillId="81" borderId="1061" applyNumberFormat="0" applyFont="0" applyAlignment="0" applyProtection="0"/>
    <xf numFmtId="0" fontId="213" fillId="65" borderId="880" applyNumberFormat="0" applyAlignment="0" applyProtection="0"/>
    <xf numFmtId="0" fontId="213" fillId="65" borderId="862" applyNumberFormat="0" applyAlignment="0" applyProtection="0"/>
    <xf numFmtId="0" fontId="216" fillId="78" borderId="738" applyNumberFormat="0" applyAlignment="0" applyProtection="0"/>
    <xf numFmtId="0" fontId="213" fillId="65" borderId="961" applyNumberFormat="0" applyAlignment="0" applyProtection="0"/>
    <xf numFmtId="0" fontId="216" fillId="78" borderId="999" applyNumberFormat="0" applyAlignment="0" applyProtection="0"/>
    <xf numFmtId="0" fontId="213" fillId="65" borderId="862" applyNumberFormat="0" applyAlignment="0" applyProtection="0"/>
    <xf numFmtId="0" fontId="203" fillId="81" borderId="863" applyNumberFormat="0" applyFont="0" applyAlignment="0" applyProtection="0"/>
    <xf numFmtId="0" fontId="213" fillId="80" borderId="1051" applyNumberFormat="0" applyAlignment="0" applyProtection="0"/>
    <xf numFmtId="0" fontId="216" fillId="59" borderId="936" applyNumberFormat="0" applyAlignment="0" applyProtection="0"/>
    <xf numFmtId="0" fontId="213" fillId="65" borderId="1042" applyNumberFormat="0" applyAlignment="0" applyProtection="0"/>
    <xf numFmtId="0" fontId="213" fillId="65" borderId="997" applyNumberFormat="0" applyAlignment="0" applyProtection="0"/>
    <xf numFmtId="0" fontId="176" fillId="81" borderId="854" applyNumberFormat="0" applyFont="0" applyAlignment="0" applyProtection="0"/>
    <xf numFmtId="0" fontId="213" fillId="65" borderId="772" applyNumberFormat="0" applyAlignment="0" applyProtection="0"/>
    <xf numFmtId="0" fontId="203" fillId="81" borderId="908" applyNumberFormat="0" applyFont="0" applyAlignment="0" applyProtection="0"/>
    <xf numFmtId="182" fontId="225" fillId="0" borderId="816" applyFill="0" applyProtection="0"/>
    <xf numFmtId="0" fontId="174" fillId="0" borderId="956" applyNumberFormat="0" applyFill="0" applyAlignment="0" applyProtection="0"/>
    <xf numFmtId="0" fontId="213" fillId="65" borderId="1006" applyNumberFormat="0" applyAlignment="0" applyProtection="0"/>
    <xf numFmtId="0" fontId="203" fillId="81" borderId="962" applyNumberFormat="0" applyFont="0" applyAlignment="0" applyProtection="0"/>
    <xf numFmtId="200" fontId="225" fillId="0" borderId="906" applyFill="0" applyProtection="0"/>
    <xf numFmtId="182" fontId="225" fillId="0" borderId="726" applyFill="0" applyProtection="0"/>
    <xf numFmtId="0" fontId="203" fillId="81" borderId="1034" applyNumberFormat="0" applyFont="0" applyAlignment="0" applyProtection="0"/>
    <xf numFmtId="0" fontId="213" fillId="65" borderId="907" applyNumberFormat="0" applyAlignment="0" applyProtection="0"/>
    <xf numFmtId="0" fontId="213" fillId="65" borderId="826" applyNumberFormat="0" applyAlignment="0" applyProtection="0"/>
    <xf numFmtId="0" fontId="203" fillId="81" borderId="755" applyNumberFormat="0" applyFont="0" applyAlignment="0" applyProtection="0"/>
    <xf numFmtId="0" fontId="213" fillId="80" borderId="862" applyNumberFormat="0" applyAlignment="0" applyProtection="0"/>
    <xf numFmtId="0" fontId="203" fillId="81" borderId="1016" applyNumberFormat="0" applyFont="0" applyAlignment="0" applyProtection="0"/>
    <xf numFmtId="0" fontId="213" fillId="65" borderId="952" applyNumberFormat="0" applyAlignment="0" applyProtection="0"/>
    <xf numFmtId="182" fontId="225" fillId="0" borderId="1005" applyFill="0" applyProtection="0"/>
    <xf numFmtId="0" fontId="229" fillId="83" borderId="947" applyAlignment="0">
      <alignment horizontal="center"/>
    </xf>
    <xf numFmtId="0" fontId="203" fillId="81" borderId="782" applyNumberFormat="0" applyFont="0" applyAlignment="0" applyProtection="0"/>
    <xf numFmtId="0" fontId="203" fillId="81" borderId="791" applyNumberFormat="0" applyFont="0" applyAlignment="0" applyProtection="0"/>
    <xf numFmtId="0" fontId="213" fillId="65" borderId="1015" applyNumberFormat="0" applyAlignment="0" applyProtection="0"/>
    <xf numFmtId="0" fontId="203" fillId="81" borderId="791" applyNumberFormat="0" applyFont="0" applyAlignment="0" applyProtection="0"/>
    <xf numFmtId="0" fontId="249" fillId="59" borderId="1042" applyNumberFormat="0" applyAlignment="0" applyProtection="0"/>
    <xf numFmtId="0" fontId="216" fillId="59" borderId="693" applyNumberFormat="0" applyAlignment="0" applyProtection="0"/>
    <xf numFmtId="0" fontId="174" fillId="0" borderId="821" applyNumberFormat="0" applyFill="0" applyAlignment="0" applyProtection="0"/>
    <xf numFmtId="0" fontId="213" fillId="80" borderId="862" applyNumberFormat="0" applyAlignment="0" applyProtection="0"/>
    <xf numFmtId="0" fontId="203" fillId="81" borderId="908" applyNumberFormat="0" applyFont="0" applyAlignment="0" applyProtection="0"/>
    <xf numFmtId="0" fontId="203" fillId="81" borderId="953" applyNumberFormat="0" applyFont="0" applyAlignment="0" applyProtection="0"/>
    <xf numFmtId="0" fontId="203" fillId="81" borderId="908" applyNumberFormat="0" applyFont="0" applyAlignment="0" applyProtection="0"/>
    <xf numFmtId="0" fontId="213" fillId="65" borderId="1042" applyNumberFormat="0" applyAlignment="0" applyProtection="0"/>
    <xf numFmtId="0" fontId="203" fillId="81" borderId="998" applyNumberFormat="0" applyFont="0" applyAlignment="0" applyProtection="0"/>
    <xf numFmtId="0" fontId="229" fillId="83" borderId="929" applyAlignment="0">
      <alignment horizontal="center"/>
    </xf>
    <xf numFmtId="200" fontId="225" fillId="0" borderId="834" applyFill="0" applyProtection="0"/>
    <xf numFmtId="0" fontId="213" fillId="65" borderId="736" applyNumberFormat="0" applyAlignment="0" applyProtection="0"/>
    <xf numFmtId="0" fontId="176" fillId="81" borderId="881" applyNumberFormat="0" applyFont="0" applyAlignment="0" applyProtection="0"/>
    <xf numFmtId="0" fontId="213" fillId="65" borderId="907" applyNumberFormat="0" applyAlignment="0" applyProtection="0"/>
    <xf numFmtId="0" fontId="213" fillId="65" borderId="1051" applyNumberFormat="0" applyAlignment="0" applyProtection="0"/>
    <xf numFmtId="0" fontId="213" fillId="65" borderId="925" applyNumberFormat="0" applyAlignment="0" applyProtection="0"/>
    <xf numFmtId="182" fontId="225" fillId="0" borderId="834" applyFill="0" applyProtection="0"/>
    <xf numFmtId="0" fontId="203" fillId="81" borderId="1043" applyNumberFormat="0" applyFont="0" applyAlignment="0" applyProtection="0"/>
    <xf numFmtId="0" fontId="174" fillId="0" borderId="741" applyNumberFormat="0" applyFill="0" applyAlignment="0" applyProtection="0"/>
    <xf numFmtId="0" fontId="213" fillId="65" borderId="736" applyNumberFormat="0" applyAlignment="0" applyProtection="0"/>
    <xf numFmtId="0" fontId="213" fillId="65" borderId="862" applyNumberFormat="0" applyAlignment="0" applyProtection="0"/>
    <xf numFmtId="0" fontId="213" fillId="65" borderId="817" applyNumberFormat="0" applyAlignment="0" applyProtection="0"/>
    <xf numFmtId="0" fontId="213" fillId="65" borderId="1042" applyNumberFormat="0" applyAlignment="0" applyProtection="0"/>
    <xf numFmtId="0" fontId="213" fillId="65" borderId="772" applyNumberFormat="0" applyAlignment="0" applyProtection="0"/>
    <xf numFmtId="0" fontId="216" fillId="78" borderId="927" applyNumberFormat="0" applyAlignment="0" applyProtection="0"/>
    <xf numFmtId="0" fontId="213" fillId="80" borderId="772" applyNumberFormat="0" applyAlignment="0" applyProtection="0"/>
    <xf numFmtId="0" fontId="213" fillId="65" borderId="1051" applyNumberFormat="0" applyAlignment="0" applyProtection="0"/>
    <xf numFmtId="0" fontId="174" fillId="0" borderId="775" applyNumberFormat="0" applyFill="0" applyAlignment="0" applyProtection="0"/>
    <xf numFmtId="0" fontId="213" fillId="65" borderId="817" applyNumberFormat="0" applyAlignment="0" applyProtection="0"/>
    <xf numFmtId="0" fontId="229" fillId="83" borderId="777" applyAlignment="0">
      <alignment horizontal="center"/>
    </xf>
    <xf numFmtId="0" fontId="174" fillId="0" borderId="775" applyNumberFormat="0" applyFill="0" applyAlignment="0" applyProtection="0"/>
    <xf numFmtId="0" fontId="213" fillId="65" borderId="952" applyNumberFormat="0" applyAlignment="0" applyProtection="0"/>
    <xf numFmtId="0" fontId="254" fillId="80" borderId="997" applyNumberFormat="0" applyAlignment="0" applyProtection="0"/>
    <xf numFmtId="0" fontId="203" fillId="81" borderId="872" applyNumberFormat="0" applyFont="0" applyAlignment="0" applyProtection="0"/>
    <xf numFmtId="0" fontId="203" fillId="81" borderId="872" applyNumberFormat="0" applyFont="0" applyAlignment="0" applyProtection="0"/>
    <xf numFmtId="0" fontId="213" fillId="65" borderId="1042" applyNumberFormat="0" applyAlignment="0" applyProtection="0"/>
    <xf numFmtId="0" fontId="176" fillId="81" borderId="755" applyNumberFormat="0" applyFont="0" applyAlignment="0" applyProtection="0"/>
    <xf numFmtId="0" fontId="153" fillId="0" borderId="905">
      <alignment horizontal="left" vertical="center"/>
    </xf>
    <xf numFmtId="0" fontId="229" fillId="83" borderId="785" applyAlignment="0">
      <alignment horizontal="center"/>
    </xf>
    <xf numFmtId="182" fontId="225" fillId="0" borderId="1050" applyFill="0" applyProtection="0"/>
    <xf numFmtId="200" fontId="225" fillId="0" borderId="789" applyFill="0" applyProtection="0"/>
    <xf numFmtId="0" fontId="213" fillId="65" borderId="1042" applyNumberFormat="0" applyAlignment="0" applyProtection="0"/>
    <xf numFmtId="0" fontId="213" fillId="65" borderId="781" applyNumberFormat="0" applyAlignment="0" applyProtection="0"/>
    <xf numFmtId="0" fontId="203" fillId="81" borderId="1043" applyNumberFormat="0" applyFont="0" applyAlignment="0" applyProtection="0"/>
    <xf numFmtId="182" fontId="225" fillId="0" borderId="969" applyFill="0" applyProtection="0"/>
    <xf numFmtId="0" fontId="213" fillId="65" borderId="772" applyNumberFormat="0" applyAlignment="0" applyProtection="0"/>
    <xf numFmtId="0" fontId="213" fillId="65" borderId="862" applyNumberFormat="0" applyAlignment="0" applyProtection="0"/>
    <xf numFmtId="0" fontId="8" fillId="81" borderId="818" applyNumberFormat="0" applyFont="0" applyAlignment="0" applyProtection="0"/>
    <xf numFmtId="0" fontId="213" fillId="65" borderId="781" applyNumberFormat="0" applyAlignment="0" applyProtection="0"/>
    <xf numFmtId="0" fontId="213" fillId="65" borderId="862" applyNumberFormat="0" applyAlignment="0" applyProtection="0"/>
    <xf numFmtId="182" fontId="225" fillId="0" borderId="825" applyFill="0" applyProtection="0"/>
    <xf numFmtId="0" fontId="213" fillId="65" borderId="1042" applyNumberFormat="0" applyAlignment="0" applyProtection="0"/>
    <xf numFmtId="0" fontId="229" fillId="83" borderId="740" applyAlignment="0">
      <alignment horizontal="center"/>
    </xf>
    <xf numFmtId="0" fontId="213" fillId="80" borderId="907" applyNumberFormat="0" applyAlignment="0" applyProtection="0"/>
    <xf numFmtId="0" fontId="203" fillId="81" borderId="1016" applyNumberFormat="0" applyFont="0" applyAlignment="0" applyProtection="0"/>
    <xf numFmtId="200" fontId="225" fillId="0" borderId="951" applyFill="0" applyProtection="0"/>
    <xf numFmtId="0" fontId="213" fillId="65" borderId="727" applyNumberFormat="0" applyAlignment="0" applyProtection="0"/>
    <xf numFmtId="0" fontId="213" fillId="65" borderId="916" applyNumberFormat="0" applyAlignment="0" applyProtection="0"/>
    <xf numFmtId="0" fontId="213" fillId="65" borderId="961" applyNumberFormat="0" applyAlignment="0" applyProtection="0"/>
    <xf numFmtId="0" fontId="203" fillId="81" borderId="872" applyNumberFormat="0" applyFont="0" applyAlignment="0" applyProtection="0"/>
    <xf numFmtId="0" fontId="213" fillId="65" borderId="916" applyNumberFormat="0" applyAlignment="0" applyProtection="0"/>
    <xf numFmtId="0" fontId="216" fillId="78" borderId="891" applyNumberFormat="0" applyAlignment="0" applyProtection="0"/>
    <xf numFmtId="0" fontId="213" fillId="65" borderId="727" applyNumberFormat="0" applyAlignment="0" applyProtection="0"/>
    <xf numFmtId="182" fontId="225" fillId="0" borderId="780" applyFill="0" applyProtection="0"/>
    <xf numFmtId="200" fontId="225" fillId="0" borderId="825" applyFill="0" applyProtection="0"/>
    <xf numFmtId="0" fontId="213" fillId="65" borderId="862" applyNumberFormat="0" applyAlignment="0" applyProtection="0"/>
    <xf numFmtId="0" fontId="238" fillId="59" borderId="952" applyNumberFormat="0" applyAlignment="0" applyProtection="0"/>
    <xf numFmtId="200" fontId="225" fillId="0" borderId="825" applyFill="0" applyProtection="0"/>
    <xf numFmtId="0" fontId="213" fillId="65" borderId="817" applyNumberFormat="0" applyAlignment="0" applyProtection="0"/>
    <xf numFmtId="200" fontId="225" fillId="0" borderId="789" applyFill="0" applyProtection="0"/>
    <xf numFmtId="0" fontId="213" fillId="65" borderId="727" applyNumberFormat="0" applyAlignment="0" applyProtection="0"/>
    <xf numFmtId="0" fontId="213" fillId="65" borderId="880" applyNumberFormat="0" applyAlignment="0" applyProtection="0"/>
    <xf numFmtId="0" fontId="216" fillId="78" borderId="972" applyNumberFormat="0" applyAlignment="0" applyProtection="0"/>
    <xf numFmtId="0" fontId="213" fillId="65" borderId="835" applyNumberFormat="0" applyAlignment="0" applyProtection="0"/>
    <xf numFmtId="0" fontId="203" fillId="81" borderId="1007" applyNumberFormat="0" applyFont="0" applyAlignment="0" applyProtection="0"/>
    <xf numFmtId="0" fontId="203" fillId="81" borderId="773" applyNumberFormat="0" applyFont="0" applyAlignment="0" applyProtection="0"/>
    <xf numFmtId="182" fontId="225" fillId="0" borderId="735" applyFill="0" applyProtection="0"/>
    <xf numFmtId="0" fontId="153" fillId="0" borderId="1049">
      <alignment horizontal="left" vertical="center"/>
    </xf>
    <xf numFmtId="200" fontId="225" fillId="0" borderId="816" applyFill="0" applyProtection="0"/>
    <xf numFmtId="0" fontId="203" fillId="81" borderId="782" applyNumberFormat="0" applyFont="0" applyAlignment="0" applyProtection="0"/>
    <xf numFmtId="0" fontId="203" fillId="81" borderId="728" applyNumberFormat="0" applyFont="0" applyAlignment="0" applyProtection="0"/>
    <xf numFmtId="0" fontId="203" fillId="81" borderId="827" applyNumberFormat="0" applyFont="0" applyAlignment="0" applyProtection="0"/>
    <xf numFmtId="182" fontId="225" fillId="0" borderId="996" applyFill="0" applyProtection="0"/>
    <xf numFmtId="0" fontId="203" fillId="81" borderId="773" applyNumberFormat="0" applyFont="0" applyAlignment="0" applyProtection="0"/>
    <xf numFmtId="0" fontId="153" fillId="0" borderId="1058">
      <alignment horizontal="left" vertical="center"/>
    </xf>
    <xf numFmtId="0" fontId="174" fillId="0" borderId="831" applyNumberFormat="0" applyFill="0" applyAlignment="0" applyProtection="0"/>
    <xf numFmtId="0" fontId="213" fillId="65" borderId="727" applyNumberFormat="0" applyAlignment="0" applyProtection="0"/>
    <xf numFmtId="182" fontId="225" fillId="0" borderId="924" applyFill="0" applyProtection="0"/>
    <xf numFmtId="0" fontId="206" fillId="78" borderId="997" applyNumberFormat="0" applyAlignment="0" applyProtection="0"/>
    <xf numFmtId="0" fontId="213" fillId="65" borderId="907" applyNumberFormat="0" applyAlignment="0" applyProtection="0"/>
    <xf numFmtId="0" fontId="213" fillId="65" borderId="916" applyNumberFormat="0" applyAlignment="0" applyProtection="0"/>
    <xf numFmtId="0" fontId="213" fillId="65" borderId="817" applyNumberFormat="0" applyAlignment="0" applyProtection="0"/>
    <xf numFmtId="0" fontId="213" fillId="65" borderId="1006" applyNumberFormat="0" applyAlignment="0" applyProtection="0"/>
    <xf numFmtId="0" fontId="216" fillId="78" borderId="999" applyNumberFormat="0" applyAlignment="0" applyProtection="0"/>
    <xf numFmtId="0" fontId="213" fillId="65" borderId="907" applyNumberFormat="0" applyAlignment="0" applyProtection="0"/>
    <xf numFmtId="0" fontId="203" fillId="81" borderId="953" applyNumberFormat="0" applyFont="0" applyAlignment="0" applyProtection="0"/>
    <xf numFmtId="0" fontId="213" fillId="65" borderId="817" applyNumberFormat="0" applyAlignment="0" applyProtection="0"/>
    <xf numFmtId="0" fontId="203" fillId="81" borderId="917" applyNumberFormat="0" applyFont="0" applyAlignment="0" applyProtection="0"/>
    <xf numFmtId="0" fontId="213" fillId="65" borderId="880" applyNumberFormat="0" applyAlignment="0" applyProtection="0"/>
    <xf numFmtId="0" fontId="254" fillId="80" borderId="970" applyNumberFormat="0" applyAlignment="0" applyProtection="0"/>
    <xf numFmtId="0" fontId="213" fillId="80" borderId="727" applyNumberFormat="0" applyAlignment="0" applyProtection="0"/>
    <xf numFmtId="0" fontId="176" fillId="81" borderId="971" applyNumberFormat="0" applyFont="0" applyAlignment="0" applyProtection="0"/>
    <xf numFmtId="0" fontId="213" fillId="65" borderId="871" applyNumberFormat="0" applyAlignment="0" applyProtection="0"/>
    <xf numFmtId="0" fontId="213" fillId="80" borderId="952" applyNumberFormat="0" applyAlignment="0" applyProtection="0"/>
    <xf numFmtId="0" fontId="203" fillId="81" borderId="737" applyNumberFormat="0" applyFont="0" applyAlignment="0" applyProtection="0"/>
    <xf numFmtId="0" fontId="213" fillId="65" borderId="1042" applyNumberFormat="0" applyAlignment="0" applyProtection="0"/>
    <xf numFmtId="0" fontId="203" fillId="81" borderId="881" applyNumberFormat="0" applyFont="0" applyAlignment="0" applyProtection="0"/>
    <xf numFmtId="0" fontId="213" fillId="65" borderId="736" applyNumberFormat="0" applyAlignment="0" applyProtection="0"/>
    <xf numFmtId="0" fontId="213" fillId="65" borderId="727" applyNumberFormat="0" applyAlignment="0" applyProtection="0"/>
    <xf numFmtId="200" fontId="225" fillId="0" borderId="1041" applyFill="0" applyProtection="0"/>
    <xf numFmtId="0" fontId="174" fillId="0" borderId="866" applyNumberFormat="0" applyFill="0" applyAlignment="0" applyProtection="0"/>
    <xf numFmtId="0" fontId="213" fillId="65" borderId="952" applyNumberFormat="0" applyAlignment="0" applyProtection="0"/>
    <xf numFmtId="0" fontId="176" fillId="81" borderId="728" applyNumberFormat="0" applyFont="0" applyAlignment="0" applyProtection="0"/>
    <xf numFmtId="0" fontId="238" fillId="59" borderId="961" applyNumberFormat="0" applyAlignment="0" applyProtection="0"/>
    <xf numFmtId="0" fontId="229" fillId="83" borderId="1047" applyAlignment="0">
      <alignment horizontal="center"/>
    </xf>
    <xf numFmtId="0" fontId="213" fillId="65" borderId="907" applyNumberFormat="0" applyAlignment="0" applyProtection="0"/>
    <xf numFmtId="0" fontId="174" fillId="0" borderId="885" applyNumberFormat="0" applyFill="0" applyAlignment="0" applyProtection="0"/>
    <xf numFmtId="0" fontId="213" fillId="65" borderId="997" applyNumberFormat="0" applyAlignment="0" applyProtection="0"/>
    <xf numFmtId="0" fontId="213" fillId="65" borderId="817" applyNumberFormat="0" applyAlignment="0" applyProtection="0"/>
    <xf numFmtId="200" fontId="225" fillId="0" borderId="1005" applyFill="0" applyProtection="0"/>
    <xf numFmtId="0" fontId="203" fillId="81" borderId="953" applyNumberFormat="0" applyFont="0" applyAlignment="0" applyProtection="0"/>
    <xf numFmtId="0" fontId="176" fillId="81" borderId="1043" applyNumberFormat="0" applyFont="0" applyAlignment="0" applyProtection="0"/>
    <xf numFmtId="0" fontId="206" fillId="78" borderId="1051" applyNumberFormat="0" applyAlignment="0" applyProtection="0"/>
    <xf numFmtId="0" fontId="213" fillId="65" borderId="952" applyNumberFormat="0" applyAlignment="0" applyProtection="0"/>
    <xf numFmtId="0" fontId="213" fillId="65" borderId="1042" applyNumberFormat="0" applyAlignment="0" applyProtection="0"/>
    <xf numFmtId="0" fontId="203" fillId="81" borderId="953" applyNumberFormat="0" applyFont="0" applyAlignment="0" applyProtection="0"/>
    <xf numFmtId="182" fontId="225" fillId="0" borderId="969" applyFill="0" applyProtection="0"/>
    <xf numFmtId="0" fontId="203" fillId="81" borderId="998" applyNumberFormat="0" applyFont="0" applyAlignment="0" applyProtection="0"/>
    <xf numFmtId="0" fontId="213" fillId="65" borderId="1042" applyNumberFormat="0" applyAlignment="0" applyProtection="0"/>
    <xf numFmtId="0" fontId="176" fillId="81" borderId="962" applyNumberFormat="0" applyFont="0" applyAlignment="0" applyProtection="0"/>
    <xf numFmtId="0" fontId="174" fillId="0" borderId="1054" applyNumberFormat="0" applyFill="0" applyAlignment="0" applyProtection="0"/>
    <xf numFmtId="200" fontId="225" fillId="0" borderId="834" applyFill="0" applyProtection="0"/>
    <xf numFmtId="0" fontId="203" fillId="81" borderId="998" applyNumberFormat="0" applyFont="0" applyAlignment="0" applyProtection="0"/>
    <xf numFmtId="0" fontId="213" fillId="65" borderId="907" applyNumberFormat="0" applyAlignment="0" applyProtection="0"/>
    <xf numFmtId="200" fontId="225" fillId="0" borderId="816" applyFill="0" applyProtection="0"/>
    <xf numFmtId="0" fontId="216" fillId="78" borderId="819" applyNumberFormat="0" applyAlignment="0" applyProtection="0"/>
    <xf numFmtId="182" fontId="225" fillId="0" borderId="735" applyFill="0" applyProtection="0"/>
    <xf numFmtId="0" fontId="213" fillId="65" borderId="727" applyNumberFormat="0" applyAlignment="0" applyProtection="0"/>
    <xf numFmtId="0" fontId="176" fillId="81" borderId="1061" applyNumberFormat="0" applyFont="0" applyAlignment="0" applyProtection="0"/>
    <xf numFmtId="0" fontId="213" fillId="65" borderId="1006" applyNumberFormat="0" applyAlignment="0" applyProtection="0"/>
    <xf numFmtId="0" fontId="203" fillId="81" borderId="899" applyNumberFormat="0" applyFont="0" applyAlignment="0" applyProtection="0"/>
    <xf numFmtId="0" fontId="178" fillId="0" borderId="823" applyProtection="0"/>
    <xf numFmtId="0" fontId="203" fillId="81" borderId="737" applyNumberFormat="0" applyFont="0" applyAlignment="0" applyProtection="0"/>
    <xf numFmtId="0" fontId="249" fillId="59" borderId="727" applyNumberFormat="0" applyAlignment="0" applyProtection="0"/>
    <xf numFmtId="0" fontId="213" fillId="65" borderId="817" applyNumberFormat="0" applyAlignment="0" applyProtection="0"/>
    <xf numFmtId="0" fontId="213" fillId="65" borderId="781" applyNumberFormat="0" applyAlignment="0" applyProtection="0"/>
    <xf numFmtId="0" fontId="213" fillId="65" borderId="1060" applyNumberFormat="0" applyAlignment="0" applyProtection="0"/>
    <xf numFmtId="0" fontId="153" fillId="0" borderId="779">
      <alignment horizontal="left" vertical="center"/>
    </xf>
    <xf numFmtId="0" fontId="213" fillId="65" borderId="907" applyNumberFormat="0" applyAlignment="0" applyProtection="0"/>
    <xf numFmtId="0" fontId="213" fillId="65" borderId="817" applyNumberFormat="0" applyAlignment="0" applyProtection="0"/>
    <xf numFmtId="0" fontId="213" fillId="65" borderId="1042" applyNumberFormat="0" applyAlignment="0" applyProtection="0"/>
    <xf numFmtId="0" fontId="216" fillId="78" borderId="693" applyNumberFormat="0" applyAlignment="0" applyProtection="0"/>
    <xf numFmtId="0" fontId="238" fillId="59" borderId="952" applyNumberFormat="0" applyAlignment="0" applyProtection="0"/>
    <xf numFmtId="0" fontId="153" fillId="0" borderId="860">
      <alignment horizontal="left" vertical="center"/>
    </xf>
    <xf numFmtId="182" fontId="225" fillId="0" borderId="1059" applyFill="0" applyProtection="0"/>
    <xf numFmtId="0" fontId="203" fillId="81" borderId="989" applyNumberFormat="0" applyFont="0" applyAlignment="0" applyProtection="0"/>
    <xf numFmtId="0" fontId="213" fillId="65" borderId="862" applyNumberFormat="0" applyAlignment="0" applyProtection="0"/>
    <xf numFmtId="0" fontId="213" fillId="65" borderId="862" applyNumberFormat="0" applyAlignment="0" applyProtection="0"/>
    <xf numFmtId="0" fontId="203" fillId="81" borderId="728" applyNumberFormat="0" applyFont="0" applyAlignment="0" applyProtection="0"/>
    <xf numFmtId="0" fontId="203" fillId="81" borderId="971" applyNumberFormat="0" applyFont="0" applyAlignment="0" applyProtection="0"/>
    <xf numFmtId="0" fontId="216" fillId="78" borderId="882" applyNumberFormat="0" applyAlignment="0" applyProtection="0"/>
    <xf numFmtId="0" fontId="238" fillId="59" borderId="871" applyNumberFormat="0" applyAlignment="0" applyProtection="0"/>
    <xf numFmtId="0" fontId="203" fillId="81" borderId="1007" applyNumberFormat="0" applyFont="0" applyAlignment="0" applyProtection="0"/>
    <xf numFmtId="0" fontId="176" fillId="81" borderId="728" applyNumberFormat="0" applyFont="0" applyAlignment="0" applyProtection="0"/>
    <xf numFmtId="0" fontId="213" fillId="65" borderId="790" applyNumberFormat="0" applyAlignment="0" applyProtection="0"/>
    <xf numFmtId="0" fontId="203" fillId="81" borderId="791" applyNumberFormat="0" applyFont="0" applyAlignment="0" applyProtection="0"/>
    <xf numFmtId="0" fontId="213" fillId="80" borderId="862" applyNumberFormat="0" applyAlignment="0" applyProtection="0"/>
    <xf numFmtId="0" fontId="174" fillId="0" borderId="876" applyNumberFormat="0" applyFill="0" applyAlignment="0" applyProtection="0"/>
    <xf numFmtId="0" fontId="213" fillId="65" borderId="835" applyNumberFormat="0" applyAlignment="0" applyProtection="0"/>
    <xf numFmtId="0" fontId="176" fillId="81" borderId="854" applyNumberFormat="0" applyFont="0" applyAlignment="0" applyProtection="0"/>
    <xf numFmtId="0" fontId="213" fillId="65" borderId="1051" applyNumberFormat="0" applyAlignment="0" applyProtection="0"/>
    <xf numFmtId="0" fontId="174" fillId="0" borderId="966" applyNumberFormat="0" applyFill="0" applyAlignment="0" applyProtection="0"/>
    <xf numFmtId="0" fontId="254" fillId="80" borderId="961" applyNumberFormat="0" applyAlignment="0" applyProtection="0"/>
    <xf numFmtId="0" fontId="174" fillId="0" borderId="813" applyNumberFormat="0" applyFill="0" applyAlignment="0" applyProtection="0"/>
    <xf numFmtId="0" fontId="203" fillId="81" borderId="818" applyNumberFormat="0" applyFont="0" applyAlignment="0" applyProtection="0"/>
    <xf numFmtId="0" fontId="8" fillId="81" borderId="818" applyNumberFormat="0" applyFont="0" applyAlignment="0" applyProtection="0"/>
    <xf numFmtId="0" fontId="213" fillId="65" borderId="1006" applyNumberFormat="0" applyAlignment="0" applyProtection="0"/>
    <xf numFmtId="0" fontId="213" fillId="80" borderId="826" applyNumberFormat="0" applyAlignment="0" applyProtection="0"/>
    <xf numFmtId="0" fontId="213" fillId="80" borderId="916" applyNumberFormat="0" applyAlignment="0" applyProtection="0"/>
    <xf numFmtId="0" fontId="203" fillId="81" borderId="971" applyNumberFormat="0" applyFont="0" applyAlignment="0" applyProtection="0"/>
    <xf numFmtId="0" fontId="213" fillId="65" borderId="997" applyNumberFormat="0" applyAlignment="0" applyProtection="0"/>
    <xf numFmtId="0" fontId="203" fillId="81" borderId="998" applyNumberFormat="0" applyFont="0" applyAlignment="0" applyProtection="0"/>
    <xf numFmtId="0" fontId="213" fillId="65" borderId="772" applyNumberFormat="0" applyAlignment="0" applyProtection="0"/>
    <xf numFmtId="0" fontId="203" fillId="81" borderId="737" applyNumberFormat="0" applyFont="0" applyAlignment="0" applyProtection="0"/>
    <xf numFmtId="0" fontId="153" fillId="0" borderId="770">
      <alignment horizontal="left" vertical="center"/>
    </xf>
    <xf numFmtId="0" fontId="203" fillId="81" borderId="836" applyNumberFormat="0" applyFont="0" applyAlignment="0" applyProtection="0"/>
    <xf numFmtId="0" fontId="206" fillId="78" borderId="727" applyNumberFormat="0" applyAlignment="0" applyProtection="0"/>
    <xf numFmtId="0" fontId="203" fillId="81" borderId="908" applyNumberFormat="0" applyFont="0" applyAlignment="0" applyProtection="0"/>
    <xf numFmtId="0" fontId="213" fillId="65" borderId="880" applyNumberFormat="0" applyAlignment="0" applyProtection="0"/>
    <xf numFmtId="0" fontId="206" fillId="78" borderId="736" applyNumberFormat="0" applyAlignment="0" applyProtection="0"/>
    <xf numFmtId="0" fontId="203" fillId="81" borderId="917" applyNumberFormat="0" applyFont="0" applyAlignment="0" applyProtection="0"/>
    <xf numFmtId="0" fontId="8" fillId="81" borderId="728" applyNumberFormat="0" applyFont="0" applyAlignment="0" applyProtection="0"/>
    <xf numFmtId="0" fontId="203" fillId="81" borderId="863" applyNumberFormat="0" applyFont="0" applyAlignment="0" applyProtection="0"/>
    <xf numFmtId="0" fontId="213" fillId="65" borderId="952" applyNumberForma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953" applyNumberFormat="0" applyFont="0" applyAlignment="0" applyProtection="0"/>
    <xf numFmtId="0" fontId="213" fillId="65" borderId="916" applyNumberFormat="0" applyAlignment="0" applyProtection="0"/>
    <xf numFmtId="0" fontId="213" fillId="65" borderId="961" applyNumberFormat="0" applyAlignment="0" applyProtection="0"/>
    <xf numFmtId="0" fontId="216" fillId="78" borderId="1017" applyNumberFormat="0" applyAlignment="0" applyProtection="0"/>
    <xf numFmtId="0" fontId="213" fillId="65" borderId="781" applyNumberFormat="0" applyAlignment="0" applyProtection="0"/>
    <xf numFmtId="0" fontId="203" fillId="81" borderId="917" applyNumberFormat="0" applyFont="0" applyAlignment="0" applyProtection="0"/>
    <xf numFmtId="0" fontId="213" fillId="65" borderId="781" applyNumberFormat="0" applyAlignment="0" applyProtection="0"/>
    <xf numFmtId="0" fontId="213" fillId="65" borderId="727" applyNumberFormat="0" applyAlignment="0" applyProtection="0"/>
    <xf numFmtId="0" fontId="203" fillId="81" borderId="1052" applyNumberFormat="0" applyFont="0" applyAlignment="0" applyProtection="0"/>
    <xf numFmtId="0" fontId="213" fillId="65" borderId="727" applyNumberFormat="0" applyAlignment="0" applyProtection="0"/>
    <xf numFmtId="0" fontId="8" fillId="81" borderId="908" applyNumberFormat="0" applyFont="0" applyAlignment="0" applyProtection="0"/>
    <xf numFmtId="0" fontId="238" fillId="59" borderId="772" applyNumberFormat="0" applyAlignment="0" applyProtection="0"/>
    <xf numFmtId="0" fontId="213" fillId="65" borderId="952" applyNumberFormat="0" applyAlignment="0" applyProtection="0"/>
    <xf numFmtId="0" fontId="203" fillId="81" borderId="773" applyNumberFormat="0" applyFont="0" applyAlignment="0" applyProtection="0"/>
    <xf numFmtId="0" fontId="213" fillId="65" borderId="817" applyNumberFormat="0" applyAlignment="0" applyProtection="0"/>
    <xf numFmtId="0" fontId="213" fillId="65" borderId="952" applyNumberFormat="0" applyAlignment="0" applyProtection="0"/>
    <xf numFmtId="0" fontId="213" fillId="65" borderId="916" applyNumberFormat="0" applyAlignment="0" applyProtection="0"/>
    <xf numFmtId="200" fontId="225" fillId="0" borderId="1005" applyFill="0" applyProtection="0"/>
    <xf numFmtId="0" fontId="213" fillId="65" borderId="1042" applyNumberFormat="0" applyAlignment="0" applyProtection="0"/>
    <xf numFmtId="0" fontId="216" fillId="78" borderId="963" applyNumberFormat="0" applyAlignment="0" applyProtection="0"/>
    <xf numFmtId="0" fontId="216" fillId="78" borderId="801" applyNumberFormat="0" applyAlignment="0" applyProtection="0"/>
    <xf numFmtId="0" fontId="174" fillId="0" borderId="910" applyNumberFormat="0" applyFill="0" applyAlignment="0" applyProtection="0"/>
    <xf numFmtId="200" fontId="225" fillId="0" borderId="1059" applyFill="0" applyProtection="0"/>
    <xf numFmtId="0" fontId="213" fillId="80" borderId="1060" applyNumberFormat="0" applyAlignment="0" applyProtection="0"/>
    <xf numFmtId="0" fontId="203" fillId="81" borderId="818" applyNumberFormat="0" applyFont="0" applyAlignment="0" applyProtection="0"/>
    <xf numFmtId="0" fontId="203" fillId="81" borderId="962" applyNumberFormat="0" applyFont="0" applyAlignment="0" applyProtection="0"/>
    <xf numFmtId="182" fontId="225" fillId="0" borderId="906" applyFill="0" applyProtection="0"/>
    <xf numFmtId="0" fontId="203" fillId="81" borderId="881" applyNumberFormat="0" applyFont="0" applyAlignment="0" applyProtection="0"/>
    <xf numFmtId="0" fontId="153" fillId="0" borderId="788">
      <alignment horizontal="left" vertical="center"/>
    </xf>
    <xf numFmtId="0" fontId="203" fillId="81" borderId="1043" applyNumberFormat="0" applyFont="0" applyAlignment="0" applyProtection="0"/>
    <xf numFmtId="0" fontId="213" fillId="65" borderId="826" applyNumberFormat="0" applyAlignment="0" applyProtection="0"/>
    <xf numFmtId="0" fontId="203" fillId="81" borderId="953" applyNumberFormat="0" applyFont="0" applyAlignment="0" applyProtection="0"/>
    <xf numFmtId="0" fontId="178" fillId="0" borderId="742" applyProtection="0"/>
    <xf numFmtId="200" fontId="225" fillId="0" borderId="1014" applyFill="0" applyProtection="0"/>
    <xf numFmtId="0" fontId="213" fillId="65" borderId="871" applyNumberFormat="0" applyAlignment="0" applyProtection="0"/>
    <xf numFmtId="0" fontId="203" fillId="81" borderId="998" applyNumberFormat="0" applyFont="0" applyAlignment="0" applyProtection="0"/>
    <xf numFmtId="0" fontId="216" fillId="78" borderId="972" applyNumberFormat="0" applyAlignment="0" applyProtection="0"/>
    <xf numFmtId="0" fontId="203" fillId="81" borderId="728" applyNumberFormat="0" applyFont="0" applyAlignment="0" applyProtection="0"/>
    <xf numFmtId="0" fontId="238" fillId="59" borderId="772" applyNumberFormat="0" applyAlignment="0" applyProtection="0"/>
    <xf numFmtId="0" fontId="174" fillId="0" borderId="876" applyNumberFormat="0" applyFill="0" applyAlignment="0" applyProtection="0"/>
    <xf numFmtId="0" fontId="176" fillId="81" borderId="908" applyNumberFormat="0" applyFont="0" applyAlignment="0" applyProtection="0"/>
    <xf numFmtId="0" fontId="206" fillId="78" borderId="952" applyNumberFormat="0" applyAlignment="0" applyProtection="0"/>
    <xf numFmtId="0" fontId="216" fillId="59" borderId="909" applyNumberFormat="0" applyAlignment="0" applyProtection="0"/>
    <xf numFmtId="0" fontId="206" fillId="78" borderId="781" applyNumberFormat="0" applyAlignment="0" applyProtection="0"/>
    <xf numFmtId="0" fontId="213" fillId="65" borderId="1042" applyNumberFormat="0" applyAlignment="0" applyProtection="0"/>
    <xf numFmtId="0" fontId="244" fillId="0" borderId="996" applyNumberFormat="0" applyFont="0" applyFill="0" applyAlignment="0" applyProtection="0"/>
    <xf numFmtId="0" fontId="213" fillId="65" borderId="1042" applyNumberFormat="0" applyAlignment="0" applyProtection="0"/>
    <xf numFmtId="0" fontId="203" fillId="81" borderId="818" applyNumberFormat="0" applyFont="0" applyAlignment="0" applyProtection="0"/>
    <xf numFmtId="200" fontId="225" fillId="0" borderId="726" applyFill="0" applyProtection="0"/>
    <xf numFmtId="0" fontId="213" fillId="65" borderId="817" applyNumberFormat="0" applyAlignment="0" applyProtection="0"/>
    <xf numFmtId="0" fontId="213" fillId="65" borderId="907" applyNumberFormat="0" applyAlignment="0" applyProtection="0"/>
    <xf numFmtId="0" fontId="176" fillId="81" borderId="1007" applyNumberFormat="0" applyFont="0" applyAlignment="0" applyProtection="0"/>
    <xf numFmtId="0" fontId="213" fillId="65" borderId="1042" applyNumberFormat="0" applyAlignment="0" applyProtection="0"/>
    <xf numFmtId="0" fontId="8" fillId="81" borderId="998" applyNumberFormat="0" applyFont="0" applyAlignment="0" applyProtection="0"/>
    <xf numFmtId="0" fontId="213" fillId="65" borderId="790" applyNumberFormat="0" applyAlignment="0" applyProtection="0"/>
    <xf numFmtId="0" fontId="213" fillId="65" borderId="862" applyNumberFormat="0" applyAlignment="0" applyProtection="0"/>
    <xf numFmtId="0" fontId="203" fillId="81" borderId="755" applyNumberFormat="0" applyFont="0" applyAlignment="0" applyProtection="0"/>
    <xf numFmtId="0" fontId="216" fillId="78" borderId="729" applyNumberFormat="0" applyAlignment="0" applyProtection="0"/>
    <xf numFmtId="0" fontId="213" fillId="65" borderId="997" applyNumberFormat="0" applyAlignment="0" applyProtection="0"/>
    <xf numFmtId="0" fontId="203" fillId="81" borderId="872" applyNumberFormat="0" applyFont="0" applyAlignment="0" applyProtection="0"/>
    <xf numFmtId="0" fontId="213" fillId="65" borderId="997" applyNumberFormat="0" applyAlignment="0" applyProtection="0"/>
    <xf numFmtId="0" fontId="213" fillId="65" borderId="736" applyNumberFormat="0" applyAlignment="0" applyProtection="0"/>
    <xf numFmtId="0" fontId="213" fillId="65" borderId="1051" applyNumberFormat="0" applyAlignment="0" applyProtection="0"/>
    <xf numFmtId="0" fontId="206" fillId="78" borderId="826" applyNumberFormat="0" applyAlignment="0" applyProtection="0"/>
    <xf numFmtId="0" fontId="213" fillId="65" borderId="880" applyNumberFormat="0" applyAlignment="0" applyProtection="0"/>
    <xf numFmtId="0" fontId="203" fillId="81" borderId="998" applyNumberFormat="0" applyFont="0" applyAlignment="0" applyProtection="0"/>
    <xf numFmtId="0" fontId="213" fillId="65" borderId="772" applyNumberFormat="0" applyAlignment="0" applyProtection="0"/>
    <xf numFmtId="0" fontId="203" fillId="81" borderId="782" applyNumberFormat="0" applyFont="0" applyAlignment="0" applyProtection="0"/>
    <xf numFmtId="0" fontId="213" fillId="65" borderId="997" applyNumberFormat="0" applyAlignment="0" applyProtection="0"/>
    <xf numFmtId="0" fontId="206" fillId="78" borderId="772" applyNumberFormat="0" applyAlignment="0" applyProtection="0"/>
    <xf numFmtId="0" fontId="206" fillId="78" borderId="907" applyNumberFormat="0" applyAlignment="0" applyProtection="0"/>
    <xf numFmtId="0" fontId="203" fillId="81" borderId="1043" applyNumberFormat="0" applyFont="0" applyAlignment="0" applyProtection="0"/>
    <xf numFmtId="0" fontId="213" fillId="65" borderId="781" applyNumberFormat="0" applyAlignment="0" applyProtection="0"/>
    <xf numFmtId="0" fontId="213" fillId="65" borderId="817" applyNumberFormat="0" applyAlignment="0" applyProtection="0"/>
    <xf numFmtId="200" fontId="225" fillId="0" borderId="906" applyFill="0" applyProtection="0"/>
    <xf numFmtId="0" fontId="203" fillId="81" borderId="773" applyNumberFormat="0" applyFont="0" applyAlignment="0" applyProtection="0"/>
    <xf numFmtId="0" fontId="213" fillId="65" borderId="907" applyNumberFormat="0" applyAlignment="0" applyProtection="0"/>
    <xf numFmtId="0" fontId="213" fillId="65" borderId="817" applyNumberFormat="0" applyAlignment="0" applyProtection="0"/>
    <xf numFmtId="0" fontId="8" fillId="81" borderId="1061" applyNumberFormat="0" applyFont="0" applyAlignment="0" applyProtection="0"/>
    <xf numFmtId="0" fontId="203" fillId="81" borderId="755" applyNumberFormat="0" applyFont="0" applyAlignment="0" applyProtection="0"/>
    <xf numFmtId="0" fontId="213" fillId="65" borderId="1042" applyNumberFormat="0" applyAlignment="0" applyProtection="0"/>
    <xf numFmtId="0" fontId="174" fillId="0" borderId="1020" applyNumberFormat="0" applyFill="0" applyAlignment="0" applyProtection="0"/>
    <xf numFmtId="0" fontId="213" fillId="65" borderId="1060" applyNumberFormat="0" applyAlignment="0" applyProtection="0"/>
    <xf numFmtId="0" fontId="176" fillId="81" borderId="1016" applyNumberFormat="0" applyFont="0" applyAlignment="0" applyProtection="0"/>
    <xf numFmtId="0" fontId="213" fillId="65" borderId="970" applyNumberFormat="0" applyAlignment="0" applyProtection="0"/>
    <xf numFmtId="0" fontId="203" fillId="81" borderId="917" applyNumberFormat="0" applyFont="0" applyAlignment="0" applyProtection="0"/>
    <xf numFmtId="0" fontId="203" fillId="81" borderId="998" applyNumberFormat="0" applyFont="0" applyAlignment="0" applyProtection="0"/>
    <xf numFmtId="0" fontId="203" fillId="81" borderId="1016" applyNumberFormat="0" applyFont="0" applyAlignment="0" applyProtection="0"/>
    <xf numFmtId="0" fontId="213" fillId="65" borderId="862" applyNumberFormat="0" applyAlignment="0" applyProtection="0"/>
    <xf numFmtId="0" fontId="229" fillId="83" borderId="1002" applyAlignment="0">
      <alignment horizontal="center"/>
    </xf>
    <xf numFmtId="0" fontId="203" fillId="81" borderId="1034" applyNumberFormat="0" applyFont="0" applyAlignment="0" applyProtection="0"/>
    <xf numFmtId="0" fontId="213" fillId="65" borderId="781" applyNumberFormat="0" applyAlignment="0" applyProtection="0"/>
    <xf numFmtId="200" fontId="225" fillId="0" borderId="726" applyFill="0" applyProtection="0"/>
    <xf numFmtId="0" fontId="203" fillId="81" borderId="1016" applyNumberFormat="0" applyFont="0" applyAlignment="0" applyProtection="0"/>
    <xf numFmtId="0" fontId="213" fillId="65" borderId="943" applyNumberFormat="0" applyAlignment="0" applyProtection="0"/>
    <xf numFmtId="0" fontId="206" fillId="78" borderId="862" applyNumberFormat="0" applyAlignment="0" applyProtection="0"/>
    <xf numFmtId="182" fontId="225" fillId="0" borderId="771" applyFill="0" applyProtection="0"/>
    <xf numFmtId="0" fontId="203" fillId="81" borderId="872" applyNumberFormat="0" applyFont="0" applyAlignment="0" applyProtection="0"/>
    <xf numFmtId="0" fontId="203" fillId="81" borderId="782" applyNumberFormat="0" applyFont="0" applyAlignment="0" applyProtection="0"/>
    <xf numFmtId="200" fontId="225" fillId="0" borderId="951" applyFill="0" applyProtection="0"/>
    <xf numFmtId="0" fontId="213" fillId="65" borderId="727" applyNumberFormat="0" applyAlignment="0" applyProtection="0"/>
    <xf numFmtId="0" fontId="213" fillId="65" borderId="718" applyNumberFormat="0" applyAlignment="0" applyProtection="0"/>
    <xf numFmtId="0" fontId="203" fillId="81" borderId="674" applyNumberFormat="0" applyFont="0" applyAlignment="0" applyProtection="0"/>
    <xf numFmtId="0" fontId="203" fillId="81" borderId="962" applyNumberFormat="0" applyFont="0" applyAlignment="0" applyProtection="0"/>
    <xf numFmtId="0" fontId="213" fillId="65" borderId="817" applyNumberFormat="0" applyAlignment="0" applyProtection="0"/>
    <xf numFmtId="182" fontId="225" fillId="0" borderId="816" applyFill="0" applyProtection="0"/>
    <xf numFmtId="0" fontId="213" fillId="65" borderId="925" applyNumberFormat="0" applyAlignment="0" applyProtection="0"/>
    <xf numFmtId="0" fontId="203" fillId="81" borderId="737" applyNumberFormat="0" applyFont="0" applyAlignment="0" applyProtection="0"/>
    <xf numFmtId="0" fontId="213" fillId="65" borderId="952" applyNumberFormat="0" applyAlignment="0" applyProtection="0"/>
    <xf numFmtId="0" fontId="203" fillId="81" borderId="809" applyNumberFormat="0" applyFont="0" applyAlignment="0" applyProtection="0"/>
    <xf numFmtId="0" fontId="203" fillId="81" borderId="962"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03" fillId="81" borderId="836" applyNumberFormat="0" applyFont="0" applyAlignment="0" applyProtection="0"/>
    <xf numFmtId="0" fontId="178" fillId="0" borderId="922" applyProtection="0"/>
    <xf numFmtId="200" fontId="225" fillId="0" borderId="1059" applyFill="0" applyProtection="0"/>
    <xf numFmtId="0" fontId="203" fillId="81" borderId="674" applyNumberFormat="0" applyFont="0" applyAlignment="0" applyProtection="0"/>
    <xf numFmtId="0" fontId="229" fillId="83" borderId="749" applyAlignment="0">
      <alignment horizontal="center"/>
    </xf>
    <xf numFmtId="0" fontId="203" fillId="81" borderId="674" applyNumberFormat="0" applyFont="0" applyAlignment="0" applyProtection="0"/>
    <xf numFmtId="0" fontId="203" fillId="81" borderId="674" applyNumberFormat="0" applyFon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80" borderId="691" applyNumberFormat="0" applyAlignment="0" applyProtection="0"/>
    <xf numFmtId="0" fontId="213" fillId="65" borderId="691" applyNumberFormat="0" applyAlignment="0" applyProtection="0"/>
    <xf numFmtId="0" fontId="213" fillId="80" borderId="691" applyNumberFormat="0" applyAlignment="0" applyProtection="0"/>
    <xf numFmtId="0" fontId="8" fillId="81" borderId="692" applyNumberFormat="0" applyFont="0" applyAlignment="0" applyProtection="0"/>
    <xf numFmtId="0" fontId="176"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176" fillId="81" borderId="692" applyNumberFormat="0" applyFont="0" applyAlignment="0" applyProtection="0"/>
    <xf numFmtId="0" fontId="216" fillId="59" borderId="693" applyNumberFormat="0" applyAlignment="0" applyProtection="0"/>
    <xf numFmtId="0" fontId="174" fillId="0" borderId="695" applyNumberFormat="0" applyFill="0" applyAlignment="0" applyProtection="0"/>
    <xf numFmtId="0" fontId="206" fillId="78" borderId="691" applyNumberFormat="0" applyAlignment="0" applyProtection="0"/>
    <xf numFmtId="0" fontId="206" fillId="78" borderId="691" applyNumberFormat="0" applyAlignment="0" applyProtection="0"/>
    <xf numFmtId="182" fontId="225" fillId="0" borderId="690" applyFill="0" applyProtection="0"/>
    <xf numFmtId="182" fontId="225" fillId="0" borderId="690" applyFill="0" applyProtection="0"/>
    <xf numFmtId="182" fontId="225" fillId="0" borderId="690" applyFill="0" applyProtection="0"/>
    <xf numFmtId="200" fontId="225" fillId="0" borderId="690" applyFill="0" applyProtection="0"/>
    <xf numFmtId="200" fontId="225" fillId="0" borderId="690" applyFill="0" applyProtection="0"/>
    <xf numFmtId="200" fontId="225" fillId="0" borderId="690" applyFill="0" applyProtection="0"/>
    <xf numFmtId="0" fontId="153" fillId="0" borderId="689">
      <alignment horizontal="left" vertical="center"/>
    </xf>
    <xf numFmtId="0" fontId="229" fillId="83" borderId="696" applyAlignment="0">
      <alignment horizontal="center"/>
    </xf>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29" fillId="83" borderId="696" applyAlignment="0">
      <alignment horizontal="center"/>
    </xf>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16" fillId="78" borderId="675" applyNumberFormat="0" applyAlignment="0" applyProtection="0"/>
    <xf numFmtId="0" fontId="174" fillId="0" borderId="678" applyNumberFormat="0" applyFill="0" applyAlignment="0" applyProtection="0"/>
    <xf numFmtId="0" fontId="229" fillId="83" borderId="696" applyAlignment="0">
      <alignment horizontal="center"/>
    </xf>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13" fillId="65" borderId="673" applyNumberForma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6" fillId="78" borderId="673" applyNumberFormat="0" applyAlignment="0" applyProtection="0"/>
    <xf numFmtId="0" fontId="176" fillId="81" borderId="674" applyNumberFormat="0" applyFont="0" applyAlignment="0" applyProtection="0"/>
    <xf numFmtId="0" fontId="238" fillId="59" borderId="673" applyNumberFormat="0" applyAlignment="0" applyProtection="0"/>
    <xf numFmtId="0" fontId="213" fillId="80" borderId="673" applyNumberFormat="0" applyAlignment="0" applyProtection="0"/>
    <xf numFmtId="0" fontId="8" fillId="81" borderId="674" applyNumberFormat="0" applyFont="0" applyAlignment="0" applyProtection="0"/>
    <xf numFmtId="0" fontId="216" fillId="59" borderId="675" applyNumberFormat="0" applyAlignment="0" applyProtection="0"/>
    <xf numFmtId="0" fontId="174" fillId="0" borderId="676" applyNumberFormat="0" applyFill="0" applyAlignment="0" applyProtection="0"/>
    <xf numFmtId="0" fontId="213" fillId="80" borderId="673" applyNumberFormat="0" applyAlignment="0" applyProtection="0"/>
    <xf numFmtId="0" fontId="229" fillId="83" borderId="696" applyAlignment="0">
      <alignment horizontal="center"/>
    </xf>
    <xf numFmtId="0" fontId="176" fillId="81" borderId="674" applyNumberFormat="0" applyFont="0" applyAlignment="0" applyProtection="0"/>
    <xf numFmtId="0" fontId="213" fillId="65" borderId="691" applyNumberFormat="0" applyAlignment="0" applyProtection="0"/>
    <xf numFmtId="0" fontId="216" fillId="78" borderId="693" applyNumberFormat="0" applyAlignment="0" applyProtection="0"/>
    <xf numFmtId="0" fontId="174" fillId="0" borderId="694" applyNumberFormat="0" applyFill="0" applyAlignment="0" applyProtection="0"/>
    <xf numFmtId="0" fontId="216" fillId="78" borderId="693" applyNumberFormat="0" applyAlignment="0" applyProtection="0"/>
    <xf numFmtId="0" fontId="174" fillId="0" borderId="694" applyNumberFormat="0" applyFill="0" applyAlignment="0" applyProtection="0"/>
    <xf numFmtId="182" fontId="225" fillId="0" borderId="690" applyFill="0" applyProtection="0"/>
    <xf numFmtId="200" fontId="225" fillId="0" borderId="690" applyFill="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03" fillId="81" borderId="692" applyNumberFormat="0" applyFont="0" applyAlignment="0" applyProtection="0"/>
    <xf numFmtId="0" fontId="213" fillId="65" borderId="691" applyNumberFormat="0" applyAlignment="0" applyProtection="0"/>
    <xf numFmtId="0" fontId="203" fillId="81" borderId="692" applyNumberFormat="0" applyFont="0" applyAlignment="0" applyProtection="0"/>
    <xf numFmtId="0" fontId="216" fillId="78" borderId="693" applyNumberFormat="0" applyAlignment="0" applyProtection="0"/>
    <xf numFmtId="0" fontId="174" fillId="0" borderId="694" applyNumberFormat="0" applyFill="0" applyAlignment="0" applyProtection="0"/>
    <xf numFmtId="0" fontId="249" fillId="59" borderId="691" applyNumberFormat="0" applyAlignment="0" applyProtection="0"/>
    <xf numFmtId="0" fontId="254" fillId="80" borderId="691" applyNumberFormat="0" applyAlignment="0" applyProtection="0"/>
    <xf numFmtId="0" fontId="257" fillId="59" borderId="693" applyNumberFormat="0" applyAlignment="0" applyProtection="0"/>
    <xf numFmtId="0" fontId="244" fillId="0" borderId="690" applyNumberFormat="0" applyFont="0" applyFill="0" applyAlignment="0" applyProtection="0"/>
    <xf numFmtId="0" fontId="178" fillId="0" borderId="697" applyProtection="0"/>
    <xf numFmtId="0" fontId="176" fillId="81" borderId="692" applyNumberFormat="0" applyFont="0" applyAlignment="0" applyProtection="0"/>
    <xf numFmtId="0" fontId="8" fillId="81" borderId="692" applyNumberFormat="0" applyFont="0" applyAlignment="0" applyProtection="0"/>
    <xf numFmtId="182" fontId="225" fillId="0" borderId="690" applyFill="0" applyProtection="0"/>
    <xf numFmtId="200" fontId="225" fillId="0" borderId="690" applyFill="0" applyProtection="0"/>
    <xf numFmtId="0" fontId="213" fillId="65" borderId="691" applyNumberFormat="0" applyAlignment="0" applyProtection="0"/>
    <xf numFmtId="0" fontId="203" fillId="81" borderId="692" applyNumberFormat="0" applyFont="0" applyAlignment="0" applyProtection="0"/>
    <xf numFmtId="0" fontId="203" fillId="81" borderId="692" applyNumberFormat="0" applyFont="0" applyAlignment="0" applyProtection="0"/>
    <xf numFmtId="182" fontId="225" fillId="0" borderId="690" applyFill="0" applyProtection="0"/>
    <xf numFmtId="200" fontId="225" fillId="0" borderId="690" applyFill="0" applyProtection="0"/>
    <xf numFmtId="0" fontId="153" fillId="0" borderId="689">
      <alignment horizontal="left" vertical="center"/>
    </xf>
    <xf numFmtId="0" fontId="203" fillId="81" borderId="692" applyNumberFormat="0" applyFont="0" applyAlignment="0" applyProtection="0"/>
    <xf numFmtId="0" fontId="153" fillId="0" borderId="689">
      <alignment horizontal="left" vertical="center"/>
    </xf>
    <xf numFmtId="0" fontId="213" fillId="80" borderId="691" applyNumberFormat="0" applyAlignment="0" applyProtection="0"/>
    <xf numFmtId="0" fontId="8" fillId="81" borderId="692" applyNumberFormat="0" applyFont="0" applyAlignment="0" applyProtection="0"/>
    <xf numFmtId="182" fontId="225" fillId="0" borderId="690" applyFill="0" applyProtection="0"/>
    <xf numFmtId="200" fontId="225" fillId="0" borderId="690" applyFill="0" applyProtection="0"/>
    <xf numFmtId="182" fontId="225" fillId="0" borderId="690" applyFill="0" applyProtection="0"/>
    <xf numFmtId="200" fontId="225" fillId="0" borderId="690" applyFill="0" applyProtection="0"/>
    <xf numFmtId="0" fontId="153" fillId="0" borderId="689">
      <alignment horizontal="left" vertical="center"/>
    </xf>
    <xf numFmtId="0" fontId="203" fillId="81" borderId="674" applyNumberFormat="0" applyFont="0" applyAlignment="0" applyProtection="0"/>
    <xf numFmtId="182" fontId="225" fillId="0" borderId="690" applyFill="0" applyProtection="0"/>
    <xf numFmtId="200" fontId="225" fillId="0" borderId="690" applyFill="0" applyProtection="0"/>
    <xf numFmtId="0" fontId="176" fillId="81" borderId="692" applyNumberFormat="0" applyFont="0" applyAlignment="0" applyProtection="0"/>
    <xf numFmtId="0" fontId="203" fillId="81" borderId="692"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03" fillId="81" borderId="674" applyNumberFormat="0" applyFont="0" applyAlignment="0" applyProtection="0"/>
    <xf numFmtId="0" fontId="213" fillId="65" borderId="691" applyNumberFormat="0" applyAlignment="0" applyProtection="0"/>
    <xf numFmtId="0" fontId="254" fillId="80" borderId="1015" applyNumberFormat="0" applyAlignment="0" applyProtection="0"/>
    <xf numFmtId="0" fontId="203" fillId="81" borderId="1043" applyNumberFormat="0" applyFont="0" applyAlignment="0" applyProtection="0"/>
    <xf numFmtId="0" fontId="174" fillId="0" borderId="858" applyNumberFormat="0" applyFill="0" applyAlignment="0" applyProtection="0"/>
    <xf numFmtId="0" fontId="216" fillId="59" borderId="909" applyNumberFormat="0" applyAlignment="0" applyProtection="0"/>
    <xf numFmtId="0" fontId="213" fillId="80" borderId="925" applyNumberFormat="0" applyAlignment="0" applyProtection="0"/>
    <xf numFmtId="0" fontId="213" fillId="65" borderId="916" applyNumberFormat="0" applyAlignment="0" applyProtection="0"/>
    <xf numFmtId="0" fontId="213" fillId="65" borderId="772" applyNumberFormat="0" applyAlignment="0" applyProtection="0"/>
    <xf numFmtId="0" fontId="213" fillId="65" borderId="826" applyNumberFormat="0" applyAlignment="0" applyProtection="0"/>
    <xf numFmtId="0" fontId="213" fillId="65" borderId="1042" applyNumberFormat="0" applyAlignment="0" applyProtection="0"/>
    <xf numFmtId="0" fontId="238" fillId="59" borderId="700" applyNumberFormat="0" applyAlignment="0" applyProtection="0"/>
    <xf numFmtId="0" fontId="213" fillId="65" borderId="862" applyNumberFormat="0" applyAlignment="0" applyProtection="0"/>
    <xf numFmtId="0" fontId="213" fillId="65" borderId="952" applyNumberFormat="0" applyAlignment="0" applyProtection="0"/>
    <xf numFmtId="0" fontId="203" fillId="81" borderId="944" applyNumberFormat="0" applyFont="0" applyAlignment="0" applyProtection="0"/>
    <xf numFmtId="182" fontId="225" fillId="0" borderId="906" applyFill="0" applyProtection="0"/>
    <xf numFmtId="0" fontId="229" fillId="83" borderId="740" applyAlignment="0">
      <alignment horizontal="center"/>
    </xf>
    <xf numFmtId="0" fontId="153" fillId="0" borderId="1004">
      <alignment horizontal="left" vertical="center"/>
    </xf>
    <xf numFmtId="0" fontId="203" fillId="81" borderId="917" applyNumberFormat="0" applyFont="0" applyAlignment="0" applyProtection="0"/>
    <xf numFmtId="0" fontId="213" fillId="65" borderId="1051" applyNumberFormat="0" applyAlignment="0" applyProtection="0"/>
    <xf numFmtId="0" fontId="206" fillId="78" borderId="772" applyNumberFormat="0" applyAlignment="0" applyProtection="0"/>
    <xf numFmtId="0" fontId="213" fillId="65" borderId="817" applyNumberFormat="0" applyAlignment="0" applyProtection="0"/>
    <xf numFmtId="182" fontId="225" fillId="0" borderId="969" applyFill="0" applyProtection="0"/>
    <xf numFmtId="0" fontId="213" fillId="65" borderId="727" applyNumberFormat="0" applyAlignment="0" applyProtection="0"/>
    <xf numFmtId="0" fontId="213" fillId="65" borderId="1060" applyNumberFormat="0" applyAlignment="0" applyProtection="0"/>
    <xf numFmtId="0" fontId="238" fillId="59" borderId="907" applyNumberFormat="0" applyAlignment="0" applyProtection="0"/>
    <xf numFmtId="0" fontId="213" fillId="65" borderId="781" applyNumberFormat="0" applyAlignment="0" applyProtection="0"/>
    <xf numFmtId="0" fontId="213" fillId="65" borderId="772" applyNumberFormat="0" applyAlignment="0" applyProtection="0"/>
    <xf numFmtId="0" fontId="213" fillId="65" borderId="835" applyNumberFormat="0" applyAlignment="0" applyProtection="0"/>
    <xf numFmtId="0" fontId="213" fillId="65" borderId="772" applyNumberFormat="0" applyAlignment="0" applyProtection="0"/>
    <xf numFmtId="0" fontId="213" fillId="65" borderId="736" applyNumberFormat="0" applyAlignment="0" applyProtection="0"/>
    <xf numFmtId="0" fontId="216" fillId="78" borderId="1062" applyNumberFormat="0" applyAlignment="0" applyProtection="0"/>
    <xf numFmtId="0" fontId="213" fillId="65" borderId="691" applyNumberFormat="0" applyAlignment="0" applyProtection="0"/>
    <xf numFmtId="0" fontId="229" fillId="83" borderId="920" applyAlignment="0">
      <alignment horizontal="center"/>
    </xf>
    <xf numFmtId="0" fontId="8" fillId="81" borderId="818" applyNumberFormat="0" applyFont="0" applyAlignment="0" applyProtection="0"/>
    <xf numFmtId="0" fontId="229" fillId="83" borderId="957" applyAlignment="0">
      <alignment horizontal="center"/>
    </xf>
    <xf numFmtId="0" fontId="203" fillId="81" borderId="728" applyNumberFormat="0" applyFont="0" applyAlignment="0" applyProtection="0"/>
    <xf numFmtId="0" fontId="213" fillId="65" borderId="862" applyNumberFormat="0" applyAlignment="0" applyProtection="0"/>
    <xf numFmtId="0" fontId="244" fillId="0" borderId="1041" applyNumberFormat="0" applyFont="0" applyFill="0" applyAlignment="0" applyProtection="0"/>
    <xf numFmtId="0" fontId="254" fillId="80" borderId="1042" applyNumberFormat="0" applyAlignment="0" applyProtection="0"/>
    <xf numFmtId="0" fontId="203" fillId="81" borderId="836" applyNumberFormat="0" applyFont="0" applyAlignment="0" applyProtection="0"/>
    <xf numFmtId="0" fontId="213" fillId="65" borderId="970" applyNumberFormat="0" applyAlignment="0" applyProtection="0"/>
    <xf numFmtId="0" fontId="216" fillId="59" borderId="873" applyNumberFormat="0" applyAlignment="0" applyProtection="0"/>
    <xf numFmtId="0" fontId="153" fillId="0" borderId="860">
      <alignment horizontal="left" vertical="center"/>
    </xf>
    <xf numFmtId="0" fontId="213" fillId="65" borderId="826" applyNumberFormat="0" applyAlignment="0" applyProtection="0"/>
    <xf numFmtId="0" fontId="216" fillId="59" borderId="909" applyNumberFormat="0" applyAlignment="0" applyProtection="0"/>
    <xf numFmtId="0" fontId="213" fillId="65" borderId="862" applyNumberFormat="0" applyAlignment="0" applyProtection="0"/>
    <xf numFmtId="0" fontId="203" fillId="81" borderId="827" applyNumberFormat="0" applyFont="0" applyAlignment="0" applyProtection="0"/>
    <xf numFmtId="0" fontId="213" fillId="65" borderId="961" applyNumberFormat="0" applyAlignment="0" applyProtection="0"/>
    <xf numFmtId="0" fontId="244" fillId="0" borderId="1041" applyNumberFormat="0" applyFont="0" applyFill="0" applyAlignment="0" applyProtection="0"/>
    <xf numFmtId="200" fontId="225" fillId="0" borderId="960" applyFill="0" applyProtection="0"/>
    <xf numFmtId="0" fontId="213" fillId="80" borderId="997" applyNumberFormat="0" applyAlignment="0" applyProtection="0"/>
    <xf numFmtId="0" fontId="213" fillId="65" borderId="1042" applyNumberFormat="0" applyAlignment="0" applyProtection="0"/>
    <xf numFmtId="0" fontId="213" fillId="65" borderId="871" applyNumberFormat="0" applyAlignment="0" applyProtection="0"/>
    <xf numFmtId="182" fontId="225" fillId="0" borderId="771" applyFill="0" applyProtection="0"/>
    <xf numFmtId="0" fontId="203" fillId="81" borderId="908" applyNumberFormat="0" applyFont="0" applyAlignment="0" applyProtection="0"/>
    <xf numFmtId="0" fontId="203" fillId="81" borderId="782" applyNumberFormat="0" applyFont="0" applyAlignment="0" applyProtection="0"/>
    <xf numFmtId="0" fontId="213" fillId="65" borderId="871" applyNumberFormat="0" applyAlignment="0" applyProtection="0"/>
    <xf numFmtId="0" fontId="216" fillId="59" borderId="1044" applyNumberFormat="0" applyAlignment="0" applyProtection="0"/>
    <xf numFmtId="0" fontId="238" fillId="59" borderId="817" applyNumberFormat="0" applyAlignment="0" applyProtection="0"/>
    <xf numFmtId="0" fontId="257" fillId="59" borderId="1008" applyNumberFormat="0" applyAlignment="0" applyProtection="0"/>
    <xf numFmtId="0" fontId="213" fillId="65" borderId="1051" applyNumberFormat="0" applyAlignment="0" applyProtection="0"/>
    <xf numFmtId="0" fontId="153" fillId="0" borderId="950">
      <alignment horizontal="left" vertical="center"/>
    </xf>
    <xf numFmtId="0" fontId="213" fillId="65" borderId="781" applyNumberFormat="0" applyAlignment="0" applyProtection="0"/>
    <xf numFmtId="0" fontId="203" fillId="81" borderId="989" applyNumberFormat="0" applyFont="0" applyAlignment="0" applyProtection="0"/>
    <xf numFmtId="200" fontId="225" fillId="0" borderId="1059" applyFill="0" applyProtection="0"/>
    <xf numFmtId="0" fontId="238" fillId="59" borderId="997" applyNumberFormat="0" applyAlignment="0" applyProtection="0"/>
    <xf numFmtId="0" fontId="229" fillId="83" borderId="822" applyAlignment="0">
      <alignment horizontal="center"/>
    </xf>
    <xf numFmtId="0" fontId="213" fillId="65" borderId="817" applyNumberFormat="0" applyAlignment="0" applyProtection="0"/>
    <xf numFmtId="0" fontId="203" fillId="81" borderId="863" applyNumberFormat="0" applyFont="0" applyAlignment="0" applyProtection="0"/>
    <xf numFmtId="0" fontId="203" fillId="81" borderId="755" applyNumberFormat="0" applyFont="0" applyAlignment="0" applyProtection="0"/>
    <xf numFmtId="0" fontId="213" fillId="65" borderId="961" applyNumberFormat="0" applyAlignment="0" applyProtection="0"/>
    <xf numFmtId="0" fontId="203" fillId="81" borderId="818" applyNumberFormat="0" applyFont="0" applyAlignment="0" applyProtection="0"/>
    <xf numFmtId="0" fontId="206" fillId="78" borderId="817" applyNumberFormat="0" applyAlignment="0" applyProtection="0"/>
    <xf numFmtId="0" fontId="203" fillId="81" borderId="908" applyNumberFormat="0" applyFont="0" applyAlignment="0" applyProtection="0"/>
    <xf numFmtId="0" fontId="213" fillId="65" borderId="871" applyNumberFormat="0" applyAlignment="0" applyProtection="0"/>
    <xf numFmtId="0" fontId="176" fillId="81" borderId="1043" applyNumberFormat="0" applyFont="0" applyAlignment="0" applyProtection="0"/>
    <xf numFmtId="0" fontId="203" fillId="81" borderId="971" applyNumberFormat="0" applyFont="0" applyAlignment="0" applyProtection="0"/>
    <xf numFmtId="0" fontId="213" fillId="65" borderId="880" applyNumberFormat="0" applyAlignment="0" applyProtection="0"/>
    <xf numFmtId="0" fontId="213" fillId="80" borderId="1042" applyNumberFormat="0" applyAlignment="0" applyProtection="0"/>
    <xf numFmtId="0" fontId="174" fillId="0" borderId="1020" applyNumberFormat="0" applyFill="0" applyAlignment="0" applyProtection="0"/>
    <xf numFmtId="0" fontId="203" fillId="81" borderId="1016"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13" fillId="80" borderId="736" applyNumberFormat="0" applyAlignment="0" applyProtection="0"/>
    <xf numFmtId="200" fontId="225" fillId="0" borderId="870" applyFill="0" applyProtection="0"/>
    <xf numFmtId="0" fontId="174" fillId="0" borderId="858" applyNumberFormat="0" applyFill="0" applyAlignment="0" applyProtection="0"/>
    <xf numFmtId="0" fontId="176" fillId="81" borderId="1016" applyNumberFormat="0" applyFont="0" applyAlignment="0" applyProtection="0"/>
    <xf numFmtId="200" fontId="225" fillId="0" borderId="825" applyFill="0" applyProtection="0"/>
    <xf numFmtId="0" fontId="203" fillId="81" borderId="782" applyNumberFormat="0" applyFont="0" applyAlignment="0" applyProtection="0"/>
    <xf numFmtId="0" fontId="203" fillId="81" borderId="953" applyNumberFormat="0" applyFont="0" applyAlignment="0" applyProtection="0"/>
    <xf numFmtId="0" fontId="213" fillId="65" borderId="736" applyNumberFormat="0" applyAlignment="0" applyProtection="0"/>
    <xf numFmtId="0" fontId="213" fillId="65" borderId="736" applyNumberFormat="0" applyAlignment="0" applyProtection="0"/>
    <xf numFmtId="0" fontId="203" fillId="81" borderId="863" applyNumberFormat="0" applyFont="0" applyAlignment="0" applyProtection="0"/>
    <xf numFmtId="0" fontId="249" fillId="59" borderId="835" applyNumberFormat="0" applyAlignment="0" applyProtection="0"/>
    <xf numFmtId="0" fontId="213" fillId="65" borderId="772" applyNumberFormat="0" applyAlignment="0" applyProtection="0"/>
    <xf numFmtId="0" fontId="216" fillId="59" borderId="999" applyNumberFormat="0" applyAlignment="0" applyProtection="0"/>
    <xf numFmtId="0" fontId="216" fillId="59" borderId="882" applyNumberFormat="0" applyAlignment="0" applyProtection="0"/>
    <xf numFmtId="0" fontId="216" fillId="78" borderId="963" applyNumberFormat="0" applyAlignment="0" applyProtection="0"/>
    <xf numFmtId="0" fontId="216" fillId="78" borderId="1008" applyNumberFormat="0" applyAlignment="0" applyProtection="0"/>
    <xf numFmtId="0" fontId="213" fillId="65" borderId="952" applyNumberFormat="0" applyAlignment="0" applyProtection="0"/>
    <xf numFmtId="0" fontId="203" fillId="81" borderId="998" applyNumberFormat="0" applyFont="0" applyAlignment="0" applyProtection="0"/>
    <xf numFmtId="0" fontId="244" fillId="0" borderId="861" applyNumberFormat="0" applyFont="0" applyFill="0" applyAlignment="0" applyProtection="0"/>
    <xf numFmtId="0" fontId="213" fillId="65" borderId="871" applyNumberFormat="0" applyAlignment="0" applyProtection="0"/>
    <xf numFmtId="0" fontId="203" fillId="81" borderId="773" applyNumberFormat="0" applyFont="0" applyAlignment="0" applyProtection="0"/>
    <xf numFmtId="0" fontId="213" fillId="65" borderId="961" applyNumberFormat="0" applyAlignment="0" applyProtection="0"/>
    <xf numFmtId="0" fontId="153" fillId="0" borderId="833">
      <alignment horizontal="left" vertical="center"/>
    </xf>
    <xf numFmtId="182" fontId="225" fillId="0" borderId="915" applyFill="0" applyProtection="0"/>
    <xf numFmtId="0" fontId="213" fillId="65" borderId="826" applyNumberFormat="0" applyAlignment="0" applyProtection="0"/>
    <xf numFmtId="0" fontId="213" fillId="65" borderId="817" applyNumberFormat="0" applyAlignment="0" applyProtection="0"/>
    <xf numFmtId="0" fontId="153" fillId="0" borderId="824">
      <alignment horizontal="left" vertical="center"/>
    </xf>
    <xf numFmtId="0" fontId="229" fillId="83" borderId="902" applyAlignment="0">
      <alignment horizontal="center"/>
    </xf>
    <xf numFmtId="0" fontId="174" fillId="0" borderId="1045" applyNumberFormat="0" applyFill="0" applyAlignment="0" applyProtection="0"/>
    <xf numFmtId="0" fontId="229" fillId="83" borderId="830" applyAlignment="0">
      <alignment horizontal="center"/>
    </xf>
    <xf numFmtId="0" fontId="203" fillId="81" borderId="863" applyNumberFormat="0" applyFont="0" applyAlignment="0" applyProtection="0"/>
    <xf numFmtId="0" fontId="213" fillId="65" borderId="871" applyNumberFormat="0" applyAlignment="0" applyProtection="0"/>
    <xf numFmtId="0" fontId="213" fillId="65" borderId="781" applyNumberFormat="0" applyAlignment="0" applyProtection="0"/>
    <xf numFmtId="0" fontId="213" fillId="65" borderId="772" applyNumberFormat="0" applyAlignment="0" applyProtection="0"/>
    <xf numFmtId="0" fontId="203" fillId="81" borderId="782" applyNumberFormat="0" applyFont="0" applyAlignment="0" applyProtection="0"/>
    <xf numFmtId="0" fontId="203" fillId="81" borderId="971" applyNumberFormat="0" applyFont="0" applyAlignment="0" applyProtection="0"/>
    <xf numFmtId="0" fontId="213" fillId="65" borderId="952" applyNumberFormat="0" applyAlignment="0" applyProtection="0"/>
    <xf numFmtId="0" fontId="203" fillId="81" borderId="827" applyNumberFormat="0" applyFont="0" applyAlignment="0" applyProtection="0"/>
    <xf numFmtId="0" fontId="213" fillId="65" borderId="1042" applyNumberFormat="0" applyAlignment="0" applyProtection="0"/>
    <xf numFmtId="0" fontId="213" fillId="65" borderId="952" applyNumberFormat="0" applyAlignment="0" applyProtection="0"/>
    <xf numFmtId="0" fontId="153" fillId="0" borderId="905">
      <alignment horizontal="left" vertical="center"/>
    </xf>
    <xf numFmtId="0" fontId="203" fillId="81" borderId="998" applyNumberFormat="0" applyFont="0" applyAlignment="0" applyProtection="0"/>
    <xf numFmtId="0" fontId="206" fillId="78" borderId="1042" applyNumberFormat="0" applyAlignment="0" applyProtection="0"/>
    <xf numFmtId="0" fontId="213" fillId="65" borderId="916" applyNumberFormat="0" applyAlignment="0" applyProtection="0"/>
    <xf numFmtId="0" fontId="238" fillId="59" borderId="997" applyNumberFormat="0" applyAlignment="0" applyProtection="0"/>
    <xf numFmtId="0" fontId="176" fillId="81" borderId="818" applyNumberFormat="0" applyFont="0" applyAlignment="0" applyProtection="0"/>
    <xf numFmtId="0" fontId="203" fillId="81" borderId="1043" applyNumberFormat="0" applyFont="0" applyAlignment="0" applyProtection="0"/>
    <xf numFmtId="0" fontId="213" fillId="65" borderId="997" applyNumberFormat="0" applyAlignment="0" applyProtection="0"/>
    <xf numFmtId="0" fontId="213" fillId="65" borderId="871" applyNumberFormat="0" applyAlignment="0" applyProtection="0"/>
    <xf numFmtId="0" fontId="213" fillId="65" borderId="736" applyNumberFormat="0" applyAlignment="0" applyProtection="0"/>
    <xf numFmtId="0" fontId="203" fillId="81" borderId="809" applyNumberFormat="0" applyFont="0" applyAlignment="0" applyProtection="0"/>
    <xf numFmtId="0" fontId="213" fillId="80" borderId="736" applyNumberFormat="0" applyAlignment="0" applyProtection="0"/>
    <xf numFmtId="0" fontId="203" fillId="81" borderId="728" applyNumberFormat="0" applyFont="0" applyAlignment="0" applyProtection="0"/>
    <xf numFmtId="0" fontId="153" fillId="0" borderId="734">
      <alignment horizontal="left" vertical="center"/>
    </xf>
    <xf numFmtId="0" fontId="213" fillId="65" borderId="736" applyNumberFormat="0" applyAlignment="0" applyProtection="0"/>
    <xf numFmtId="0" fontId="213" fillId="65" borderId="736" applyNumberFormat="0" applyAlignment="0" applyProtection="0"/>
    <xf numFmtId="0" fontId="257" fillId="59" borderId="738" applyNumberFormat="0" applyAlignment="0" applyProtection="0"/>
    <xf numFmtId="0" fontId="213" fillId="65" borderId="736" applyNumberFormat="0" applyAlignment="0" applyProtection="0"/>
    <xf numFmtId="200" fontId="225" fillId="0" borderId="735" applyFill="0" applyProtection="0"/>
    <xf numFmtId="0" fontId="203" fillId="81" borderId="728" applyNumberFormat="0" applyFont="0" applyAlignment="0" applyProtection="0"/>
    <xf numFmtId="0" fontId="213" fillId="65" borderId="727" applyNumberFormat="0" applyAlignment="0" applyProtection="0"/>
    <xf numFmtId="0" fontId="213" fillId="65" borderId="736" applyNumberFormat="0" applyAlignment="0" applyProtection="0"/>
    <xf numFmtId="0" fontId="203" fillId="81" borderId="737" applyNumberFormat="0" applyFont="0" applyAlignment="0" applyProtection="0"/>
    <xf numFmtId="0" fontId="153" fillId="0" borderId="734">
      <alignment horizontal="left" vertical="center"/>
    </xf>
    <xf numFmtId="0" fontId="206" fillId="78" borderId="736" applyNumberFormat="0" applyAlignment="0" applyProtection="0"/>
    <xf numFmtId="0" fontId="203" fillId="81" borderId="737" applyNumberFormat="0" applyFont="0" applyAlignment="0" applyProtection="0"/>
    <xf numFmtId="0" fontId="213" fillId="65" borderId="736" applyNumberFormat="0" applyAlignment="0" applyProtection="0"/>
    <xf numFmtId="0" fontId="203" fillId="81" borderId="728" applyNumberFormat="0" applyFont="0" applyAlignment="0" applyProtection="0"/>
    <xf numFmtId="0" fontId="176" fillId="81" borderId="971" applyNumberFormat="0" applyFont="0" applyAlignment="0" applyProtection="0"/>
    <xf numFmtId="0" fontId="213" fillId="65" borderId="862" applyNumberFormat="0" applyAlignment="0" applyProtection="0"/>
    <xf numFmtId="0" fontId="176" fillId="81" borderId="908" applyNumberFormat="0" applyFont="0" applyAlignment="0" applyProtection="0"/>
    <xf numFmtId="0" fontId="8" fillId="81" borderId="1043" applyNumberFormat="0" applyFont="0" applyAlignment="0" applyProtection="0"/>
    <xf numFmtId="0" fontId="213" fillId="65" borderId="1060" applyNumberFormat="0" applyAlignment="0" applyProtection="0"/>
    <xf numFmtId="0" fontId="213" fillId="80" borderId="997" applyNumberFormat="0" applyAlignment="0" applyProtection="0"/>
    <xf numFmtId="182" fontId="225" fillId="0" borderId="879" applyFill="0" applyProtection="0"/>
    <xf numFmtId="0" fontId="254" fillId="80" borderId="817" applyNumberFormat="0" applyAlignment="0" applyProtection="0"/>
    <xf numFmtId="0" fontId="213" fillId="65" borderId="835" applyNumberFormat="0" applyAlignment="0" applyProtection="0"/>
    <xf numFmtId="0" fontId="203" fillId="81" borderId="899" applyNumberFormat="0" applyFont="0" applyAlignment="0" applyProtection="0"/>
    <xf numFmtId="0" fontId="203" fillId="81" borderId="1043" applyNumberFormat="0" applyFont="0" applyAlignment="0" applyProtection="0"/>
    <xf numFmtId="0" fontId="213" fillId="65" borderId="1015" applyNumberFormat="0" applyAlignment="0" applyProtection="0"/>
    <xf numFmtId="0" fontId="213" fillId="65" borderId="916" applyNumberFormat="0" applyAlignment="0" applyProtection="0"/>
    <xf numFmtId="0" fontId="206" fillId="78" borderId="835" applyNumberFormat="0" applyAlignment="0" applyProtection="0"/>
    <xf numFmtId="0" fontId="213" fillId="65" borderId="907" applyNumberFormat="0" applyAlignment="0" applyProtection="0"/>
    <xf numFmtId="0" fontId="213" fillId="65" borderId="961" applyNumberFormat="0" applyAlignment="0" applyProtection="0"/>
    <xf numFmtId="0" fontId="213" fillId="80" borderId="952" applyNumberFormat="0" applyAlignment="0" applyProtection="0"/>
    <xf numFmtId="0" fontId="8" fillId="81" borderId="917" applyNumberFormat="0" applyFont="0" applyAlignment="0" applyProtection="0"/>
    <xf numFmtId="200" fontId="225" fillId="0" borderId="996" applyFill="0" applyProtection="0"/>
    <xf numFmtId="0" fontId="213" fillId="65" borderId="871" applyNumberFormat="0" applyAlignment="0" applyProtection="0"/>
    <xf numFmtId="0" fontId="213" fillId="65" borderId="781" applyNumberFormat="0" applyAlignment="0" applyProtection="0"/>
    <xf numFmtId="0" fontId="203" fillId="81" borderId="1043" applyNumberFormat="0" applyFont="0" applyAlignment="0" applyProtection="0"/>
    <xf numFmtId="200" fontId="225" fillId="0" borderId="816" applyFill="0" applyProtection="0"/>
    <xf numFmtId="0" fontId="213" fillId="65" borderId="907" applyNumberFormat="0" applyAlignment="0" applyProtection="0"/>
    <xf numFmtId="182" fontId="225" fillId="0" borderId="834" applyFill="0" applyProtection="0"/>
    <xf numFmtId="0" fontId="229" fillId="83" borderId="1010" applyAlignment="0">
      <alignment horizontal="center"/>
    </xf>
    <xf numFmtId="0" fontId="153" fillId="0" borderId="959">
      <alignment horizontal="left" vertical="center"/>
    </xf>
    <xf numFmtId="0" fontId="203" fillId="81" borderId="926" applyNumberFormat="0" applyFont="0" applyAlignment="0" applyProtection="0"/>
    <xf numFmtId="0" fontId="8" fillId="81" borderId="863" applyNumberFormat="0" applyFont="0" applyAlignment="0" applyProtection="0"/>
    <xf numFmtId="0" fontId="203" fillId="81" borderId="836" applyNumberFormat="0" applyFont="0" applyAlignment="0" applyProtection="0"/>
    <xf numFmtId="200" fontId="225" fillId="0" borderId="780" applyFill="0" applyProtection="0"/>
    <xf numFmtId="0" fontId="213" fillId="65" borderId="961" applyNumberFormat="0" applyAlignment="0" applyProtection="0"/>
    <xf numFmtId="0" fontId="203" fillId="81" borderId="773" applyNumberFormat="0" applyFont="0" applyAlignment="0" applyProtection="0"/>
    <xf numFmtId="0" fontId="244" fillId="0" borderId="951" applyNumberFormat="0" applyFont="0" applyFill="0" applyAlignment="0" applyProtection="0"/>
    <xf numFmtId="0" fontId="213" fillId="65" borderId="817" applyNumberFormat="0" applyAlignment="0" applyProtection="0"/>
    <xf numFmtId="0" fontId="203" fillId="81" borderId="773" applyNumberFormat="0" applyFont="0" applyAlignment="0" applyProtection="0"/>
    <xf numFmtId="0" fontId="213" fillId="65" borderId="862" applyNumberFormat="0" applyAlignment="0" applyProtection="0"/>
    <xf numFmtId="0" fontId="203" fillId="81" borderId="818" applyNumberFormat="0" applyFont="0" applyAlignment="0" applyProtection="0"/>
    <xf numFmtId="0" fontId="213" fillId="65" borderId="907" applyNumberFormat="0" applyAlignment="0" applyProtection="0"/>
    <xf numFmtId="0" fontId="203" fillId="81" borderId="773" applyNumberFormat="0" applyFont="0" applyAlignment="0" applyProtection="0"/>
    <xf numFmtId="0" fontId="203" fillId="81" borderId="1052" applyNumberFormat="0" applyFont="0" applyAlignment="0" applyProtection="0"/>
    <xf numFmtId="0" fontId="213" fillId="65" borderId="1051" applyNumberFormat="0" applyAlignment="0" applyProtection="0"/>
    <xf numFmtId="0" fontId="213" fillId="65" borderId="835" applyNumberFormat="0" applyAlignment="0" applyProtection="0"/>
    <xf numFmtId="0" fontId="213" fillId="65" borderId="997" applyNumberFormat="0" applyAlignment="0" applyProtection="0"/>
    <xf numFmtId="0" fontId="216" fillId="59" borderId="954" applyNumberFormat="0" applyAlignment="0" applyProtection="0"/>
    <xf numFmtId="0" fontId="213" fillId="65" borderId="1051" applyNumberFormat="0" applyAlignment="0" applyProtection="0"/>
    <xf numFmtId="0" fontId="213" fillId="80" borderId="997" applyNumberFormat="0" applyAlignment="0" applyProtection="0"/>
    <xf numFmtId="0" fontId="213" fillId="65" borderId="835" applyNumberFormat="0" applyAlignment="0" applyProtection="0"/>
    <xf numFmtId="0" fontId="203" fillId="81" borderId="962" applyNumberFormat="0" applyFont="0" applyAlignment="0" applyProtection="0"/>
    <xf numFmtId="0" fontId="216" fillId="59" borderId="729" applyNumberFormat="0" applyAlignment="0" applyProtection="0"/>
    <xf numFmtId="0" fontId="238" fillId="59" borderId="772" applyNumberFormat="0" applyAlignment="0" applyProtection="0"/>
    <xf numFmtId="0" fontId="203" fillId="81" borderId="926" applyNumberFormat="0" applyFont="0" applyAlignment="0" applyProtection="0"/>
    <xf numFmtId="0" fontId="213" fillId="80" borderId="1006" applyNumberFormat="0" applyAlignment="0" applyProtection="0"/>
    <xf numFmtId="0" fontId="213" fillId="65" borderId="727" applyNumberFormat="0" applyAlignment="0" applyProtection="0"/>
    <xf numFmtId="0" fontId="216" fillId="59" borderId="729" applyNumberFormat="0" applyAlignment="0" applyProtection="0"/>
    <xf numFmtId="0" fontId="238" fillId="59" borderId="997" applyNumberFormat="0" applyAlignment="0" applyProtection="0"/>
    <xf numFmtId="0" fontId="213" fillId="65" borderId="772" applyNumberFormat="0" applyAlignment="0" applyProtection="0"/>
    <xf numFmtId="0" fontId="213" fillId="65" borderId="952" applyNumberFormat="0" applyAlignment="0" applyProtection="0"/>
    <xf numFmtId="0" fontId="203" fillId="81" borderId="836" applyNumberFormat="0" applyFont="0" applyAlignment="0" applyProtection="0"/>
    <xf numFmtId="0" fontId="203" fillId="81" borderId="953" applyNumberFormat="0" applyFont="0" applyAlignment="0" applyProtection="0"/>
    <xf numFmtId="0" fontId="238" fillId="59" borderId="961" applyNumberFormat="0" applyAlignment="0" applyProtection="0"/>
    <xf numFmtId="0" fontId="213" fillId="80" borderId="907" applyNumberFormat="0" applyAlignment="0" applyProtection="0"/>
    <xf numFmtId="0" fontId="213" fillId="65" borderId="772" applyNumberFormat="0" applyAlignment="0" applyProtection="0"/>
    <xf numFmtId="0" fontId="206" fillId="78" borderId="817" applyNumberFormat="0" applyAlignment="0" applyProtection="0"/>
    <xf numFmtId="0" fontId="203" fillId="81" borderId="953" applyNumberFormat="0" applyFont="0" applyAlignment="0" applyProtection="0"/>
    <xf numFmtId="0" fontId="203" fillId="81" borderId="1034" applyNumberFormat="0" applyFont="0" applyAlignment="0" applyProtection="0"/>
    <xf numFmtId="0" fontId="213" fillId="80" borderId="1051" applyNumberFormat="0" applyAlignment="0" applyProtection="0"/>
    <xf numFmtId="0" fontId="213" fillId="65" borderId="826" applyNumberFormat="0" applyAlignment="0" applyProtection="0"/>
    <xf numFmtId="0" fontId="213" fillId="65" borderId="817" applyNumberFormat="0" applyAlignment="0" applyProtection="0"/>
    <xf numFmtId="0" fontId="213" fillId="65" borderId="1042" applyNumberFormat="0" applyAlignment="0" applyProtection="0"/>
    <xf numFmtId="0" fontId="213" fillId="80" borderId="916" applyNumberFormat="0" applyAlignment="0" applyProtection="0"/>
    <xf numFmtId="0" fontId="213" fillId="65" borderId="871" applyNumberFormat="0" applyAlignment="0" applyProtection="0"/>
    <xf numFmtId="0" fontId="213" fillId="65" borderId="952" applyNumberFormat="0" applyAlignment="0" applyProtection="0"/>
    <xf numFmtId="0" fontId="203" fillId="81" borderId="863" applyNumberFormat="0" applyFont="0" applyAlignment="0" applyProtection="0"/>
    <xf numFmtId="0" fontId="153" fillId="0" borderId="779">
      <alignment horizontal="left" vertical="center"/>
    </xf>
    <xf numFmtId="182" fontId="225" fillId="0" borderId="780" applyFill="0" applyProtection="0"/>
    <xf numFmtId="200" fontId="225" fillId="0" borderId="870" applyFill="0" applyProtection="0"/>
    <xf numFmtId="0" fontId="213" fillId="65" borderId="1042" applyNumberFormat="0" applyAlignment="0" applyProtection="0"/>
    <xf numFmtId="200" fontId="225" fillId="0" borderId="1050" applyFill="0" applyProtection="0"/>
    <xf numFmtId="0" fontId="216" fillId="78" borderId="864" applyNumberFormat="0" applyAlignment="0" applyProtection="0"/>
    <xf numFmtId="0" fontId="213" fillId="65" borderId="826" applyNumberFormat="0" applyAlignment="0" applyProtection="0"/>
    <xf numFmtId="0" fontId="203" fillId="81" borderId="827" applyNumberFormat="0" applyFont="0" applyAlignment="0" applyProtection="0"/>
    <xf numFmtId="0" fontId="213" fillId="65" borderId="817" applyNumberFormat="0" applyAlignment="0" applyProtection="0"/>
    <xf numFmtId="0" fontId="203" fillId="81" borderId="836" applyNumberFormat="0" applyFont="0" applyAlignment="0" applyProtection="0"/>
    <xf numFmtId="0" fontId="213" fillId="65" borderId="826" applyNumberFormat="0" applyAlignment="0" applyProtection="0"/>
    <xf numFmtId="0" fontId="213" fillId="65" borderId="997" applyNumberFormat="0" applyAlignment="0" applyProtection="0"/>
    <xf numFmtId="0" fontId="203" fillId="81" borderId="1016" applyNumberFormat="0" applyFont="0" applyAlignment="0" applyProtection="0"/>
    <xf numFmtId="0" fontId="213" fillId="65" borderId="781" applyNumberFormat="0" applyAlignment="0" applyProtection="0"/>
    <xf numFmtId="0" fontId="213" fillId="65" borderId="1042" applyNumberFormat="0" applyAlignment="0" applyProtection="0"/>
    <xf numFmtId="0" fontId="203" fillId="81" borderId="1043" applyNumberFormat="0" applyFont="0" applyAlignment="0" applyProtection="0"/>
    <xf numFmtId="200" fontId="225" fillId="0" borderId="780" applyFill="0" applyProtection="0"/>
    <xf numFmtId="182" fontId="225" fillId="0" borderId="951" applyFill="0" applyProtection="0"/>
    <xf numFmtId="0" fontId="213" fillId="65" borderId="772" applyNumberFormat="0" applyAlignment="0" applyProtection="0"/>
    <xf numFmtId="0" fontId="213" fillId="65" borderId="1006" applyNumberFormat="0" applyAlignment="0" applyProtection="0"/>
    <xf numFmtId="200" fontId="225" fillId="0" borderId="1005" applyFill="0" applyProtection="0"/>
    <xf numFmtId="0" fontId="213" fillId="65" borderId="871" applyNumberFormat="0" applyAlignment="0" applyProtection="0"/>
    <xf numFmtId="0" fontId="203" fillId="81" borderId="827" applyNumberFormat="0" applyFont="0" applyAlignment="0" applyProtection="0"/>
    <xf numFmtId="0" fontId="229" fillId="83" borderId="867" applyAlignment="0">
      <alignment horizontal="center"/>
    </xf>
    <xf numFmtId="0" fontId="213" fillId="65" borderId="862" applyNumberFormat="0" applyAlignment="0" applyProtection="0"/>
    <xf numFmtId="0" fontId="213" fillId="65" borderId="781" applyNumberFormat="0" applyAlignment="0" applyProtection="0"/>
    <xf numFmtId="0" fontId="203" fillId="81" borderId="917" applyNumberFormat="0" applyFont="0" applyAlignment="0" applyProtection="0"/>
    <xf numFmtId="0" fontId="213" fillId="65" borderId="970" applyNumberFormat="0" applyAlignment="0" applyProtection="0"/>
    <xf numFmtId="0" fontId="203" fillId="81" borderId="971" applyNumberFormat="0" applyFont="0" applyAlignment="0" applyProtection="0"/>
    <xf numFmtId="0" fontId="213" fillId="65" borderId="1015" applyNumberFormat="0" applyAlignment="0" applyProtection="0"/>
    <xf numFmtId="0" fontId="238" fillId="59" borderId="862" applyNumberFormat="0" applyAlignment="0" applyProtection="0"/>
    <xf numFmtId="0" fontId="176" fillId="81" borderId="971" applyNumberFormat="0" applyFont="0" applyAlignment="0" applyProtection="0"/>
    <xf numFmtId="0" fontId="213" fillId="65" borderId="970" applyNumberFormat="0" applyAlignment="0" applyProtection="0"/>
    <xf numFmtId="0" fontId="213" fillId="65" borderId="853" applyNumberFormat="0" applyAlignment="0" applyProtection="0"/>
    <xf numFmtId="0" fontId="176" fillId="81" borderId="962" applyNumberFormat="0" applyFont="0" applyAlignment="0" applyProtection="0"/>
    <xf numFmtId="0" fontId="213" fillId="65" borderId="952" applyNumberFormat="0" applyAlignment="0" applyProtection="0"/>
    <xf numFmtId="0" fontId="203" fillId="81" borderId="926" applyNumberFormat="0" applyFont="0" applyAlignment="0" applyProtection="0"/>
    <xf numFmtId="0" fontId="206" fillId="78" borderId="997" applyNumberFormat="0" applyAlignment="0" applyProtection="0"/>
    <xf numFmtId="0" fontId="203" fillId="81" borderId="863" applyNumberFormat="0" applyFont="0" applyAlignment="0" applyProtection="0"/>
    <xf numFmtId="0" fontId="229" fillId="83" borderId="732" applyAlignment="0">
      <alignment horizontal="center"/>
    </xf>
    <xf numFmtId="0" fontId="229" fillId="83" borderId="732" applyAlignment="0">
      <alignment horizontal="center"/>
    </xf>
    <xf numFmtId="0" fontId="229" fillId="83" borderId="732" applyAlignment="0">
      <alignment horizontal="center"/>
    </xf>
    <xf numFmtId="0" fontId="213" fillId="65" borderId="970" applyNumberFormat="0" applyAlignment="0" applyProtection="0"/>
    <xf numFmtId="0" fontId="174" fillId="0" borderId="705" applyNumberFormat="0" applyFill="0" applyAlignment="0" applyProtection="0"/>
    <xf numFmtId="0" fontId="203" fillId="81" borderId="791" applyNumberFormat="0" applyFont="0" applyAlignment="0" applyProtection="0"/>
    <xf numFmtId="0" fontId="203" fillId="81" borderId="710" applyNumberFormat="0" applyFont="0" applyAlignment="0" applyProtection="0"/>
    <xf numFmtId="0" fontId="213" fillId="80" borderId="1006" applyNumberFormat="0" applyAlignment="0" applyProtection="0"/>
    <xf numFmtId="182" fontId="225" fillId="0" borderId="726" applyFill="0" applyProtection="0"/>
    <xf numFmtId="0" fontId="203" fillId="81" borderId="710" applyNumberFormat="0" applyFont="0" applyAlignment="0" applyProtection="0"/>
    <xf numFmtId="200" fontId="225" fillId="0" borderId="726" applyFill="0" applyProtection="0"/>
    <xf numFmtId="0" fontId="213" fillId="65" borderId="727" applyNumberFormat="0" applyAlignment="0" applyProtection="0"/>
    <xf numFmtId="0" fontId="174" fillId="0" borderId="820" applyNumberFormat="0" applyFill="0" applyAlignment="0" applyProtection="0"/>
    <xf numFmtId="0" fontId="213" fillId="65" borderId="1042" applyNumberFormat="0" applyAlignment="0" applyProtection="0"/>
    <xf numFmtId="0" fontId="8" fillId="81" borderId="917" applyNumberFormat="0" applyFont="0" applyAlignment="0" applyProtection="0"/>
    <xf numFmtId="0" fontId="216" fillId="78" borderId="999" applyNumberFormat="0" applyAlignment="0" applyProtection="0"/>
    <xf numFmtId="0" fontId="213" fillId="65" borderId="1060" applyNumberFormat="0" applyAlignment="0" applyProtection="0"/>
    <xf numFmtId="0" fontId="176" fillId="81" borderId="908" applyNumberFormat="0" applyFont="0" applyAlignment="0" applyProtection="0"/>
    <xf numFmtId="0" fontId="153" fillId="0" borderId="923">
      <alignment horizontal="left" vertical="center"/>
    </xf>
    <xf numFmtId="0" fontId="213" fillId="65" borderId="772" applyNumberFormat="0" applyAlignment="0" applyProtection="0"/>
    <xf numFmtId="0" fontId="213" fillId="65" borderId="961" applyNumberFormat="0" applyAlignment="0" applyProtection="0"/>
    <xf numFmtId="0" fontId="213" fillId="65" borderId="925" applyNumberFormat="0" applyAlignment="0" applyProtection="0"/>
    <xf numFmtId="0" fontId="203" fillId="81" borderId="971" applyNumberFormat="0" applyFont="0" applyAlignment="0" applyProtection="0"/>
    <xf numFmtId="0" fontId="176" fillId="81" borderId="836" applyNumberFormat="0" applyFont="0" applyAlignment="0" applyProtection="0"/>
    <xf numFmtId="0" fontId="206" fillId="78" borderId="880" applyNumberFormat="0" applyAlignment="0" applyProtection="0"/>
    <xf numFmtId="0" fontId="213" fillId="65" borderId="916" applyNumberFormat="0" applyAlignment="0" applyProtection="0"/>
    <xf numFmtId="0" fontId="213" fillId="65" borderId="826" applyNumberFormat="0" applyAlignment="0" applyProtection="0"/>
    <xf numFmtId="0" fontId="203" fillId="81" borderId="908" applyNumberFormat="0" applyFont="0" applyAlignment="0" applyProtection="0"/>
    <xf numFmtId="200" fontId="225" fillId="0" borderId="969" applyFill="0" applyProtection="0"/>
    <xf numFmtId="0" fontId="213" fillId="65" borderId="862" applyNumberFormat="0" applyAlignment="0" applyProtection="0"/>
    <xf numFmtId="0" fontId="213" fillId="65" borderId="907" applyNumberFormat="0" applyAlignment="0" applyProtection="0"/>
    <xf numFmtId="0" fontId="229" fillId="83" borderId="875" applyAlignment="0">
      <alignment horizontal="center"/>
    </xf>
    <xf numFmtId="0" fontId="8" fillId="81" borderId="1007" applyNumberFormat="0" applyFont="0" applyAlignment="0" applyProtection="0"/>
    <xf numFmtId="182" fontId="225" fillId="0" borderId="780" applyFill="0" applyProtection="0"/>
    <xf numFmtId="0" fontId="213" fillId="65" borderId="880" applyNumberFormat="0" applyAlignment="0" applyProtection="0"/>
    <xf numFmtId="0" fontId="213" fillId="65" borderId="835" applyNumberFormat="0" applyAlignment="0" applyProtection="0"/>
    <xf numFmtId="0" fontId="213" fillId="65" borderId="826" applyNumberFormat="0" applyAlignment="0" applyProtection="0"/>
    <xf numFmtId="0" fontId="213" fillId="65" borderId="916" applyNumberFormat="0" applyAlignment="0" applyProtection="0"/>
    <xf numFmtId="0" fontId="176" fillId="81" borderId="818" applyNumberFormat="0" applyFont="0" applyAlignment="0" applyProtection="0"/>
    <xf numFmtId="0" fontId="213" fillId="65" borderId="781" applyNumberFormat="0" applyAlignment="0" applyProtection="0"/>
    <xf numFmtId="0" fontId="213" fillId="65" borderId="817" applyNumberFormat="0" applyAlignment="0" applyProtection="0"/>
    <xf numFmtId="182" fontId="225" fillId="0" borderId="879" applyFill="0" applyProtection="0"/>
    <xf numFmtId="0" fontId="176" fillId="81" borderId="773" applyNumberFormat="0" applyFont="0" applyAlignment="0" applyProtection="0"/>
    <xf numFmtId="0" fontId="213" fillId="65" borderId="772" applyNumberFormat="0" applyAlignment="0" applyProtection="0"/>
    <xf numFmtId="0" fontId="153" fillId="0" borderId="779">
      <alignment horizontal="left" vertical="center"/>
    </xf>
    <xf numFmtId="0" fontId="203" fillId="81" borderId="926" applyNumberFormat="0" applyFont="0" applyAlignment="0" applyProtection="0"/>
    <xf numFmtId="0" fontId="213" fillId="65" borderId="862" applyNumberFormat="0" applyAlignment="0" applyProtection="0"/>
    <xf numFmtId="0" fontId="213" fillId="65" borderId="862" applyNumberFormat="0" applyAlignment="0" applyProtection="0"/>
    <xf numFmtId="0" fontId="203" fillId="81" borderId="773" applyNumberFormat="0" applyFont="0" applyAlignment="0" applyProtection="0"/>
    <xf numFmtId="0" fontId="213" fillId="65" borderId="907" applyNumberFormat="0" applyAlignment="0" applyProtection="0"/>
    <xf numFmtId="0" fontId="213" fillId="65" borderId="952" applyNumberFormat="0" applyAlignment="0" applyProtection="0"/>
    <xf numFmtId="182" fontId="225" fillId="0" borderId="771" applyFill="0" applyProtection="0"/>
    <xf numFmtId="0" fontId="213" fillId="65" borderId="1042" applyNumberFormat="0" applyAlignment="0" applyProtection="0"/>
    <xf numFmtId="0" fontId="203" fillId="81" borderId="728" applyNumberFormat="0" applyFont="0" applyAlignment="0" applyProtection="0"/>
    <xf numFmtId="0" fontId="213" fillId="65" borderId="1042" applyNumberFormat="0" applyAlignment="0" applyProtection="0"/>
    <xf numFmtId="0" fontId="238" fillId="59" borderId="871" applyNumberFormat="0" applyAlignment="0" applyProtection="0"/>
    <xf numFmtId="0" fontId="213" fillId="80" borderId="727" applyNumberFormat="0" applyAlignment="0" applyProtection="0"/>
    <xf numFmtId="0" fontId="203" fillId="81" borderId="1061" applyNumberFormat="0" applyFont="0" applyAlignment="0" applyProtection="0"/>
    <xf numFmtId="0" fontId="203" fillId="81" borderId="1052" applyNumberFormat="0" applyFont="0" applyAlignment="0" applyProtection="0"/>
    <xf numFmtId="0" fontId="174" fillId="0" borderId="966" applyNumberFormat="0" applyFill="0" applyAlignment="0" applyProtection="0"/>
    <xf numFmtId="0" fontId="8" fillId="81" borderId="836" applyNumberFormat="0" applyFont="0" applyAlignment="0" applyProtection="0"/>
    <xf numFmtId="0" fontId="203" fillId="81" borderId="809" applyNumberFormat="0" applyFont="0" applyAlignment="0" applyProtection="0"/>
    <xf numFmtId="0" fontId="238" fillId="59" borderId="1042" applyNumberFormat="0" applyAlignment="0" applyProtection="0"/>
    <xf numFmtId="0" fontId="203" fillId="81" borderId="953" applyNumberFormat="0" applyFont="0" applyAlignment="0" applyProtection="0"/>
    <xf numFmtId="0" fontId="213" fillId="65" borderId="727" applyNumberFormat="0" applyAlignment="0" applyProtection="0"/>
    <xf numFmtId="0" fontId="203" fillId="81" borderId="728" applyNumberFormat="0" applyFont="0" applyAlignment="0" applyProtection="0"/>
    <xf numFmtId="0" fontId="203" fillId="81" borderId="728" applyNumberFormat="0" applyFont="0" applyAlignment="0" applyProtection="0"/>
    <xf numFmtId="0" fontId="213" fillId="65" borderId="727" applyNumberFormat="0" applyAlignment="0" applyProtection="0"/>
    <xf numFmtId="0" fontId="213" fillId="65" borderId="727" applyNumberFormat="0" applyAlignment="0" applyProtection="0"/>
    <xf numFmtId="182" fontId="225" fillId="0" borderId="969" applyFill="0" applyProtection="0"/>
    <xf numFmtId="0" fontId="216" fillId="78" borderId="936" applyNumberFormat="0" applyAlignment="0" applyProtection="0"/>
    <xf numFmtId="0" fontId="203" fillId="81" borderId="926" applyNumberFormat="0" applyFont="0" applyAlignment="0" applyProtection="0"/>
    <xf numFmtId="0" fontId="153" fillId="0" borderId="923">
      <alignment horizontal="left" vertical="center"/>
    </xf>
    <xf numFmtId="182" fontId="225" fillId="0" borderId="951" applyFill="0" applyProtection="0"/>
    <xf numFmtId="0" fontId="216" fillId="78" borderId="1044" applyNumberFormat="0" applyAlignment="0" applyProtection="0"/>
    <xf numFmtId="0" fontId="203" fillId="81" borderId="1007" applyNumberFormat="0" applyFont="0" applyAlignment="0" applyProtection="0"/>
    <xf numFmtId="200" fontId="225" fillId="0" borderId="825" applyFill="0" applyProtection="0"/>
    <xf numFmtId="200" fontId="225" fillId="0" borderId="1059" applyFill="0" applyProtection="0"/>
    <xf numFmtId="0" fontId="203" fillId="81" borderId="863" applyNumberFormat="0" applyFont="0" applyAlignment="0" applyProtection="0"/>
    <xf numFmtId="0" fontId="203" fillId="81" borderId="818" applyNumberFormat="0" applyFont="0" applyAlignment="0" applyProtection="0"/>
    <xf numFmtId="200" fontId="225" fillId="0" borderId="870" applyFill="0" applyProtection="0"/>
    <xf numFmtId="0" fontId="213" fillId="80" borderId="952" applyNumberFormat="0" applyAlignment="0" applyProtection="0"/>
    <xf numFmtId="0" fontId="213" fillId="65" borderId="817" applyNumberFormat="0" applyAlignment="0" applyProtection="0"/>
    <xf numFmtId="0" fontId="213" fillId="65" borderId="727" applyNumberFormat="0" applyAlignment="0" applyProtection="0"/>
    <xf numFmtId="0" fontId="213" fillId="65" borderId="727" applyNumberFormat="0" applyAlignment="0" applyProtection="0"/>
    <xf numFmtId="0" fontId="213" fillId="65" borderId="925" applyNumberFormat="0" applyAlignment="0" applyProtection="0"/>
    <xf numFmtId="0" fontId="213" fillId="65" borderId="871" applyNumberFormat="0" applyAlignment="0" applyProtection="0"/>
    <xf numFmtId="0" fontId="203" fillId="81" borderId="908" applyNumberFormat="0" applyFont="0" applyAlignment="0" applyProtection="0"/>
    <xf numFmtId="0" fontId="216" fillId="78" borderId="882" applyNumberFormat="0" applyAlignment="0" applyProtection="0"/>
    <xf numFmtId="0" fontId="213" fillId="65" borderId="916" applyNumberFormat="0" applyAlignment="0" applyProtection="0"/>
    <xf numFmtId="0" fontId="203" fillId="81" borderId="1016" applyNumberFormat="0" applyFont="0" applyAlignment="0" applyProtection="0"/>
    <xf numFmtId="0" fontId="203" fillId="81" borderId="1061" applyNumberFormat="0" applyFont="0" applyAlignment="0" applyProtection="0"/>
    <xf numFmtId="0" fontId="203" fillId="81" borderId="1034" applyNumberFormat="0" applyFont="0" applyAlignment="0" applyProtection="0"/>
    <xf numFmtId="182" fontId="225" fillId="0" borderId="780" applyFill="0" applyProtection="0"/>
    <xf numFmtId="0" fontId="213" fillId="65" borderId="871" applyNumberFormat="0" applyAlignment="0" applyProtection="0"/>
    <xf numFmtId="0" fontId="213" fillId="65" borderId="970" applyNumberFormat="0" applyAlignment="0" applyProtection="0"/>
    <xf numFmtId="0" fontId="8" fillId="81" borderId="1034" applyNumberFormat="0" applyFont="0" applyAlignment="0" applyProtection="0"/>
    <xf numFmtId="0" fontId="213" fillId="65" borderId="817" applyNumberFormat="0" applyAlignment="0" applyProtection="0"/>
    <xf numFmtId="182" fontId="225" fillId="0" borderId="996" applyFill="0" applyProtection="0"/>
    <xf numFmtId="0" fontId="176" fillId="81" borderId="1052" applyNumberFormat="0" applyFont="0" applyAlignment="0" applyProtection="0"/>
    <xf numFmtId="182" fontId="225" fillId="0" borderId="960" applyFill="0" applyProtection="0"/>
    <xf numFmtId="0" fontId="213" fillId="65" borderId="997" applyNumberFormat="0" applyAlignment="0" applyProtection="0"/>
    <xf numFmtId="200" fontId="225" fillId="0" borderId="861" applyFill="0" applyProtection="0"/>
    <xf numFmtId="0" fontId="213" fillId="65" borderId="916" applyNumberFormat="0" applyAlignment="0" applyProtection="0"/>
    <xf numFmtId="200" fontId="225" fillId="0" borderId="960" applyFill="0" applyProtection="0"/>
    <xf numFmtId="0" fontId="213" fillId="65" borderId="952" applyNumberFormat="0" applyAlignment="0" applyProtection="0"/>
    <xf numFmtId="0" fontId="213" fillId="65" borderId="862" applyNumberFormat="0" applyAlignment="0" applyProtection="0"/>
    <xf numFmtId="0" fontId="174" fillId="0" borderId="793" applyNumberFormat="0" applyFill="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54" fillId="80" borderId="790" applyNumberFormat="0" applyAlignment="0" applyProtection="0"/>
    <xf numFmtId="0" fontId="176" fillId="81" borderId="953" applyNumberFormat="0" applyFont="0" applyAlignment="0" applyProtection="0"/>
    <xf numFmtId="0" fontId="8" fillId="81" borderId="791" applyNumberFormat="0" applyFont="0" applyAlignment="0" applyProtection="0"/>
    <xf numFmtId="0" fontId="216" fillId="78" borderId="792" applyNumberFormat="0" applyAlignment="0" applyProtection="0"/>
    <xf numFmtId="0" fontId="203" fillId="81" borderId="998" applyNumberFormat="0" applyFont="0" applyAlignment="0" applyProtection="0"/>
    <xf numFmtId="182" fontId="225" fillId="0" borderId="1050" applyFill="0" applyProtection="0"/>
    <xf numFmtId="182" fontId="225" fillId="0" borderId="789" applyFill="0" applyProtection="0"/>
    <xf numFmtId="200" fontId="225" fillId="0" borderId="726" applyFill="0" applyProtection="0"/>
    <xf numFmtId="182" fontId="225" fillId="0" borderId="870" applyFill="0" applyProtection="0"/>
    <xf numFmtId="182" fontId="225" fillId="0" borderId="726" applyFill="0" applyProtection="0"/>
    <xf numFmtId="0" fontId="213" fillId="65" borderId="916" applyNumberFormat="0" applyAlignment="0" applyProtection="0"/>
    <xf numFmtId="0" fontId="213" fillId="65" borderId="790" applyNumberFormat="0" applyAlignment="0" applyProtection="0"/>
    <xf numFmtId="200" fontId="225" fillId="0" borderId="726" applyFill="0" applyProtection="0"/>
    <xf numFmtId="0" fontId="249" fillId="59" borderId="952" applyNumberFormat="0" applyAlignment="0" applyProtection="0"/>
    <xf numFmtId="0" fontId="213" fillId="65" borderId="997" applyNumberFormat="0" applyAlignment="0" applyProtection="0"/>
    <xf numFmtId="0" fontId="203" fillId="81" borderId="854" applyNumberFormat="0" applyFont="0" applyAlignment="0" applyProtection="0"/>
    <xf numFmtId="0" fontId="178" fillId="0" borderId="967" applyProtection="0"/>
    <xf numFmtId="0" fontId="213" fillId="65" borderId="862" applyNumberFormat="0" applyAlignment="0" applyProtection="0"/>
    <xf numFmtId="0" fontId="203" fillId="81" borderId="791" applyNumberFormat="0" applyFont="0" applyAlignment="0" applyProtection="0"/>
    <xf numFmtId="182" fontId="225" fillId="0" borderId="789" applyFill="0" applyProtection="0"/>
    <xf numFmtId="0" fontId="203" fillId="81" borderId="836" applyNumberFormat="0" applyFont="0" applyAlignment="0" applyProtection="0"/>
    <xf numFmtId="0" fontId="229" fillId="83" borderId="839" applyAlignment="0">
      <alignment horizontal="center"/>
    </xf>
    <xf numFmtId="0" fontId="176" fillId="81" borderId="881" applyNumberFormat="0" applyFont="0" applyAlignment="0" applyProtection="0"/>
    <xf numFmtId="0" fontId="203" fillId="81" borderId="836" applyNumberFormat="0" applyFont="0" applyAlignment="0" applyProtection="0"/>
    <xf numFmtId="0" fontId="203" fillId="81" borderId="1052" applyNumberFormat="0" applyFont="0" applyAlignment="0" applyProtection="0"/>
    <xf numFmtId="0" fontId="213" fillId="65" borderId="817"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213" fillId="65" borderId="691" applyNumberFormat="0" applyAlignment="0" applyProtection="0"/>
    <xf numFmtId="0" fontId="153" fillId="0" borderId="770">
      <alignment horizontal="left" vertical="center"/>
    </xf>
    <xf numFmtId="0" fontId="203" fillId="81" borderId="926" applyNumberFormat="0" applyFont="0" applyAlignment="0" applyProtection="0"/>
    <xf numFmtId="0" fontId="216" fillId="59" borderId="918" applyNumberFormat="0" applyAlignment="0" applyProtection="0"/>
    <xf numFmtId="0" fontId="238" fillId="59" borderId="1042" applyNumberFormat="0" applyAlignment="0" applyProtection="0"/>
    <xf numFmtId="0" fontId="238" fillId="59" borderId="727" applyNumberFormat="0" applyAlignment="0" applyProtection="0"/>
    <xf numFmtId="0" fontId="213" fillId="65" borderId="736" applyNumberFormat="0" applyAlignment="0" applyProtection="0"/>
    <xf numFmtId="0" fontId="206" fillId="78" borderId="727" applyNumberFormat="0" applyAlignment="0" applyProtection="0"/>
    <xf numFmtId="182" fontId="225" fillId="0" borderId="924" applyFill="0" applyProtection="0"/>
    <xf numFmtId="0" fontId="153" fillId="0" borderId="860">
      <alignment horizontal="left" vertical="center"/>
    </xf>
    <xf numFmtId="0" fontId="174" fillId="0" borderId="955" applyNumberFormat="0" applyFill="0" applyAlignment="0" applyProtection="0"/>
    <xf numFmtId="200" fontId="225" fillId="0" borderId="1041" applyFill="0" applyProtection="0"/>
    <xf numFmtId="0" fontId="229" fillId="83" borderId="785" applyAlignment="0">
      <alignment horizontal="center"/>
    </xf>
    <xf numFmtId="0" fontId="176" fillId="81" borderId="1007" applyNumberFormat="0" applyFont="0" applyAlignment="0" applyProtection="0"/>
    <xf numFmtId="0" fontId="213" fillId="65" borderId="727" applyNumberFormat="0" applyAlignment="0" applyProtection="0"/>
    <xf numFmtId="0" fontId="203" fillId="81" borderId="908" applyNumberFormat="0" applyFont="0" applyAlignment="0" applyProtection="0"/>
    <xf numFmtId="0" fontId="238" fillId="59" borderId="907" applyNumberFormat="0" applyAlignment="0" applyProtection="0"/>
    <xf numFmtId="0" fontId="213" fillId="65" borderId="907" applyNumberFormat="0" applyAlignment="0" applyProtection="0"/>
    <xf numFmtId="0" fontId="174" fillId="0" borderId="885" applyNumberFormat="0" applyFill="0" applyAlignment="0" applyProtection="0"/>
    <xf numFmtId="0" fontId="203" fillId="81" borderId="773" applyNumberFormat="0" applyFont="0" applyAlignment="0" applyProtection="0"/>
    <xf numFmtId="0" fontId="213" fillId="65" borderId="772" applyNumberFormat="0" applyAlignment="0" applyProtection="0"/>
    <xf numFmtId="0" fontId="203" fillId="81" borderId="1043" applyNumberFormat="0" applyFont="0" applyAlignment="0" applyProtection="0"/>
    <xf numFmtId="0" fontId="213" fillId="65" borderId="1060" applyNumberFormat="0" applyAlignment="0" applyProtection="0"/>
    <xf numFmtId="0" fontId="203" fillId="81" borderId="908" applyNumberFormat="0" applyFont="0" applyAlignment="0" applyProtection="0"/>
    <xf numFmtId="0" fontId="176" fillId="81" borderId="728" applyNumberFormat="0" applyFont="0" applyAlignment="0" applyProtection="0"/>
    <xf numFmtId="0" fontId="216" fillId="59" borderId="1026" applyNumberFormat="0" applyAlignment="0" applyProtection="0"/>
    <xf numFmtId="0" fontId="213" fillId="65" borderId="862" applyNumberFormat="0" applyAlignment="0" applyProtection="0"/>
    <xf numFmtId="0" fontId="216" fillId="78" borderId="828" applyNumberFormat="0" applyAlignment="0" applyProtection="0"/>
    <xf numFmtId="0" fontId="229" fillId="83" borderId="732" applyAlignment="0">
      <alignment horizontal="center"/>
    </xf>
    <xf numFmtId="200" fontId="225" fillId="0" borderId="996" applyFill="0" applyProtection="0"/>
    <xf numFmtId="0" fontId="203" fillId="81" borderId="872" applyNumberFormat="0" applyFont="0" applyAlignment="0" applyProtection="0"/>
    <xf numFmtId="0" fontId="213" fillId="65" borderId="1042" applyNumberFormat="0" applyAlignment="0" applyProtection="0"/>
    <xf numFmtId="200" fontId="225" fillId="0" borderId="771" applyFill="0" applyProtection="0"/>
    <xf numFmtId="0" fontId="249" fillId="59" borderId="772" applyNumberFormat="0" applyAlignment="0" applyProtection="0"/>
    <xf numFmtId="0" fontId="213" fillId="65" borderId="826" applyNumberFormat="0" applyAlignment="0" applyProtection="0"/>
    <xf numFmtId="0" fontId="213" fillId="65" borderId="817" applyNumberFormat="0" applyAlignment="0" applyProtection="0"/>
    <xf numFmtId="0" fontId="203" fillId="81" borderId="962" applyNumberFormat="0" applyFont="0" applyAlignment="0" applyProtection="0"/>
    <xf numFmtId="0" fontId="153" fillId="0" borderId="725">
      <alignment horizontal="left" vertical="center"/>
    </xf>
    <xf numFmtId="0" fontId="238" fillId="59" borderId="925" applyNumberFormat="0" applyAlignment="0" applyProtection="0"/>
    <xf numFmtId="0" fontId="213" fillId="65" borderId="1006" applyNumberFormat="0" applyAlignment="0" applyProtection="0"/>
    <xf numFmtId="0" fontId="213" fillId="65" borderId="862" applyNumberFormat="0" applyAlignment="0" applyProtection="0"/>
    <xf numFmtId="200" fontId="225" fillId="0" borderId="879" applyFill="0" applyProtection="0"/>
    <xf numFmtId="0" fontId="254" fillId="80" borderId="871" applyNumberFormat="0" applyAlignment="0" applyProtection="0"/>
    <xf numFmtId="0" fontId="176" fillId="81" borderId="998" applyNumberFormat="0" applyFont="0" applyAlignment="0" applyProtection="0"/>
    <xf numFmtId="0" fontId="213" fillId="65" borderId="736" applyNumberFormat="0" applyAlignment="0" applyProtection="0"/>
    <xf numFmtId="0" fontId="203" fillId="81" borderId="863" applyNumberFormat="0" applyFont="0" applyAlignment="0" applyProtection="0"/>
    <xf numFmtId="200" fontId="225" fillId="0" borderId="834" applyFill="0" applyProtection="0"/>
    <xf numFmtId="0" fontId="213" fillId="65" borderId="772" applyNumberFormat="0" applyAlignment="0" applyProtection="0"/>
    <xf numFmtId="0" fontId="153" fillId="0" borderId="1013">
      <alignment horizontal="left" vertical="center"/>
    </xf>
    <xf numFmtId="0" fontId="213" fillId="65" borderId="880" applyNumberFormat="0" applyAlignment="0" applyProtection="0"/>
    <xf numFmtId="0" fontId="203" fillId="81" borderId="926" applyNumberFormat="0" applyFont="0" applyAlignment="0" applyProtection="0"/>
    <xf numFmtId="0" fontId="206" fillId="78" borderId="691" applyNumberFormat="0" applyAlignment="0" applyProtection="0"/>
    <xf numFmtId="0" fontId="238" fillId="59" borderId="691" applyNumberFormat="0" applyAlignment="0" applyProtection="0"/>
    <xf numFmtId="0" fontId="213" fillId="80" borderId="691" applyNumberFormat="0" applyAlignment="0" applyProtection="0"/>
    <xf numFmtId="0" fontId="213" fillId="80" borderId="691" applyNumberFormat="0" applyAlignment="0" applyProtection="0"/>
    <xf numFmtId="0" fontId="213" fillId="65" borderId="781" applyNumberFormat="0" applyAlignment="0" applyProtection="0"/>
    <xf numFmtId="0" fontId="213" fillId="65" borderId="907" applyNumberFormat="0" applyAlignment="0" applyProtection="0"/>
    <xf numFmtId="0" fontId="213" fillId="65" borderId="880" applyNumberFormat="0" applyAlignment="0" applyProtection="0"/>
    <xf numFmtId="0" fontId="213" fillId="65" borderId="817" applyNumberFormat="0" applyAlignment="0" applyProtection="0"/>
    <xf numFmtId="0" fontId="254" fillId="80" borderId="1060" applyNumberFormat="0" applyAlignment="0" applyProtection="0"/>
    <xf numFmtId="0" fontId="213" fillId="65" borderId="952" applyNumberFormat="0" applyAlignment="0" applyProtection="0"/>
    <xf numFmtId="0" fontId="203" fillId="81" borderId="854" applyNumberFormat="0" applyFont="0" applyAlignment="0" applyProtection="0"/>
    <xf numFmtId="182" fontId="225" fillId="0" borderId="996" applyFill="0" applyProtection="0"/>
    <xf numFmtId="0" fontId="213" fillId="80" borderId="817" applyNumberFormat="0" applyAlignment="0" applyProtection="0"/>
    <xf numFmtId="0" fontId="213" fillId="65" borderId="1015" applyNumberFormat="0" applyAlignment="0" applyProtection="0"/>
    <xf numFmtId="200" fontId="225" fillId="0" borderId="870" applyFill="0" applyProtection="0"/>
    <xf numFmtId="182" fontId="225" fillId="0" borderId="816" applyFill="0" applyProtection="0"/>
    <xf numFmtId="0" fontId="213" fillId="65" borderId="727" applyNumberFormat="0" applyAlignment="0" applyProtection="0"/>
    <xf numFmtId="0" fontId="213" fillId="65" borderId="997" applyNumberFormat="0" applyAlignment="0" applyProtection="0"/>
    <xf numFmtId="0" fontId="213" fillId="65" borderId="817" applyNumberFormat="0" applyAlignment="0" applyProtection="0"/>
    <xf numFmtId="0" fontId="203" fillId="81" borderId="1061" applyNumberFormat="0" applyFont="0" applyAlignment="0" applyProtection="0"/>
    <xf numFmtId="0" fontId="216" fillId="78" borderId="1017" applyNumberFormat="0" applyAlignment="0" applyProtection="0"/>
    <xf numFmtId="0" fontId="153" fillId="0" borderId="770">
      <alignment horizontal="left" vertical="center"/>
    </xf>
    <xf numFmtId="0" fontId="203" fillId="81" borderId="944" applyNumberFormat="0" applyFont="0" applyAlignment="0" applyProtection="0"/>
    <xf numFmtId="0" fontId="213" fillId="65" borderId="862" applyNumberFormat="0" applyAlignment="0" applyProtection="0"/>
    <xf numFmtId="0" fontId="213" fillId="65" borderId="1051" applyNumberFormat="0" applyAlignment="0" applyProtection="0"/>
    <xf numFmtId="0" fontId="213" fillId="65" borderId="727" applyNumberFormat="0" applyAlignment="0" applyProtection="0"/>
    <xf numFmtId="0" fontId="213" fillId="65" borderId="907" applyNumberFormat="0" applyAlignment="0" applyProtection="0"/>
    <xf numFmtId="0" fontId="203" fillId="81" borderId="881" applyNumberFormat="0" applyFont="0" applyAlignment="0" applyProtection="0"/>
    <xf numFmtId="0" fontId="213" fillId="80" borderId="772" applyNumberFormat="0" applyAlignment="0" applyProtection="0"/>
    <xf numFmtId="0" fontId="213" fillId="65" borderId="862" applyNumberFormat="0" applyAlignment="0" applyProtection="0"/>
    <xf numFmtId="0" fontId="213" fillId="65" borderId="871" applyNumberFormat="0" applyAlignment="0" applyProtection="0"/>
    <xf numFmtId="0" fontId="213" fillId="65" borderId="880" applyNumberFormat="0" applyAlignment="0" applyProtection="0"/>
    <xf numFmtId="200" fontId="225" fillId="0" borderId="771" applyFill="0" applyProtection="0"/>
    <xf numFmtId="0" fontId="203" fillId="81" borderId="773" applyNumberFormat="0" applyFont="0" applyAlignment="0" applyProtection="0"/>
    <xf numFmtId="0" fontId="216" fillId="59" borderId="891" applyNumberFormat="0" applyAlignment="0" applyProtection="0"/>
    <xf numFmtId="182" fontId="225" fillId="0" borderId="951" applyFill="0" applyProtection="0"/>
    <xf numFmtId="0" fontId="213" fillId="65" borderId="880" applyNumberFormat="0" applyAlignment="0" applyProtection="0"/>
    <xf numFmtId="0" fontId="213" fillId="65" borderId="835" applyNumberFormat="0" applyAlignment="0" applyProtection="0"/>
    <xf numFmtId="0" fontId="213" fillId="80" borderId="961" applyNumberFormat="0" applyAlignment="0" applyProtection="0"/>
    <xf numFmtId="0" fontId="203" fillId="81" borderId="773" applyNumberFormat="0" applyFont="0" applyAlignment="0" applyProtection="0"/>
    <xf numFmtId="200" fontId="225" fillId="0" borderId="726" applyFill="0" applyProtection="0"/>
    <xf numFmtId="0" fontId="213" fillId="65" borderId="871" applyNumberFormat="0" applyAlignment="0" applyProtection="0"/>
    <xf numFmtId="0" fontId="203" fillId="81" borderId="818" applyNumberFormat="0" applyFont="0" applyAlignment="0" applyProtection="0"/>
    <xf numFmtId="0" fontId="213" fillId="65" borderId="781" applyNumberFormat="0" applyAlignment="0" applyProtection="0"/>
    <xf numFmtId="0" fontId="216" fillId="78" borderId="1053" applyNumberFormat="0" applyAlignment="0" applyProtection="0"/>
    <xf numFmtId="0" fontId="8" fillId="81" borderId="854" applyNumberFormat="0" applyFont="0" applyAlignment="0" applyProtection="0"/>
    <xf numFmtId="0" fontId="153" fillId="0" borderId="779">
      <alignment horizontal="left" vertical="center"/>
    </xf>
    <xf numFmtId="200" fontId="225" fillId="0" borderId="735" applyFill="0" applyProtection="0"/>
    <xf numFmtId="0" fontId="216" fillId="78" borderId="963" applyNumberFormat="0" applyAlignment="0" applyProtection="0"/>
    <xf numFmtId="0" fontId="213" fillId="65" borderId="925" applyNumberFormat="0" applyAlignment="0" applyProtection="0"/>
    <xf numFmtId="0" fontId="176" fillId="81" borderId="971" applyNumberFormat="0" applyFont="0" applyAlignment="0" applyProtection="0"/>
    <xf numFmtId="0" fontId="213" fillId="65" borderId="772" applyNumberFormat="0" applyAlignment="0" applyProtection="0"/>
    <xf numFmtId="0" fontId="213" fillId="65" borderId="997" applyNumberFormat="0" applyAlignment="0" applyProtection="0"/>
    <xf numFmtId="0" fontId="8" fillId="81" borderId="737" applyNumberFormat="0" applyFont="0" applyAlignment="0" applyProtection="0"/>
    <xf numFmtId="0" fontId="203" fillId="81" borderId="908" applyNumberFormat="0" applyFont="0" applyAlignment="0" applyProtection="0"/>
    <xf numFmtId="0" fontId="213" fillId="65" borderId="952" applyNumberFormat="0" applyAlignment="0" applyProtection="0"/>
    <xf numFmtId="0" fontId="213" fillId="65" borderId="871" applyNumberFormat="0" applyAlignment="0" applyProtection="0"/>
    <xf numFmtId="0" fontId="8" fillId="81" borderId="926" applyNumberFormat="0" applyFont="0" applyAlignment="0" applyProtection="0"/>
    <xf numFmtId="0" fontId="213" fillId="65" borderId="997" applyNumberFormat="0" applyAlignment="0" applyProtection="0"/>
    <xf numFmtId="0" fontId="203" fillId="81" borderId="926" applyNumberFormat="0" applyFont="0" applyAlignment="0" applyProtection="0"/>
    <xf numFmtId="0" fontId="213" fillId="65" borderId="1006" applyNumberFormat="0" applyAlignment="0" applyProtection="0"/>
    <xf numFmtId="0" fontId="203" fillId="81" borderId="728" applyNumberFormat="0" applyFont="0" applyAlignment="0" applyProtection="0"/>
    <xf numFmtId="0" fontId="249" fillId="59" borderId="871" applyNumberFormat="0" applyAlignment="0" applyProtection="0"/>
    <xf numFmtId="0" fontId="229" fillId="83" borderId="830" applyAlignment="0">
      <alignment horizontal="center"/>
    </xf>
    <xf numFmtId="0" fontId="213" fillId="80" borderId="727" applyNumberFormat="0" applyAlignment="0" applyProtection="0"/>
    <xf numFmtId="0" fontId="213" fillId="65" borderId="952" applyNumberFormat="0" applyAlignment="0" applyProtection="0"/>
    <xf numFmtId="0" fontId="203" fillId="81" borderId="782" applyNumberFormat="0" applyFont="0" applyAlignment="0" applyProtection="0"/>
    <xf numFmtId="0" fontId="213" fillId="65" borderId="907" applyNumberFormat="0" applyAlignment="0" applyProtection="0"/>
    <xf numFmtId="0" fontId="174" fillId="0" borderId="776" applyNumberFormat="0" applyFill="0" applyAlignment="0" applyProtection="0"/>
    <xf numFmtId="0" fontId="213" fillId="65" borderId="727" applyNumberFormat="0" applyAlignment="0" applyProtection="0"/>
    <xf numFmtId="0" fontId="213" fillId="65" borderId="907" applyNumberFormat="0" applyAlignment="0" applyProtection="0"/>
    <xf numFmtId="0" fontId="203" fillId="81" borderId="1007" applyNumberFormat="0" applyFont="0" applyAlignment="0" applyProtection="0"/>
    <xf numFmtId="0" fontId="203" fillId="81" borderId="989" applyNumberFormat="0" applyFont="0" applyAlignment="0" applyProtection="0"/>
    <xf numFmtId="0" fontId="229" fillId="83" borderId="875" applyAlignment="0">
      <alignment horizontal="center"/>
    </xf>
    <xf numFmtId="0" fontId="213" fillId="65" borderId="961" applyNumberFormat="0" applyAlignment="0" applyProtection="0"/>
    <xf numFmtId="0" fontId="203" fillId="81" borderId="998" applyNumberFormat="0" applyFont="0" applyAlignment="0" applyProtection="0"/>
    <xf numFmtId="0" fontId="229" fillId="83" borderId="830" applyAlignment="0">
      <alignment horizontal="center"/>
    </xf>
    <xf numFmtId="0" fontId="178" fillId="0" borderId="787" applyProtection="0"/>
    <xf numFmtId="0" fontId="203" fillId="81" borderId="836" applyNumberFormat="0" applyFont="0" applyAlignment="0" applyProtection="0"/>
    <xf numFmtId="0" fontId="213" fillId="65" borderId="1015" applyNumberFormat="0" applyAlignment="0" applyProtection="0"/>
    <xf numFmtId="0" fontId="213" fillId="65" borderId="736" applyNumberFormat="0" applyAlignment="0" applyProtection="0"/>
    <xf numFmtId="0" fontId="213" fillId="65" borderId="862" applyNumberFormat="0" applyAlignment="0" applyProtection="0"/>
    <xf numFmtId="0" fontId="213" fillId="65" borderId="772" applyNumberFormat="0" applyAlignment="0" applyProtection="0"/>
    <xf numFmtId="0" fontId="229" fillId="83" borderId="957" applyAlignment="0">
      <alignment horizontal="center"/>
    </xf>
    <xf numFmtId="0" fontId="203" fillId="81" borderId="1061" applyNumberFormat="0" applyFont="0" applyAlignment="0" applyProtection="0"/>
    <xf numFmtId="0" fontId="249" fillId="59" borderId="997" applyNumberFormat="0" applyAlignment="0" applyProtection="0"/>
    <xf numFmtId="0" fontId="213" fillId="65" borderId="772" applyNumberFormat="0" applyAlignment="0" applyProtection="0"/>
    <xf numFmtId="0" fontId="203" fillId="81" borderId="818" applyNumberFormat="0" applyFont="0" applyAlignment="0" applyProtection="0"/>
    <xf numFmtId="0" fontId="203" fillId="81" borderId="917" applyNumberFormat="0" applyFont="0" applyAlignment="0" applyProtection="0"/>
    <xf numFmtId="0" fontId="203" fillId="81" borderId="1043" applyNumberFormat="0" applyFont="0" applyAlignment="0" applyProtection="0"/>
    <xf numFmtId="0" fontId="203" fillId="81" borderId="971" applyNumberFormat="0" applyFont="0" applyAlignment="0" applyProtection="0"/>
    <xf numFmtId="0" fontId="213" fillId="80" borderId="862" applyNumberFormat="0" applyAlignment="0" applyProtection="0"/>
    <xf numFmtId="0" fontId="203" fillId="81" borderId="908" applyNumberFormat="0" applyFont="0" applyAlignment="0" applyProtection="0"/>
    <xf numFmtId="182" fontId="225" fillId="0" borderId="816" applyFill="0" applyProtection="0"/>
    <xf numFmtId="0" fontId="203" fillId="81" borderId="926" applyNumberFormat="0" applyFont="0" applyAlignment="0" applyProtection="0"/>
    <xf numFmtId="0" fontId="238" fillId="59" borderId="952" applyNumberFormat="0" applyAlignment="0" applyProtection="0"/>
    <xf numFmtId="0" fontId="216" fillId="78" borderId="918" applyNumberFormat="0" applyAlignment="0" applyProtection="0"/>
    <xf numFmtId="182" fontId="225" fillId="0" borderId="825" applyFill="0" applyProtection="0"/>
    <xf numFmtId="0" fontId="206" fillId="78" borderId="862" applyNumberFormat="0" applyAlignment="0" applyProtection="0"/>
    <xf numFmtId="0" fontId="203" fillId="81" borderId="1052" applyNumberFormat="0" applyFont="0" applyAlignment="0" applyProtection="0"/>
    <xf numFmtId="0" fontId="213" fillId="65" borderId="1042" applyNumberFormat="0" applyAlignment="0" applyProtection="0"/>
    <xf numFmtId="0" fontId="213" fillId="65" borderId="727" applyNumberFormat="0" applyAlignment="0" applyProtection="0"/>
    <xf numFmtId="0" fontId="213" fillId="65" borderId="907" applyNumberFormat="0" applyAlignment="0" applyProtection="0"/>
    <xf numFmtId="0" fontId="203" fillId="81" borderId="908" applyNumberFormat="0" applyFont="0" applyAlignment="0" applyProtection="0"/>
    <xf numFmtId="0" fontId="174" fillId="0" borderId="741" applyNumberFormat="0" applyFill="0" applyAlignment="0" applyProtection="0"/>
    <xf numFmtId="0" fontId="203" fillId="81" borderId="908" applyNumberFormat="0" applyFont="0" applyAlignment="0" applyProtection="0"/>
    <xf numFmtId="0" fontId="203" fillId="81" borderId="1043" applyNumberFormat="0" applyFont="0" applyAlignment="0" applyProtection="0"/>
    <xf numFmtId="0" fontId="213" fillId="65" borderId="1060" applyNumberFormat="0" applyAlignment="0" applyProtection="0"/>
    <xf numFmtId="0" fontId="203" fillId="81" borderId="971" applyNumberFormat="0" applyFont="0" applyAlignment="0" applyProtection="0"/>
    <xf numFmtId="0" fontId="213" fillId="65" borderId="1051" applyNumberFormat="0" applyAlignment="0" applyProtection="0"/>
    <xf numFmtId="0" fontId="238" fillId="59" borderId="952" applyNumberFormat="0" applyAlignment="0" applyProtection="0"/>
    <xf numFmtId="0" fontId="213" fillId="65" borderId="907" applyNumberFormat="0" applyAlignment="0" applyProtection="0"/>
    <xf numFmtId="0" fontId="176" fillId="81" borderId="953" applyNumberFormat="0" applyFont="0" applyAlignment="0" applyProtection="0"/>
    <xf numFmtId="0" fontId="238" fillId="59" borderId="817" applyNumberFormat="0" applyAlignment="0" applyProtection="0"/>
    <xf numFmtId="182" fontId="225" fillId="0" borderId="1041" applyFill="0" applyProtection="0"/>
    <xf numFmtId="0" fontId="203" fillId="81" borderId="962" applyNumberFormat="0" applyFont="0" applyAlignment="0" applyProtection="0"/>
    <xf numFmtId="0" fontId="213" fillId="65" borderId="772" applyNumberFormat="0" applyAlignment="0" applyProtection="0"/>
    <xf numFmtId="0" fontId="203" fillId="81" borderId="872" applyNumberFormat="0" applyFont="0" applyAlignment="0" applyProtection="0"/>
    <xf numFmtId="0" fontId="203" fillId="81" borderId="908" applyNumberFormat="0" applyFont="0" applyAlignment="0" applyProtection="0"/>
    <xf numFmtId="0" fontId="213" fillId="80" borderId="1042" applyNumberFormat="0" applyAlignment="0" applyProtection="0"/>
    <xf numFmtId="0" fontId="213" fillId="65" borderId="997" applyNumberFormat="0" applyAlignment="0" applyProtection="0"/>
    <xf numFmtId="0" fontId="213" fillId="65" borderId="1060" applyNumberFormat="0" applyAlignment="0" applyProtection="0"/>
    <xf numFmtId="0" fontId="176" fillId="81" borderId="791" applyNumberFormat="0" applyFont="0" applyAlignment="0" applyProtection="0"/>
    <xf numFmtId="0" fontId="213" fillId="65" borderId="952" applyNumberFormat="0" applyAlignment="0" applyProtection="0"/>
    <xf numFmtId="0" fontId="213" fillId="65" borderId="871" applyNumberFormat="0" applyAlignment="0" applyProtection="0"/>
    <xf numFmtId="0" fontId="213" fillId="65" borderId="790" applyNumberFormat="0" applyAlignment="0" applyProtection="0"/>
    <xf numFmtId="0" fontId="203" fillId="81" borderId="836" applyNumberFormat="0" applyFont="0" applyAlignment="0" applyProtection="0"/>
    <xf numFmtId="0" fontId="213" fillId="65" borderId="1042" applyNumberFormat="0" applyAlignment="0" applyProtection="0"/>
    <xf numFmtId="0" fontId="213" fillId="65" borderId="1042" applyNumberFormat="0" applyAlignment="0" applyProtection="0"/>
    <xf numFmtId="0" fontId="203" fillId="81" borderId="1007" applyNumberFormat="0" applyFont="0" applyAlignment="0" applyProtection="0"/>
    <xf numFmtId="0" fontId="229" fillId="83" borderId="732" applyAlignment="0">
      <alignment horizontal="center"/>
    </xf>
    <xf numFmtId="0" fontId="153" fillId="0" borderId="878">
      <alignment horizontal="left" vertical="center"/>
    </xf>
    <xf numFmtId="0" fontId="203" fillId="81" borderId="998" applyNumberFormat="0" applyFont="0" applyAlignment="0" applyProtection="0"/>
    <xf numFmtId="0" fontId="203" fillId="81" borderId="809" applyNumberFormat="0" applyFont="0" applyAlignment="0" applyProtection="0"/>
    <xf numFmtId="0" fontId="203" fillId="81" borderId="728" applyNumberFormat="0" applyFont="0" applyAlignment="0" applyProtection="0"/>
    <xf numFmtId="0" fontId="213" fillId="65" borderId="871" applyNumberFormat="0" applyAlignment="0" applyProtection="0"/>
    <xf numFmtId="0" fontId="213" fillId="80" borderId="862" applyNumberFormat="0" applyAlignment="0" applyProtection="0"/>
    <xf numFmtId="0" fontId="213" fillId="65" borderId="817" applyNumberFormat="0" applyAlignment="0" applyProtection="0"/>
    <xf numFmtId="0" fontId="213" fillId="80" borderId="1051" applyNumberFormat="0" applyAlignment="0" applyProtection="0"/>
    <xf numFmtId="0" fontId="249" fillId="59" borderId="916" applyNumberFormat="0" applyAlignment="0" applyProtection="0"/>
    <xf numFmtId="0" fontId="213" fillId="65" borderId="736" applyNumberFormat="0" applyAlignment="0" applyProtection="0"/>
    <xf numFmtId="0" fontId="244" fillId="0" borderId="1059" applyNumberFormat="0" applyFont="0" applyFill="0" applyAlignment="0" applyProtection="0"/>
    <xf numFmtId="0" fontId="213" fillId="65" borderId="1042" applyNumberFormat="0" applyAlignment="0" applyProtection="0"/>
    <xf numFmtId="0" fontId="153" fillId="0" borderId="770">
      <alignment horizontal="left" vertical="center"/>
    </xf>
    <xf numFmtId="0" fontId="216" fillId="78" borderId="927" applyNumberFormat="0" applyAlignment="0" applyProtection="0"/>
    <xf numFmtId="0" fontId="213" fillId="65" borderId="997" applyNumberFormat="0" applyAlignment="0" applyProtection="0"/>
    <xf numFmtId="0" fontId="203" fillId="81" borderId="773" applyNumberFormat="0" applyFont="0" applyAlignment="0" applyProtection="0"/>
    <xf numFmtId="0" fontId="213" fillId="65" borderId="862" applyNumberFormat="0" applyAlignment="0" applyProtection="0"/>
    <xf numFmtId="0" fontId="8" fillId="81" borderId="872" applyNumberFormat="0" applyFont="0" applyAlignment="0" applyProtection="0"/>
    <xf numFmtId="0" fontId="213" fillId="65" borderId="772" applyNumberFormat="0" applyAlignment="0" applyProtection="0"/>
    <xf numFmtId="0" fontId="213" fillId="65" borderId="997" applyNumberFormat="0" applyAlignment="0" applyProtection="0"/>
    <xf numFmtId="0" fontId="213" fillId="80" borderId="907" applyNumberFormat="0" applyAlignment="0" applyProtection="0"/>
    <xf numFmtId="0" fontId="216" fillId="78" borderId="738" applyNumberFormat="0" applyAlignment="0" applyProtection="0"/>
    <xf numFmtId="0" fontId="203" fillId="81" borderId="881" applyNumberFormat="0" applyFont="0" applyAlignment="0" applyProtection="0"/>
    <xf numFmtId="0" fontId="213" fillId="65" borderId="961" applyNumberFormat="0" applyAlignment="0" applyProtection="0"/>
    <xf numFmtId="0" fontId="213" fillId="65" borderId="736" applyNumberFormat="0" applyAlignment="0" applyProtection="0"/>
    <xf numFmtId="0" fontId="216" fillId="78" borderId="828" applyNumberFormat="0" applyAlignment="0" applyProtection="0"/>
    <xf numFmtId="0" fontId="203" fillId="81" borderId="926" applyNumberFormat="0" applyFont="0" applyAlignment="0" applyProtection="0"/>
    <xf numFmtId="0" fontId="213" fillId="65" borderId="826" applyNumberFormat="0" applyAlignment="0" applyProtection="0"/>
    <xf numFmtId="0" fontId="213" fillId="65" borderId="952" applyNumberFormat="0" applyAlignment="0" applyProtection="0"/>
    <xf numFmtId="0" fontId="176" fillId="81" borderId="863" applyNumberFormat="0" applyFont="0" applyAlignment="0" applyProtection="0"/>
    <xf numFmtId="0" fontId="213" fillId="65" borderId="871" applyNumberFormat="0" applyAlignment="0" applyProtection="0"/>
    <xf numFmtId="0" fontId="213" fillId="65" borderId="952" applyNumberFormat="0" applyAlignment="0" applyProtection="0"/>
    <xf numFmtId="0" fontId="213" fillId="65" borderId="1051" applyNumberFormat="0" applyAlignment="0" applyProtection="0"/>
    <xf numFmtId="0" fontId="213" fillId="65" borderId="862" applyNumberFormat="0" applyAlignment="0" applyProtection="0"/>
    <xf numFmtId="0" fontId="203" fillId="81" borderId="728" applyNumberFormat="0" applyFont="0" applyAlignment="0" applyProtection="0"/>
    <xf numFmtId="0" fontId="213" fillId="65" borderId="862" applyNumberFormat="0" applyAlignment="0" applyProtection="0"/>
    <xf numFmtId="0" fontId="213" fillId="80" borderId="817" applyNumberFormat="0" applyAlignment="0" applyProtection="0"/>
    <xf numFmtId="0" fontId="213" fillId="80" borderId="871" applyNumberFormat="0" applyAlignment="0" applyProtection="0"/>
    <xf numFmtId="0" fontId="213" fillId="65" borderId="772" applyNumberFormat="0" applyAlignment="0" applyProtection="0"/>
    <xf numFmtId="0" fontId="153" fillId="0" borderId="1004">
      <alignment horizontal="left" vertical="center"/>
    </xf>
    <xf numFmtId="0" fontId="174" fillId="0" borderId="1056" applyNumberFormat="0" applyFill="0" applyAlignment="0" applyProtection="0"/>
    <xf numFmtId="0" fontId="153" fillId="0" borderId="995">
      <alignment horizontal="left" vertical="center"/>
    </xf>
    <xf numFmtId="0" fontId="213" fillId="65" borderId="952" applyNumberFormat="0" applyAlignment="0" applyProtection="0"/>
    <xf numFmtId="0" fontId="203" fillId="81" borderId="1043" applyNumberFormat="0" applyFont="0" applyAlignment="0" applyProtection="0"/>
    <xf numFmtId="0" fontId="229" fillId="83" borderId="1047" applyAlignment="0">
      <alignment horizontal="center"/>
    </xf>
    <xf numFmtId="0" fontId="229" fillId="83" borderId="777" applyAlignment="0">
      <alignment horizontal="center"/>
    </xf>
    <xf numFmtId="0" fontId="254" fillId="80" borderId="907" applyNumberFormat="0" applyAlignment="0" applyProtection="0"/>
    <xf numFmtId="0" fontId="213" fillId="65" borderId="916" applyNumberFormat="0" applyAlignment="0" applyProtection="0"/>
    <xf numFmtId="0" fontId="229" fillId="83" borderId="912" applyAlignment="0">
      <alignment horizontal="center"/>
    </xf>
    <xf numFmtId="0" fontId="203" fillId="81" borderId="863" applyNumberFormat="0" applyFont="0" applyAlignment="0" applyProtection="0"/>
    <xf numFmtId="0" fontId="213" fillId="80" borderId="772" applyNumberFormat="0" applyAlignment="0" applyProtection="0"/>
    <xf numFmtId="0" fontId="229" fillId="83" borderId="974" applyAlignment="0">
      <alignment horizontal="center"/>
    </xf>
    <xf numFmtId="0" fontId="213" fillId="65" borderId="925" applyNumberFormat="0" applyAlignment="0" applyProtection="0"/>
    <xf numFmtId="0" fontId="213" fillId="65" borderId="925" applyNumberFormat="0" applyAlignment="0" applyProtection="0"/>
    <xf numFmtId="0" fontId="174" fillId="0" borderId="795" applyNumberFormat="0" applyFill="0" applyAlignment="0" applyProtection="0"/>
    <xf numFmtId="0" fontId="153" fillId="0" borderId="788">
      <alignment horizontal="left" vertical="center"/>
    </xf>
    <xf numFmtId="0" fontId="213" fillId="65" borderId="781" applyNumberFormat="0" applyAlignment="0" applyProtection="0"/>
    <xf numFmtId="0" fontId="213" fillId="65" borderId="862" applyNumberFormat="0" applyAlignment="0" applyProtection="0"/>
    <xf numFmtId="0" fontId="153" fillId="0" borderId="824">
      <alignment horizontal="left" vertical="center"/>
    </xf>
    <xf numFmtId="0" fontId="203" fillId="81" borderId="1007" applyNumberFormat="0" applyFont="0" applyAlignment="0" applyProtection="0"/>
    <xf numFmtId="0" fontId="8" fillId="81" borderId="881" applyNumberFormat="0" applyFont="0" applyAlignment="0" applyProtection="0"/>
    <xf numFmtId="0" fontId="216" fillId="59" borderId="954" applyNumberFormat="0" applyAlignment="0" applyProtection="0"/>
    <xf numFmtId="0" fontId="213" fillId="65" borderId="862" applyNumberFormat="0" applyAlignment="0" applyProtection="0"/>
    <xf numFmtId="0" fontId="213" fillId="65" borderId="907" applyNumberFormat="0" applyAlignment="0" applyProtection="0"/>
    <xf numFmtId="0" fontId="203" fillId="81" borderId="863" applyNumberFormat="0" applyFont="0" applyAlignment="0" applyProtection="0"/>
    <xf numFmtId="0" fontId="203" fillId="81" borderId="737" applyNumberFormat="0" applyFont="0" applyAlignment="0" applyProtection="0"/>
    <xf numFmtId="182" fontId="225" fillId="0" borderId="825" applyFill="0" applyProtection="0"/>
    <xf numFmtId="0" fontId="216" fillId="78" borderId="909" applyNumberFormat="0" applyAlignment="0" applyProtection="0"/>
    <xf numFmtId="182" fontId="225" fillId="0" borderId="879" applyFill="0" applyProtection="0"/>
    <xf numFmtId="0" fontId="213" fillId="65" borderId="862" applyNumberFormat="0" applyAlignment="0" applyProtection="0"/>
    <xf numFmtId="0" fontId="203" fillId="81" borderId="971" applyNumberFormat="0" applyFont="0" applyAlignment="0" applyProtection="0"/>
    <xf numFmtId="0" fontId="213" fillId="65" borderId="727" applyNumberFormat="0" applyAlignment="0" applyProtection="0"/>
    <xf numFmtId="0" fontId="213" fillId="65" borderId="997" applyNumberFormat="0" applyAlignment="0" applyProtection="0"/>
    <xf numFmtId="0" fontId="213" fillId="65" borderId="727" applyNumberFormat="0" applyAlignment="0" applyProtection="0"/>
    <xf numFmtId="0" fontId="203" fillId="81" borderId="926" applyNumberFormat="0" applyFont="0" applyAlignment="0" applyProtection="0"/>
    <xf numFmtId="0" fontId="203" fillId="81" borderId="881" applyNumberFormat="0" applyFont="0" applyAlignment="0" applyProtection="0"/>
    <xf numFmtId="0" fontId="203" fillId="81" borderId="827" applyNumberFormat="0" applyFont="0" applyAlignment="0" applyProtection="0"/>
    <xf numFmtId="0" fontId="203" fillId="81" borderId="953" applyNumberFormat="0" applyFont="0" applyAlignment="0" applyProtection="0"/>
    <xf numFmtId="0" fontId="203" fillId="81" borderId="863" applyNumberFormat="0" applyFont="0" applyAlignment="0" applyProtection="0"/>
    <xf numFmtId="0" fontId="203" fillId="81" borderId="1007" applyNumberFormat="0" applyFont="0" applyAlignment="0" applyProtection="0"/>
    <xf numFmtId="0" fontId="213" fillId="65" borderId="727" applyNumberFormat="0" applyAlignment="0" applyProtection="0"/>
    <xf numFmtId="0" fontId="174" fillId="0" borderId="831" applyNumberFormat="0" applyFill="0" applyAlignment="0" applyProtection="0"/>
    <xf numFmtId="0" fontId="213" fillId="65" borderId="772" applyNumberFormat="0" applyAlignment="0" applyProtection="0"/>
    <xf numFmtId="0" fontId="176" fillId="81" borderId="908" applyNumberFormat="0" applyFont="0" applyAlignment="0" applyProtection="0"/>
    <xf numFmtId="200" fontId="225" fillId="0" borderId="735" applyFill="0" applyProtection="0"/>
    <xf numFmtId="0" fontId="213" fillId="65" borderId="826" applyNumberFormat="0" applyAlignment="0" applyProtection="0"/>
    <xf numFmtId="0" fontId="206" fillId="78" borderId="1015" applyNumberFormat="0" applyAlignment="0" applyProtection="0"/>
    <xf numFmtId="0" fontId="244" fillId="0" borderId="861" applyNumberFormat="0" applyFont="0" applyFill="0" applyAlignment="0" applyProtection="0"/>
    <xf numFmtId="0" fontId="213" fillId="65" borderId="1015" applyNumberFormat="0" applyAlignment="0" applyProtection="0"/>
    <xf numFmtId="0" fontId="213" fillId="65" borderId="781" applyNumberFormat="0" applyAlignment="0" applyProtection="0"/>
    <xf numFmtId="182" fontId="225" fillId="0" borderId="969" applyFill="0" applyProtection="0"/>
    <xf numFmtId="0" fontId="203" fillId="81" borderId="998" applyNumberFormat="0" applyFont="0" applyAlignment="0" applyProtection="0"/>
    <xf numFmtId="0" fontId="213" fillId="65" borderId="727" applyNumberFormat="0" applyAlignment="0" applyProtection="0"/>
    <xf numFmtId="0" fontId="153" fillId="0" borderId="1058">
      <alignment horizontal="left" vertical="center"/>
    </xf>
    <xf numFmtId="0" fontId="213" fillId="80" borderId="781" applyNumberFormat="0" applyAlignment="0" applyProtection="0"/>
    <xf numFmtId="0" fontId="213" fillId="65" borderId="1060" applyNumberFormat="0" applyAlignment="0" applyProtection="0"/>
    <xf numFmtId="0" fontId="213" fillId="80" borderId="862" applyNumberFormat="0" applyAlignment="0" applyProtection="0"/>
    <xf numFmtId="0" fontId="203" fillId="81" borderId="782" applyNumberFormat="0" applyFont="0" applyAlignment="0" applyProtection="0"/>
    <xf numFmtId="0" fontId="213" fillId="65" borderId="826" applyNumberFormat="0" applyAlignment="0" applyProtection="0"/>
    <xf numFmtId="0" fontId="229" fillId="83" borderId="722" applyAlignment="0">
      <alignment horizontal="center"/>
    </xf>
    <xf numFmtId="0" fontId="8" fillId="81" borderId="1061" applyNumberFormat="0" applyFont="0" applyAlignment="0" applyProtection="0"/>
    <xf numFmtId="200" fontId="225" fillId="0" borderId="1041" applyFill="0" applyProtection="0"/>
    <xf numFmtId="0" fontId="203" fillId="81" borderId="728" applyNumberFormat="0" applyFont="0" applyAlignment="0" applyProtection="0"/>
    <xf numFmtId="0" fontId="213" fillId="65" borderId="772" applyNumberFormat="0" applyAlignment="0" applyProtection="0"/>
    <xf numFmtId="0" fontId="213" fillId="65" borderId="997" applyNumberFormat="0" applyAlignment="0" applyProtection="0"/>
    <xf numFmtId="0" fontId="176" fillId="81" borderId="1052" applyNumberFormat="0" applyFont="0" applyAlignment="0" applyProtection="0"/>
    <xf numFmtId="182" fontId="225" fillId="0" borderId="735" applyFill="0" applyProtection="0"/>
    <xf numFmtId="0" fontId="213" fillId="65" borderId="997" applyNumberFormat="0" applyAlignment="0" applyProtection="0"/>
    <xf numFmtId="0" fontId="203" fillId="81" borderId="962" applyNumberFormat="0" applyFont="0" applyAlignment="0" applyProtection="0"/>
    <xf numFmtId="0" fontId="213" fillId="65" borderId="862" applyNumberFormat="0" applyAlignment="0" applyProtection="0"/>
    <xf numFmtId="0" fontId="213" fillId="65" borderId="1006" applyNumberFormat="0" applyAlignment="0" applyProtection="0"/>
    <xf numFmtId="0" fontId="229" fillId="83" borderId="912" applyAlignment="0">
      <alignment horizontal="center"/>
    </xf>
    <xf numFmtId="0" fontId="203" fillId="81" borderId="710" applyNumberFormat="0" applyFont="0" applyAlignment="0" applyProtection="0"/>
    <xf numFmtId="0" fontId="213" fillId="65" borderId="736" applyNumberFormat="0" applyAlignment="0" applyProtection="0"/>
    <xf numFmtId="0" fontId="213" fillId="65" borderId="925" applyNumberFormat="0" applyAlignment="0" applyProtection="0"/>
    <xf numFmtId="0" fontId="213" fillId="65" borderId="727" applyNumberFormat="0" applyAlignment="0" applyProtection="0"/>
    <xf numFmtId="0" fontId="216" fillId="78" borderId="873" applyNumberFormat="0" applyAlignment="0" applyProtection="0"/>
    <xf numFmtId="0" fontId="213" fillId="65" borderId="880" applyNumberFormat="0" applyAlignment="0" applyProtection="0"/>
    <xf numFmtId="182" fontId="225" fillId="0" borderId="816" applyFill="0" applyProtection="0"/>
    <xf numFmtId="0" fontId="213" fillId="65" borderId="1042" applyNumberFormat="0" applyAlignment="0" applyProtection="0"/>
    <xf numFmtId="0" fontId="216" fillId="78" borderId="729" applyNumberFormat="0" applyAlignment="0" applyProtection="0"/>
    <xf numFmtId="0" fontId="213" fillId="65" borderId="1051" applyNumberFormat="0" applyAlignment="0" applyProtection="0"/>
    <xf numFmtId="0" fontId="203" fillId="81" borderId="728" applyNumberFormat="0" applyFont="0" applyAlignment="0" applyProtection="0"/>
    <xf numFmtId="0" fontId="213" fillId="80" borderId="817" applyNumberFormat="0" applyAlignment="0" applyProtection="0"/>
    <xf numFmtId="0" fontId="213" fillId="65" borderId="1015" applyNumberFormat="0" applyAlignment="0" applyProtection="0"/>
    <xf numFmtId="182" fontId="225" fillId="0" borderId="996" applyFill="0" applyProtection="0"/>
    <xf numFmtId="0" fontId="174" fillId="0" borderId="901" applyNumberFormat="0" applyFill="0" applyAlignment="0" applyProtection="0"/>
    <xf numFmtId="0" fontId="203" fillId="81" borderId="899" applyNumberFormat="0" applyFont="0" applyAlignment="0" applyProtection="0"/>
    <xf numFmtId="0" fontId="229" fillId="83" borderId="1055" applyAlignment="0">
      <alignment horizontal="center"/>
    </xf>
    <xf numFmtId="0" fontId="203" fillId="81" borderId="908" applyNumberFormat="0" applyFont="0" applyAlignment="0" applyProtection="0"/>
    <xf numFmtId="0" fontId="213" fillId="65" borderId="817" applyNumberFormat="0" applyAlignment="0" applyProtection="0"/>
    <xf numFmtId="200" fontId="225" fillId="0" borderId="771" applyFill="0" applyProtection="0"/>
    <xf numFmtId="0" fontId="229" fillId="83" borderId="1047" applyAlignment="0">
      <alignment horizontal="center"/>
    </xf>
    <xf numFmtId="0" fontId="174" fillId="0" borderId="1000" applyNumberFormat="0" applyFill="0" applyAlignment="0" applyProtection="0"/>
    <xf numFmtId="0" fontId="213" fillId="65" borderId="1006" applyNumberFormat="0" applyAlignment="0" applyProtection="0"/>
    <xf numFmtId="0" fontId="203" fillId="81" borderId="1007" applyNumberFormat="0" applyFont="0" applyAlignment="0" applyProtection="0"/>
    <xf numFmtId="0" fontId="203" fillId="81" borderId="1007" applyNumberFormat="0" applyFont="0" applyAlignment="0" applyProtection="0"/>
    <xf numFmtId="0" fontId="213" fillId="65" borderId="952" applyNumberFormat="0" applyAlignment="0" applyProtection="0"/>
    <xf numFmtId="0" fontId="216" fillId="78" borderId="738" applyNumberFormat="0" applyAlignment="0" applyProtection="0"/>
    <xf numFmtId="0" fontId="213" fillId="65" borderId="970" applyNumberFormat="0" applyAlignment="0" applyProtection="0"/>
    <xf numFmtId="0" fontId="216" fillId="78" borderId="927" applyNumberFormat="0" applyAlignment="0" applyProtection="0"/>
    <xf numFmtId="0" fontId="203" fillId="81" borderId="1061" applyNumberFormat="0" applyFont="0" applyAlignment="0" applyProtection="0"/>
    <xf numFmtId="182" fontId="225" fillId="0" borderId="735" applyFill="0" applyProtection="0"/>
    <xf numFmtId="0" fontId="213" fillId="65" borderId="1042" applyNumberFormat="0" applyAlignment="0" applyProtection="0"/>
    <xf numFmtId="0" fontId="213" fillId="65" borderId="727" applyNumberFormat="0" applyAlignment="0" applyProtection="0"/>
    <xf numFmtId="0" fontId="213" fillId="65" borderId="952" applyNumberFormat="0" applyAlignment="0" applyProtection="0"/>
    <xf numFmtId="182" fontId="225" fillId="0" borderId="1041" applyFill="0" applyProtection="0"/>
    <xf numFmtId="0" fontId="213" fillId="65" borderId="817" applyNumberFormat="0" applyAlignment="0" applyProtection="0"/>
    <xf numFmtId="0" fontId="213" fillId="65" borderId="1060" applyNumberFormat="0" applyAlignment="0" applyProtection="0"/>
    <xf numFmtId="0" fontId="216" fillId="78" borderId="873" applyNumberFormat="0" applyAlignment="0" applyProtection="0"/>
    <xf numFmtId="0" fontId="203" fillId="81" borderId="737" applyNumberFormat="0" applyFont="0" applyAlignment="0" applyProtection="0"/>
    <xf numFmtId="0" fontId="203" fillId="81" borderId="818" applyNumberFormat="0" applyFont="0" applyAlignment="0" applyProtection="0"/>
    <xf numFmtId="0" fontId="254" fillId="80" borderId="727" applyNumberFormat="0" applyAlignment="0" applyProtection="0"/>
    <xf numFmtId="0" fontId="213" fillId="65" borderId="817" applyNumberFormat="0" applyAlignment="0" applyProtection="0"/>
    <xf numFmtId="200" fontId="225" fillId="0" borderId="825" applyFill="0" applyProtection="0"/>
    <xf numFmtId="0" fontId="213" fillId="65" borderId="916" applyNumberFormat="0" applyAlignment="0" applyProtection="0"/>
    <xf numFmtId="0" fontId="203" fillId="81" borderId="782" applyNumberFormat="0" applyFont="0" applyAlignment="0" applyProtection="0"/>
    <xf numFmtId="0" fontId="213" fillId="65" borderId="1042" applyNumberFormat="0" applyAlignment="0" applyProtection="0"/>
    <xf numFmtId="0" fontId="203" fillId="81" borderId="953" applyNumberFormat="0" applyFont="0" applyAlignment="0" applyProtection="0"/>
    <xf numFmtId="0" fontId="216" fillId="78" borderId="999" applyNumberFormat="0" applyAlignment="0" applyProtection="0"/>
    <xf numFmtId="0" fontId="213" fillId="65" borderId="925" applyNumberFormat="0" applyAlignment="0" applyProtection="0"/>
    <xf numFmtId="0" fontId="203" fillId="81" borderId="881" applyNumberFormat="0" applyFont="0" applyAlignment="0" applyProtection="0"/>
    <xf numFmtId="0" fontId="203" fillId="81" borderId="962" applyNumberFormat="0" applyFont="0" applyAlignment="0" applyProtection="0"/>
    <xf numFmtId="0" fontId="153" fillId="0" borderId="725">
      <alignment horizontal="left" vertical="center"/>
    </xf>
    <xf numFmtId="0" fontId="213" fillId="65" borderId="763" applyNumberFormat="0" applyAlignment="0" applyProtection="0"/>
    <xf numFmtId="182" fontId="225" fillId="0" borderId="924" applyFill="0" applyProtection="0"/>
    <xf numFmtId="0" fontId="213" fillId="65" borderId="1051" applyNumberFormat="0" applyAlignment="0" applyProtection="0"/>
    <xf numFmtId="182" fontId="225" fillId="0" borderId="1041" applyFill="0" applyProtection="0"/>
    <xf numFmtId="0" fontId="203" fillId="81" borderId="773" applyNumberFormat="0" applyFont="0" applyAlignment="0" applyProtection="0"/>
    <xf numFmtId="0" fontId="203" fillId="81" borderId="728" applyNumberFormat="0" applyFont="0" applyAlignment="0" applyProtection="0"/>
    <xf numFmtId="0" fontId="213" fillId="65" borderId="790" applyNumberFormat="0" applyAlignment="0" applyProtection="0"/>
    <xf numFmtId="0" fontId="213" fillId="65" borderId="907" applyNumberFormat="0" applyAlignment="0" applyProtection="0"/>
    <xf numFmtId="0" fontId="213" fillId="80" borderId="790" applyNumberFormat="0" applyAlignment="0" applyProtection="0"/>
    <xf numFmtId="0" fontId="213" fillId="65" borderId="817" applyNumberFormat="0" applyAlignment="0" applyProtection="0"/>
    <xf numFmtId="0" fontId="203" fillId="81" borderId="836" applyNumberFormat="0" applyFont="0" applyAlignment="0" applyProtection="0"/>
    <xf numFmtId="0" fontId="203" fillId="81" borderId="917" applyNumberFormat="0" applyFont="0" applyAlignment="0" applyProtection="0"/>
    <xf numFmtId="0" fontId="213" fillId="65" borderId="817" applyNumberFormat="0" applyAlignment="0" applyProtection="0"/>
    <xf numFmtId="0" fontId="206" fillId="78" borderId="1006" applyNumberFormat="0" applyAlignment="0" applyProtection="0"/>
    <xf numFmtId="0" fontId="203" fillId="81" borderId="827" applyNumberFormat="0" applyFont="0" applyAlignment="0" applyProtection="0"/>
    <xf numFmtId="0" fontId="203" fillId="81" borderId="989" applyNumberFormat="0" applyFont="0" applyAlignment="0" applyProtection="0"/>
    <xf numFmtId="0" fontId="203" fillId="81" borderId="737" applyNumberFormat="0" applyFont="0" applyAlignment="0" applyProtection="0"/>
    <xf numFmtId="0" fontId="238" fillId="59" borderId="862" applyNumberFormat="0" applyAlignment="0" applyProtection="0"/>
    <xf numFmtId="182" fontId="225" fillId="0" borderId="924" applyFill="0" applyProtection="0"/>
    <xf numFmtId="0" fontId="203" fillId="81" borderId="953" applyNumberFormat="0" applyFont="0" applyAlignment="0" applyProtection="0"/>
    <xf numFmtId="0" fontId="213" fillId="65" borderId="772" applyNumberFormat="0" applyAlignment="0" applyProtection="0"/>
    <xf numFmtId="0" fontId="203" fillId="81" borderId="755" applyNumberFormat="0" applyFont="0" applyAlignment="0" applyProtection="0"/>
    <xf numFmtId="0" fontId="216" fillId="59" borderId="729" applyNumberFormat="0" applyAlignment="0" applyProtection="0"/>
    <xf numFmtId="0" fontId="176" fillId="81" borderId="962" applyNumberFormat="0" applyFont="0" applyAlignment="0" applyProtection="0"/>
    <xf numFmtId="0" fontId="213" fillId="65" borderId="736" applyNumberFormat="0" applyAlignment="0" applyProtection="0"/>
    <xf numFmtId="0" fontId="203" fillId="81" borderId="1061" applyNumberFormat="0" applyFont="0" applyAlignment="0" applyProtection="0"/>
    <xf numFmtId="0" fontId="203" fillId="81" borderId="755" applyNumberFormat="0" applyFont="0" applyAlignment="0" applyProtection="0"/>
    <xf numFmtId="0" fontId="213" fillId="65" borderId="952" applyNumberFormat="0" applyAlignment="0" applyProtection="0"/>
    <xf numFmtId="0" fontId="213" fillId="80" borderId="952" applyNumberFormat="0" applyAlignment="0" applyProtection="0"/>
    <xf numFmtId="0" fontId="213" fillId="80" borderId="952" applyNumberFormat="0" applyAlignment="0" applyProtection="0"/>
    <xf numFmtId="0" fontId="213" fillId="80" borderId="871" applyNumberFormat="0" applyAlignment="0" applyProtection="0"/>
    <xf numFmtId="0" fontId="213" fillId="65" borderId="781" applyNumberFormat="0" applyAlignment="0" applyProtection="0"/>
    <xf numFmtId="200" fontId="225" fillId="0" borderId="861" applyFill="0" applyProtection="0"/>
    <xf numFmtId="0" fontId="238" fillId="59" borderId="1042" applyNumberFormat="0" applyAlignment="0" applyProtection="0"/>
    <xf numFmtId="0" fontId="213" fillId="65" borderId="781" applyNumberFormat="0" applyAlignment="0" applyProtection="0"/>
    <xf numFmtId="0" fontId="213" fillId="65" borderId="1042" applyNumberFormat="0" applyAlignment="0" applyProtection="0"/>
    <xf numFmtId="0" fontId="213" fillId="65" borderId="727" applyNumberFormat="0" applyAlignment="0" applyProtection="0"/>
    <xf numFmtId="0" fontId="174" fillId="0" borderId="1065" applyNumberFormat="0" applyFill="0" applyAlignment="0" applyProtection="0"/>
    <xf numFmtId="0" fontId="213" fillId="65" borderId="1006" applyNumberFormat="0" applyAlignment="0" applyProtection="0"/>
    <xf numFmtId="0" fontId="213" fillId="65" borderId="772" applyNumberFormat="0" applyAlignment="0" applyProtection="0"/>
    <xf numFmtId="0" fontId="213" fillId="65" borderId="952" applyNumberFormat="0" applyAlignment="0" applyProtection="0"/>
    <xf numFmtId="0" fontId="213" fillId="65" borderId="952" applyNumberFormat="0" applyAlignment="0" applyProtection="0"/>
    <xf numFmtId="0" fontId="203" fillId="81" borderId="1016" applyNumberFormat="0" applyFont="0" applyAlignment="0" applyProtection="0"/>
    <xf numFmtId="0" fontId="213" fillId="65" borderId="1006" applyNumberFormat="0" applyAlignment="0" applyProtection="0"/>
    <xf numFmtId="0" fontId="213" fillId="65" borderId="871" applyNumberFormat="0" applyAlignment="0" applyProtection="0"/>
    <xf numFmtId="0" fontId="229" fillId="83" borderId="1047" applyAlignment="0">
      <alignment horizontal="center"/>
    </xf>
    <xf numFmtId="0" fontId="213" fillId="65" borderId="727" applyNumberFormat="0" applyAlignment="0" applyProtection="0"/>
    <xf numFmtId="0" fontId="213" fillId="65" borderId="907" applyNumberFormat="0" applyAlignment="0" applyProtection="0"/>
    <xf numFmtId="0" fontId="213" fillId="65" borderId="817" applyNumberFormat="0" applyAlignment="0" applyProtection="0"/>
    <xf numFmtId="0" fontId="174" fillId="0" borderId="955" applyNumberFormat="0" applyFill="0" applyAlignment="0" applyProtection="0"/>
    <xf numFmtId="0" fontId="213" fillId="65" borderId="862" applyNumberFormat="0" applyAlignment="0" applyProtection="0"/>
    <xf numFmtId="0" fontId="229" fillId="83" borderId="1002" applyAlignment="0">
      <alignment horizontal="center"/>
    </xf>
    <xf numFmtId="200" fontId="225" fillId="0" borderId="996" applyFill="0" applyProtection="0"/>
    <xf numFmtId="0" fontId="229" fillId="83" borderId="1002" applyAlignment="0">
      <alignment horizontal="center"/>
    </xf>
    <xf numFmtId="0" fontId="213" fillId="65" borderId="907" applyNumberFormat="0" applyAlignment="0" applyProtection="0"/>
    <xf numFmtId="0" fontId="216" fillId="78" borderId="774" applyNumberFormat="0" applyAlignment="0" applyProtection="0"/>
    <xf numFmtId="0" fontId="213" fillId="65" borderId="781" applyNumberFormat="0" applyAlignment="0" applyProtection="0"/>
    <xf numFmtId="0" fontId="238" fillId="59" borderId="817" applyNumberFormat="0" applyAlignment="0" applyProtection="0"/>
    <xf numFmtId="0" fontId="229" fillId="83" borderId="1019" applyAlignment="0">
      <alignment horizontal="center"/>
    </xf>
    <xf numFmtId="0" fontId="213" fillId="65" borderId="772" applyNumberFormat="0" applyAlignment="0" applyProtection="0"/>
    <xf numFmtId="200" fontId="225" fillId="0" borderId="816" applyFill="0" applyProtection="0"/>
    <xf numFmtId="0" fontId="213" fillId="65" borderId="826" applyNumberFormat="0" applyAlignment="0" applyProtection="0"/>
    <xf numFmtId="0" fontId="176" fillId="81" borderId="863" applyNumberFormat="0" applyFont="0" applyAlignment="0" applyProtection="0"/>
    <xf numFmtId="0" fontId="203" fillId="81" borderId="998" applyNumberFormat="0" applyFont="0" applyAlignment="0" applyProtection="0"/>
    <xf numFmtId="0" fontId="203" fillId="81" borderId="1043" applyNumberFormat="0" applyFont="0" applyAlignment="0" applyProtection="0"/>
    <xf numFmtId="0" fontId="213" fillId="80" borderId="997" applyNumberFormat="0" applyAlignment="0" applyProtection="0"/>
    <xf numFmtId="0" fontId="229" fillId="83" borderId="822" applyAlignment="0">
      <alignment horizontal="center"/>
    </xf>
    <xf numFmtId="0" fontId="8" fillId="81" borderId="791" applyNumberFormat="0" applyFont="0" applyAlignment="0" applyProtection="0"/>
    <xf numFmtId="0" fontId="203" fillId="81" borderId="1061" applyNumberFormat="0" applyFont="0" applyAlignment="0" applyProtection="0"/>
    <xf numFmtId="0" fontId="203" fillId="81" borderId="773" applyNumberFormat="0" applyFont="0" applyAlignment="0" applyProtection="0"/>
    <xf numFmtId="0" fontId="213" fillId="65" borderId="862" applyNumberFormat="0" applyAlignment="0" applyProtection="0"/>
    <xf numFmtId="0" fontId="203" fillId="81" borderId="908" applyNumberFormat="0" applyFont="0" applyAlignment="0" applyProtection="0"/>
    <xf numFmtId="0" fontId="213" fillId="65" borderId="916" applyNumberFormat="0" applyAlignment="0" applyProtection="0"/>
    <xf numFmtId="0" fontId="213" fillId="65" borderId="916" applyNumberFormat="0" applyAlignment="0" applyProtection="0"/>
    <xf numFmtId="0" fontId="176" fillId="81" borderId="737" applyNumberFormat="0" applyFont="0" applyAlignment="0" applyProtection="0"/>
    <xf numFmtId="0" fontId="203" fillId="81" borderId="1052" applyNumberFormat="0" applyFont="0" applyAlignment="0" applyProtection="0"/>
    <xf numFmtId="0" fontId="213" fillId="65" borderId="952" applyNumberFormat="0" applyAlignment="0" applyProtection="0"/>
    <xf numFmtId="0" fontId="8" fillId="81" borderId="962" applyNumberFormat="0" applyFont="0" applyAlignment="0" applyProtection="0"/>
    <xf numFmtId="182" fontId="225" fillId="0" borderId="825" applyFill="0" applyProtection="0"/>
    <xf numFmtId="0" fontId="203" fillId="81" borderId="827" applyNumberFormat="0" applyFont="0" applyAlignment="0" applyProtection="0"/>
    <xf numFmtId="0" fontId="176" fillId="81" borderId="773" applyNumberFormat="0" applyFont="0" applyAlignment="0" applyProtection="0"/>
    <xf numFmtId="0" fontId="203" fillId="81" borderId="728" applyNumberFormat="0" applyFont="0" applyAlignment="0" applyProtection="0"/>
    <xf numFmtId="0" fontId="229" fillId="83" borderId="1002" applyAlignment="0">
      <alignment horizontal="center"/>
    </xf>
    <xf numFmtId="0" fontId="213" fillId="65" borderId="1060" applyNumberFormat="0" applyAlignment="0" applyProtection="0"/>
    <xf numFmtId="0" fontId="213" fillId="65" borderId="1042" applyNumberFormat="0" applyAlignment="0" applyProtection="0"/>
    <xf numFmtId="0" fontId="203" fillId="81" borderId="1016" applyNumberFormat="0" applyFont="0" applyAlignment="0" applyProtection="0"/>
    <xf numFmtId="0" fontId="213" fillId="80" borderId="772" applyNumberFormat="0" applyAlignment="0" applyProtection="0"/>
    <xf numFmtId="0" fontId="213" fillId="65" borderId="925" applyNumberFormat="0" applyAlignment="0" applyProtection="0"/>
    <xf numFmtId="0" fontId="257" fillId="59" borderId="954" applyNumberFormat="0" applyAlignment="0" applyProtection="0"/>
    <xf numFmtId="0" fontId="203" fillId="81" borderId="863" applyNumberFormat="0" applyFont="0" applyAlignment="0" applyProtection="0"/>
    <xf numFmtId="0" fontId="216" fillId="59" borderId="1008" applyNumberFormat="0" applyAlignment="0" applyProtection="0"/>
    <xf numFmtId="0" fontId="174" fillId="0" borderId="856" applyNumberFormat="0" applyFill="0" applyAlignment="0" applyProtection="0"/>
    <xf numFmtId="0" fontId="203" fillId="81" borderId="1043" applyNumberFormat="0" applyFont="0" applyAlignment="0" applyProtection="0"/>
    <xf numFmtId="0" fontId="213" fillId="65" borderId="871" applyNumberFormat="0" applyAlignment="0" applyProtection="0"/>
    <xf numFmtId="0" fontId="203" fillId="81" borderId="818" applyNumberFormat="0" applyFont="0" applyAlignment="0" applyProtection="0"/>
    <xf numFmtId="200" fontId="225" fillId="0" borderId="951" applyFill="0" applyProtection="0"/>
    <xf numFmtId="0" fontId="213" fillId="65" borderId="916" applyNumberFormat="0" applyAlignment="0" applyProtection="0"/>
    <xf numFmtId="200" fontId="225" fillId="0" borderId="1050" applyFill="0" applyProtection="0"/>
    <xf numFmtId="0" fontId="213" fillId="65" borderId="826" applyNumberFormat="0" applyAlignment="0" applyProtection="0"/>
    <xf numFmtId="0" fontId="213" fillId="65" borderId="862" applyNumberFormat="0" applyAlignment="0" applyProtection="0"/>
    <xf numFmtId="0" fontId="203" fillId="81" borderId="773" applyNumberFormat="0" applyFont="0" applyAlignment="0" applyProtection="0"/>
    <xf numFmtId="0" fontId="203" fillId="81" borderId="782" applyNumberFormat="0" applyFont="0" applyAlignment="0" applyProtection="0"/>
    <xf numFmtId="0" fontId="203" fillId="81" borderId="863" applyNumberFormat="0" applyFont="0" applyAlignment="0" applyProtection="0"/>
    <xf numFmtId="0" fontId="203" fillId="81" borderId="1007" applyNumberFormat="0" applyFont="0" applyAlignment="0" applyProtection="0"/>
    <xf numFmtId="0" fontId="213" fillId="65" borderId="817" applyNumberFormat="0" applyAlignment="0" applyProtection="0"/>
    <xf numFmtId="0" fontId="206" fillId="78" borderId="772" applyNumberFormat="0" applyAlignment="0" applyProtection="0"/>
    <xf numFmtId="0" fontId="216" fillId="78" borderId="783" applyNumberFormat="0" applyAlignment="0" applyProtection="0"/>
    <xf numFmtId="0" fontId="213" fillId="65" borderId="952" applyNumberFormat="0" applyAlignment="0" applyProtection="0"/>
    <xf numFmtId="0" fontId="203" fillId="81" borderId="998" applyNumberFormat="0" applyFont="0" applyAlignment="0" applyProtection="0"/>
    <xf numFmtId="0" fontId="213" fillId="65" borderId="736" applyNumberFormat="0" applyAlignment="0" applyProtection="0"/>
    <xf numFmtId="0" fontId="213" fillId="65" borderId="835" applyNumberFormat="0" applyAlignment="0" applyProtection="0"/>
    <xf numFmtId="0" fontId="203" fillId="81" borderId="953" applyNumberFormat="0" applyFont="0" applyAlignment="0" applyProtection="0"/>
    <xf numFmtId="0" fontId="203" fillId="81" borderId="1061" applyNumberFormat="0" applyFont="0" applyAlignment="0" applyProtection="0"/>
    <xf numFmtId="0" fontId="203" fillId="81" borderId="917" applyNumberFormat="0" applyFont="0" applyAlignment="0" applyProtection="0"/>
    <xf numFmtId="182" fontId="225" fillId="0" borderId="780" applyFill="0" applyProtection="0"/>
    <xf numFmtId="0" fontId="213" fillId="65" borderId="1015" applyNumberFormat="0" applyAlignment="0" applyProtection="0"/>
    <xf numFmtId="200" fontId="225" fillId="0" borderId="1041" applyFill="0" applyProtection="0"/>
    <xf numFmtId="0" fontId="8" fillId="81" borderId="908" applyNumberFormat="0" applyFont="0" applyAlignment="0" applyProtection="0"/>
    <xf numFmtId="0" fontId="213" fillId="65" borderId="970" applyNumberFormat="0" applyAlignment="0" applyProtection="0"/>
    <xf numFmtId="0" fontId="174" fillId="0" borderId="1065" applyNumberFormat="0" applyFill="0" applyAlignment="0" applyProtection="0"/>
    <xf numFmtId="0" fontId="213" fillId="65" borderId="862" applyNumberFormat="0" applyAlignment="0" applyProtection="0"/>
    <xf numFmtId="0" fontId="176" fillId="81" borderId="989" applyNumberFormat="0" applyFont="0" applyAlignment="0" applyProtection="0"/>
    <xf numFmtId="200" fontId="225" fillId="0" borderId="1005" applyFill="0" applyProtection="0"/>
    <xf numFmtId="0" fontId="213" fillId="65" borderId="907" applyNumberFormat="0" applyAlignment="0" applyProtection="0"/>
    <xf numFmtId="0" fontId="216" fillId="59" borderId="909" applyNumberFormat="0" applyAlignment="0" applyProtection="0"/>
    <xf numFmtId="0" fontId="203" fillId="81" borderId="908" applyNumberFormat="0" applyFont="0" applyAlignment="0" applyProtection="0"/>
    <xf numFmtId="0" fontId="153" fillId="0" borderId="1013">
      <alignment horizontal="left" vertical="center"/>
    </xf>
    <xf numFmtId="0" fontId="203" fillId="81" borderId="863" applyNumberFormat="0" applyFont="0" applyAlignment="0" applyProtection="0"/>
    <xf numFmtId="0" fontId="238" fillId="59" borderId="1006" applyNumberFormat="0" applyAlignment="0" applyProtection="0"/>
    <xf numFmtId="0" fontId="176" fillId="81" borderId="809" applyNumberFormat="0" applyFont="0" applyAlignment="0" applyProtection="0"/>
    <xf numFmtId="0" fontId="203" fillId="81" borderId="863" applyNumberFormat="0" applyFont="0" applyAlignment="0" applyProtection="0"/>
    <xf numFmtId="0" fontId="203" fillId="81" borderId="953" applyNumberFormat="0" applyFont="0" applyAlignment="0" applyProtection="0"/>
    <xf numFmtId="0" fontId="213" fillId="65" borderId="961" applyNumberFormat="0" applyAlignment="0" applyProtection="0"/>
    <xf numFmtId="200" fontId="225" fillId="0" borderId="879" applyFill="0" applyProtection="0"/>
    <xf numFmtId="0" fontId="213" fillId="65" borderId="925" applyNumberFormat="0" applyAlignment="0" applyProtection="0"/>
    <xf numFmtId="0" fontId="203" fillId="81" borderId="926" applyNumberFormat="0" applyFont="0" applyAlignment="0" applyProtection="0"/>
    <xf numFmtId="0" fontId="213" fillId="65" borderId="781" applyNumberFormat="0" applyAlignment="0" applyProtection="0"/>
    <xf numFmtId="0" fontId="203" fillId="81" borderId="728" applyNumberFormat="0" applyFont="0" applyAlignment="0" applyProtection="0"/>
    <xf numFmtId="200" fontId="225" fillId="0" borderId="1014" applyFill="0" applyProtection="0"/>
    <xf numFmtId="0" fontId="176" fillId="81" borderId="818" applyNumberFormat="0" applyFont="0" applyAlignment="0" applyProtection="0"/>
    <xf numFmtId="182" fontId="225" fillId="0" borderId="879" applyFill="0" applyProtection="0"/>
    <xf numFmtId="0" fontId="213" fillId="80" borderId="727" applyNumberFormat="0" applyAlignment="0" applyProtection="0"/>
    <xf numFmtId="0" fontId="213" fillId="65" borderId="817" applyNumberFormat="0" applyAlignment="0" applyProtection="0"/>
    <xf numFmtId="0" fontId="213" fillId="65" borderId="1015" applyNumberFormat="0" applyAlignment="0" applyProtection="0"/>
    <xf numFmtId="0" fontId="174" fillId="0" borderId="991" applyNumberFormat="0" applyFill="0" applyAlignment="0" applyProtection="0"/>
    <xf numFmtId="0" fontId="213" fillId="65" borderId="835" applyNumberFormat="0" applyAlignment="0" applyProtection="0"/>
    <xf numFmtId="0" fontId="213" fillId="65" borderId="925" applyNumberFormat="0" applyAlignment="0" applyProtection="0"/>
    <xf numFmtId="0" fontId="178" fillId="0" borderId="832" applyProtection="0"/>
    <xf numFmtId="0" fontId="213" fillId="65" borderId="826" applyNumberFormat="0" applyAlignment="0" applyProtection="0"/>
    <xf numFmtId="0" fontId="176" fillId="81" borderId="737" applyNumberFormat="0" applyFont="0" applyAlignment="0" applyProtection="0"/>
    <xf numFmtId="200" fontId="225" fillId="0" borderId="960" applyFill="0" applyProtection="0"/>
    <xf numFmtId="0" fontId="213" fillId="65" borderId="862" applyNumberFormat="0" applyAlignment="0" applyProtection="0"/>
    <xf numFmtId="0" fontId="203" fillId="81" borderId="1043" applyNumberFormat="0" applyFont="0" applyAlignment="0" applyProtection="0"/>
    <xf numFmtId="0" fontId="213" fillId="65" borderId="1006" applyNumberFormat="0" applyAlignment="0" applyProtection="0"/>
    <xf numFmtId="0" fontId="8" fillId="81" borderId="998" applyNumberFormat="0" applyFont="0" applyAlignment="0" applyProtection="0"/>
    <xf numFmtId="0" fontId="8" fillId="81" borderId="953" applyNumberFormat="0" applyFont="0" applyAlignment="0" applyProtection="0"/>
    <xf numFmtId="0" fontId="203" fillId="81" borderId="791" applyNumberFormat="0" applyFon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80" borderId="700" applyNumberFormat="0" applyAlignment="0" applyProtection="0"/>
    <xf numFmtId="0" fontId="213" fillId="65"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176"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176"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06" fillId="78" borderId="700" applyNumberFormat="0" applyAlignment="0" applyProtection="0"/>
    <xf numFmtId="0" fontId="206" fillId="78" borderId="700" applyNumberFormat="0" applyAlignment="0" applyProtection="0"/>
    <xf numFmtId="182" fontId="225" fillId="0" borderId="699" applyFill="0" applyProtection="0"/>
    <xf numFmtId="182" fontId="225" fillId="0" borderId="699" applyFill="0" applyProtection="0"/>
    <xf numFmtId="182" fontId="225" fillId="0" borderId="699" applyFill="0" applyProtection="0"/>
    <xf numFmtId="200" fontId="225" fillId="0" borderId="699" applyFill="0" applyProtection="0"/>
    <xf numFmtId="200" fontId="225" fillId="0" borderId="699" applyFill="0" applyProtection="0"/>
    <xf numFmtId="200" fontId="225" fillId="0" borderId="699" applyFill="0" applyProtection="0"/>
    <xf numFmtId="0" fontId="153" fillId="0" borderId="698">
      <alignment horizontal="left" vertical="center"/>
    </xf>
    <xf numFmtId="0" fontId="229" fillId="83" borderId="704" applyAlignment="0">
      <alignment horizontal="center"/>
    </xf>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29" fillId="83" borderId="704" applyAlignment="0">
      <alignment horizontal="center"/>
    </xf>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29" fillId="83" borderId="704" applyAlignment="0">
      <alignment horizontal="center"/>
    </xf>
    <xf numFmtId="0" fontId="229" fillId="83" borderId="704" applyAlignment="0">
      <alignment horizontal="center"/>
    </xf>
    <xf numFmtId="0" fontId="213" fillId="65" borderId="700" applyNumberFormat="0" applyAlignment="0" applyProtection="0"/>
    <xf numFmtId="0" fontId="216" fillId="78" borderId="702" applyNumberFormat="0" applyAlignment="0" applyProtection="0"/>
    <xf numFmtId="0" fontId="174" fillId="0" borderId="705" applyNumberFormat="0" applyFill="0" applyAlignment="0" applyProtection="0"/>
    <xf numFmtId="0" fontId="216" fillId="78" borderId="702" applyNumberFormat="0" applyAlignment="0" applyProtection="0"/>
    <xf numFmtId="0" fontId="174" fillId="0" borderId="705" applyNumberFormat="0" applyFill="0" applyAlignment="0" applyProtection="0"/>
    <xf numFmtId="182" fontId="225" fillId="0" borderId="699" applyFill="0" applyProtection="0"/>
    <xf numFmtId="200" fontId="225" fillId="0" borderId="699" applyFill="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0" applyNumberFormat="0" applyAlignment="0" applyProtection="0"/>
    <xf numFmtId="0" fontId="203" fillId="81" borderId="701" applyNumberFormat="0" applyFont="0" applyAlignment="0" applyProtection="0"/>
    <xf numFmtId="0" fontId="216" fillId="78" borderId="702" applyNumberFormat="0" applyAlignment="0" applyProtection="0"/>
    <xf numFmtId="0" fontId="174" fillId="0" borderId="705" applyNumberFormat="0" applyFill="0" applyAlignment="0" applyProtection="0"/>
    <xf numFmtId="0" fontId="249" fillId="59" borderId="700" applyNumberFormat="0" applyAlignment="0" applyProtection="0"/>
    <xf numFmtId="0" fontId="254" fillId="80" borderId="700" applyNumberFormat="0" applyAlignment="0" applyProtection="0"/>
    <xf numFmtId="0" fontId="257" fillId="59" borderId="702" applyNumberFormat="0" applyAlignment="0" applyProtection="0"/>
    <xf numFmtId="0" fontId="244" fillId="0" borderId="699" applyNumberFormat="0" applyFont="0" applyFill="0" applyAlignment="0" applyProtection="0"/>
    <xf numFmtId="0" fontId="178" fillId="0" borderId="706" applyProtection="0"/>
    <xf numFmtId="0" fontId="176" fillId="81" borderId="701" applyNumberFormat="0" applyFont="0" applyAlignment="0" applyProtection="0"/>
    <xf numFmtId="0" fontId="8" fillId="81" borderId="701" applyNumberFormat="0" applyFont="0" applyAlignment="0" applyProtection="0"/>
    <xf numFmtId="182" fontId="225" fillId="0" borderId="699" applyFill="0" applyProtection="0"/>
    <xf numFmtId="200" fontId="225" fillId="0" borderId="699" applyFill="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182" fontId="225" fillId="0" borderId="699" applyFill="0" applyProtection="0"/>
    <xf numFmtId="200" fontId="225" fillId="0" borderId="699" applyFill="0" applyProtection="0"/>
    <xf numFmtId="0" fontId="153" fillId="0" borderId="698">
      <alignment horizontal="left" vertical="center"/>
    </xf>
    <xf numFmtId="0" fontId="203" fillId="81" borderId="701" applyNumberFormat="0" applyFont="0" applyAlignment="0" applyProtection="0"/>
    <xf numFmtId="0" fontId="153" fillId="0" borderId="698">
      <alignment horizontal="left" vertical="center"/>
    </xf>
    <xf numFmtId="0" fontId="213" fillId="80" borderId="700" applyNumberFormat="0" applyAlignment="0" applyProtection="0"/>
    <xf numFmtId="0" fontId="8" fillId="81" borderId="701" applyNumberFormat="0" applyFont="0" applyAlignment="0" applyProtection="0"/>
    <xf numFmtId="182" fontId="225" fillId="0" borderId="699" applyFill="0" applyProtection="0"/>
    <xf numFmtId="200" fontId="225" fillId="0" borderId="699" applyFill="0" applyProtection="0"/>
    <xf numFmtId="182" fontId="225" fillId="0" borderId="699" applyFill="0" applyProtection="0"/>
    <xf numFmtId="200" fontId="225" fillId="0" borderId="699" applyFill="0" applyProtection="0"/>
    <xf numFmtId="0" fontId="153" fillId="0" borderId="698">
      <alignment horizontal="left" vertical="center"/>
    </xf>
    <xf numFmtId="182" fontId="225" fillId="0" borderId="699" applyFill="0" applyProtection="0"/>
    <xf numFmtId="200" fontId="225" fillId="0" borderId="699" applyFill="0" applyProtection="0"/>
    <xf numFmtId="0" fontId="176" fillId="81" borderId="701" applyNumberFormat="0" applyFont="0" applyAlignment="0" applyProtection="0"/>
    <xf numFmtId="0" fontId="203" fillId="81" borderId="701" applyNumberFormat="0" applyFont="0" applyAlignment="0" applyProtection="0"/>
    <xf numFmtId="0" fontId="213" fillId="65" borderId="700" applyNumberFormat="0" applyAlignment="0" applyProtection="0"/>
    <xf numFmtId="0" fontId="213" fillId="65" borderId="727" applyNumberFormat="0" applyAlignment="0" applyProtection="0"/>
    <xf numFmtId="0" fontId="229" fillId="83" borderId="686" applyAlignment="0">
      <alignment horizontal="center"/>
    </xf>
    <xf numFmtId="0" fontId="176" fillId="81" borderId="818" applyNumberFormat="0" applyFont="0" applyAlignment="0" applyProtection="0"/>
    <xf numFmtId="0" fontId="213" fillId="80" borderId="961" applyNumberFormat="0" applyAlignment="0" applyProtection="0"/>
    <xf numFmtId="0" fontId="213" fillId="65" borderId="925" applyNumberFormat="0" applyAlignment="0" applyProtection="0"/>
    <xf numFmtId="0" fontId="213" fillId="65" borderId="1051" applyNumberFormat="0" applyAlignment="0" applyProtection="0"/>
    <xf numFmtId="0" fontId="203" fillId="81" borderId="926" applyNumberFormat="0" applyFont="0" applyAlignment="0" applyProtection="0"/>
    <xf numFmtId="0" fontId="213" fillId="65" borderId="1015" applyNumberFormat="0" applyAlignment="0" applyProtection="0"/>
    <xf numFmtId="0" fontId="203" fillId="81" borderId="818" applyNumberFormat="0" applyFont="0" applyAlignment="0" applyProtection="0"/>
    <xf numFmtId="0" fontId="174" fillId="0" borderId="730" applyNumberFormat="0" applyFill="0" applyAlignment="0" applyProtection="0"/>
    <xf numFmtId="0" fontId="238" fillId="59" borderId="781" applyNumberFormat="0" applyAlignment="0" applyProtection="0"/>
    <xf numFmtId="0" fontId="229" fillId="83" borderId="1002" applyAlignment="0">
      <alignment horizontal="center"/>
    </xf>
    <xf numFmtId="0" fontId="203" fillId="81" borderId="863" applyNumberFormat="0" applyFont="0" applyAlignment="0" applyProtection="0"/>
    <xf numFmtId="0" fontId="8" fillId="81" borderId="827" applyNumberFormat="0" applyFont="0" applyAlignment="0" applyProtection="0"/>
    <xf numFmtId="0" fontId="213" fillId="65" borderId="727" applyNumberFormat="0" applyAlignment="0" applyProtection="0"/>
    <xf numFmtId="0" fontId="213" fillId="65" borderId="727" applyNumberFormat="0" applyAlignment="0" applyProtection="0"/>
    <xf numFmtId="0" fontId="203" fillId="81" borderId="710" applyNumberFormat="0" applyFont="0" applyAlignment="0" applyProtection="0"/>
    <xf numFmtId="0" fontId="203" fillId="81" borderId="872" applyNumberFormat="0" applyFont="0" applyAlignment="0" applyProtection="0"/>
    <xf numFmtId="0" fontId="213" fillId="65" borderId="952" applyNumberFormat="0" applyAlignment="0" applyProtection="0"/>
    <xf numFmtId="0" fontId="203" fillId="81" borderId="782" applyNumberFormat="0" applyFont="0" applyAlignment="0" applyProtection="0"/>
    <xf numFmtId="0" fontId="244" fillId="0" borderId="789" applyNumberFormat="0" applyFont="0" applyFill="0" applyAlignment="0" applyProtection="0"/>
    <xf numFmtId="0" fontId="203" fillId="81" borderId="926" applyNumberFormat="0" applyFont="0" applyAlignment="0" applyProtection="0"/>
    <xf numFmtId="0" fontId="238" fillId="59" borderId="952" applyNumberFormat="0" applyAlignment="0" applyProtection="0"/>
    <xf numFmtId="0" fontId="213" fillId="65" borderId="952" applyNumberFormat="0" applyAlignment="0" applyProtection="0"/>
    <xf numFmtId="0" fontId="203" fillId="81" borderId="791" applyNumberFormat="0" applyFont="0" applyAlignment="0" applyProtection="0"/>
    <xf numFmtId="0" fontId="229" fillId="83" borderId="957" applyAlignment="0">
      <alignment horizontal="center"/>
    </xf>
    <xf numFmtId="0" fontId="213" fillId="65" borderId="745" applyNumberFormat="0" applyAlignment="0" applyProtection="0"/>
    <xf numFmtId="0" fontId="238" fillId="59" borderId="862" applyNumberFormat="0" applyAlignment="0" applyProtection="0"/>
    <xf numFmtId="0" fontId="8" fillId="81" borderId="1061" applyNumberFormat="0" applyFont="0" applyAlignment="0" applyProtection="0"/>
    <xf numFmtId="0" fontId="203" fillId="81" borderId="674" applyNumberFormat="0" applyFont="0" applyAlignment="0" applyProtection="0"/>
    <xf numFmtId="0" fontId="213" fillId="65" borderId="745" applyNumberFormat="0" applyAlignment="0" applyProtection="0"/>
    <xf numFmtId="0" fontId="213" fillId="80" borderId="1060" applyNumberFormat="0" applyAlignment="0" applyProtection="0"/>
    <xf numFmtId="0" fontId="176" fillId="81" borderId="782" applyNumberFormat="0" applyFont="0" applyAlignment="0" applyProtection="0"/>
    <xf numFmtId="0" fontId="229" fillId="83" borderId="822" applyAlignment="0">
      <alignment horizontal="center"/>
    </xf>
    <xf numFmtId="0" fontId="213" fillId="65" borderId="772" applyNumberFormat="0" applyAlignment="0" applyProtection="0"/>
    <xf numFmtId="0" fontId="203" fillId="81" borderId="746" applyNumberFormat="0" applyFont="0" applyAlignment="0" applyProtection="0"/>
    <xf numFmtId="0" fontId="203" fillId="81" borderId="746" applyNumberFormat="0" applyFont="0" applyAlignment="0" applyProtection="0"/>
    <xf numFmtId="182" fontId="225" fillId="0" borderId="870" applyFill="0" applyProtection="0"/>
    <xf numFmtId="0" fontId="229" fillId="83" borderId="749" applyAlignment="0">
      <alignment horizontal="center"/>
    </xf>
    <xf numFmtId="0" fontId="174" fillId="0" borderId="750" applyNumberFormat="0" applyFill="0" applyAlignment="0" applyProtection="0"/>
    <xf numFmtId="0" fontId="249" fillId="59" borderId="817" applyNumberFormat="0" applyAlignment="0" applyProtection="0"/>
    <xf numFmtId="0" fontId="203" fillId="81" borderId="908" applyNumberFormat="0" applyFont="0" applyAlignment="0" applyProtection="0"/>
    <xf numFmtId="0" fontId="203" fillId="81" borderId="746" applyNumberFormat="0" applyFont="0" applyAlignment="0" applyProtection="0"/>
    <xf numFmtId="0" fontId="213" fillId="80" borderId="997" applyNumberFormat="0" applyAlignment="0" applyProtection="0"/>
    <xf numFmtId="0" fontId="213" fillId="65" borderId="997" applyNumberFormat="0" applyAlignment="0" applyProtection="0"/>
    <xf numFmtId="0" fontId="213" fillId="65" borderId="871" applyNumberFormat="0" applyAlignment="0" applyProtection="0"/>
    <xf numFmtId="0" fontId="213" fillId="65" borderId="745" applyNumberFormat="0" applyAlignment="0" applyProtection="0"/>
    <xf numFmtId="0" fontId="203" fillId="81" borderId="917" applyNumberFormat="0" applyFont="0" applyAlignment="0" applyProtection="0"/>
    <xf numFmtId="0" fontId="153" fillId="0" borderId="869">
      <alignment horizontal="left" vertical="center"/>
    </xf>
    <xf numFmtId="0" fontId="203" fillId="81" borderId="1061" applyNumberFormat="0" applyFont="0" applyAlignment="0" applyProtection="0"/>
    <xf numFmtId="0" fontId="213" fillId="65" borderId="907" applyNumberFormat="0" applyAlignment="0" applyProtection="0"/>
    <xf numFmtId="0" fontId="203" fillId="81" borderId="746" applyNumberFormat="0" applyFont="0" applyAlignment="0" applyProtection="0"/>
    <xf numFmtId="0" fontId="213" fillId="65" borderId="745" applyNumberFormat="0" applyAlignment="0" applyProtection="0"/>
    <xf numFmtId="0" fontId="203" fillId="81" borderId="746" applyNumberFormat="0" applyFont="0" applyAlignment="0" applyProtection="0"/>
    <xf numFmtId="0" fontId="213" fillId="65" borderId="745" applyNumberFormat="0" applyAlignment="0" applyProtection="0"/>
    <xf numFmtId="0" fontId="213" fillId="65" borderId="745" applyNumberFormat="0" applyAlignment="0" applyProtection="0"/>
    <xf numFmtId="0" fontId="216" fillId="78" borderId="747"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45" applyNumberFormat="0" applyAlignment="0" applyProtection="0"/>
    <xf numFmtId="0" fontId="229" fillId="83" borderId="822" applyAlignment="0">
      <alignment horizontal="center"/>
    </xf>
    <xf numFmtId="200" fontId="225" fillId="0" borderId="1005" applyFill="0" applyProtection="0"/>
    <xf numFmtId="0" fontId="238" fillId="59" borderId="790" applyNumberFormat="0" applyAlignment="0" applyProtection="0"/>
    <xf numFmtId="0" fontId="178" fillId="0" borderId="877" applyProtection="0"/>
    <xf numFmtId="0" fontId="244" fillId="0" borderId="1014" applyNumberFormat="0" applyFont="0" applyFill="0" applyAlignment="0" applyProtection="0"/>
    <xf numFmtId="0" fontId="203" fillId="81" borderId="818" applyNumberFormat="0" applyFont="0" applyAlignment="0" applyProtection="0"/>
    <xf numFmtId="0" fontId="176" fillId="81" borderId="746" applyNumberFormat="0" applyFont="0" applyAlignment="0" applyProtection="0"/>
    <xf numFmtId="0" fontId="206" fillId="78" borderId="745" applyNumberFormat="0" applyAlignment="0" applyProtection="0"/>
    <xf numFmtId="0" fontId="8" fillId="81" borderId="746" applyNumberFormat="0" applyFont="0" applyAlignment="0" applyProtection="0"/>
    <xf numFmtId="182" fontId="225" fillId="0" borderId="816" applyFill="0" applyProtection="0"/>
    <xf numFmtId="0" fontId="213" fillId="65" borderId="925" applyNumberFormat="0" applyAlignment="0" applyProtection="0"/>
    <xf numFmtId="0" fontId="213" fillId="65" borderId="727" applyNumberFormat="0" applyAlignment="0" applyProtection="0"/>
    <xf numFmtId="0" fontId="213" fillId="80" borderId="916" applyNumberFormat="0" applyAlignment="0" applyProtection="0"/>
    <xf numFmtId="0" fontId="203" fillId="81" borderId="962" applyNumberFormat="0" applyFont="0" applyAlignment="0" applyProtection="0"/>
    <xf numFmtId="0" fontId="213" fillId="65" borderId="1042" applyNumberFormat="0" applyAlignment="0" applyProtection="0"/>
    <xf numFmtId="0" fontId="257" fillId="59" borderId="774" applyNumberFormat="0" applyAlignment="0" applyProtection="0"/>
    <xf numFmtId="0" fontId="213" fillId="65" borderId="772" applyNumberFormat="0" applyAlignment="0" applyProtection="0"/>
    <xf numFmtId="0" fontId="213" fillId="65" borderId="736" applyNumberFormat="0" applyAlignment="0" applyProtection="0"/>
    <xf numFmtId="0" fontId="213" fillId="65" borderId="961" applyNumberFormat="0" applyAlignment="0" applyProtection="0"/>
    <xf numFmtId="0" fontId="257" fillId="59" borderId="864" applyNumberFormat="0" applyAlignment="0" applyProtection="0"/>
    <xf numFmtId="0" fontId="216" fillId="59" borderId="801" applyNumberFormat="0" applyAlignment="0" applyProtection="0"/>
    <xf numFmtId="0" fontId="203" fillId="81" borderId="1043" applyNumberFormat="0" applyFont="0" applyAlignment="0" applyProtection="0"/>
    <xf numFmtId="0" fontId="176" fillId="81" borderId="728" applyNumberFormat="0" applyFont="0" applyAlignment="0" applyProtection="0"/>
    <xf numFmtId="0" fontId="203" fillId="81" borderId="863" applyNumberFormat="0" applyFont="0" applyAlignment="0" applyProtection="0"/>
    <xf numFmtId="200" fontId="225" fillId="0" borderId="915" applyFill="0" applyProtection="0"/>
    <xf numFmtId="200" fontId="225" fillId="0" borderId="915" applyFill="0" applyProtection="0"/>
    <xf numFmtId="0" fontId="213" fillId="65" borderId="925" applyNumberFormat="0" applyAlignment="0" applyProtection="0"/>
    <xf numFmtId="0" fontId="203" fillId="81" borderId="917" applyNumberFormat="0" applyFont="0" applyAlignment="0" applyProtection="0"/>
    <xf numFmtId="0" fontId="213" fillId="65" borderId="952" applyNumberFormat="0" applyAlignment="0" applyProtection="0"/>
    <xf numFmtId="0" fontId="213" fillId="65" borderId="781" applyNumberFormat="0" applyAlignment="0" applyProtection="0"/>
    <xf numFmtId="0" fontId="203" fillId="81" borderId="1016" applyNumberFormat="0" applyFont="0" applyAlignment="0" applyProtection="0"/>
    <xf numFmtId="0" fontId="213" fillId="65" borderId="1015" applyNumberFormat="0" applyAlignment="0" applyProtection="0"/>
    <xf numFmtId="0" fontId="213" fillId="65" borderId="772" applyNumberFormat="0" applyAlignment="0" applyProtection="0"/>
    <xf numFmtId="0" fontId="174" fillId="0" borderId="885" applyNumberFormat="0" applyFill="0" applyAlignment="0" applyProtection="0"/>
    <xf numFmtId="0" fontId="174" fillId="0" borderId="795" applyNumberFormat="0" applyFill="0" applyAlignment="0" applyProtection="0"/>
    <xf numFmtId="0" fontId="216" fillId="78" borderId="954" applyNumberFormat="0" applyAlignment="0" applyProtection="0"/>
    <xf numFmtId="182" fontId="225" fillId="0" borderId="960" applyFill="0" applyProtection="0"/>
    <xf numFmtId="0" fontId="174" fillId="0" borderId="921" applyNumberFormat="0" applyFill="0" applyAlignment="0" applyProtection="0"/>
    <xf numFmtId="0" fontId="203" fillId="81" borderId="953" applyNumberFormat="0" applyFont="0" applyAlignment="0" applyProtection="0"/>
    <xf numFmtId="0" fontId="213" fillId="80" borderId="871" applyNumberFormat="0" applyAlignment="0" applyProtection="0"/>
    <xf numFmtId="0" fontId="213" fillId="65" borderId="1042" applyNumberFormat="0" applyAlignment="0" applyProtection="0"/>
    <xf numFmtId="0" fontId="213" fillId="65" borderId="907" applyNumberFormat="0" applyAlignment="0" applyProtection="0"/>
    <xf numFmtId="0" fontId="203" fillId="81" borderId="899" applyNumberFormat="0" applyFont="0" applyAlignment="0" applyProtection="0"/>
    <xf numFmtId="0" fontId="203" fillId="81" borderId="827" applyNumberFormat="0" applyFont="0" applyAlignment="0" applyProtection="0"/>
    <xf numFmtId="0" fontId="213" fillId="65" borderId="1015" applyNumberFormat="0" applyAlignment="0" applyProtection="0"/>
    <xf numFmtId="0" fontId="238" fillId="59" borderId="727" applyNumberFormat="0" applyAlignment="0" applyProtection="0"/>
    <xf numFmtId="0" fontId="153" fillId="0" borderId="824">
      <alignment horizontal="left" vertical="center"/>
    </xf>
    <xf numFmtId="0" fontId="216" fillId="59" borderId="819" applyNumberFormat="0" applyAlignment="0" applyProtection="0"/>
    <xf numFmtId="0" fontId="213" fillId="65" borderId="880" applyNumberFormat="0" applyAlignment="0" applyProtection="0"/>
    <xf numFmtId="0" fontId="203" fillId="81" borderId="863" applyNumberFormat="0" applyFont="0" applyAlignment="0" applyProtection="0"/>
    <xf numFmtId="0" fontId="203" fillId="81" borderId="962" applyNumberFormat="0" applyFont="0" applyAlignment="0" applyProtection="0"/>
    <xf numFmtId="0" fontId="206" fillId="78" borderId="970" applyNumberFormat="0" applyAlignment="0" applyProtection="0"/>
    <xf numFmtId="0" fontId="213" fillId="65" borderId="817" applyNumberFormat="0" applyAlignment="0" applyProtection="0"/>
    <xf numFmtId="200" fontId="225" fillId="0" borderId="996" applyFill="0" applyProtection="0"/>
    <xf numFmtId="0" fontId="216" fillId="78" borderId="1008" applyNumberFormat="0" applyAlignment="0" applyProtection="0"/>
    <xf numFmtId="0" fontId="176" fillId="81" borderId="773" applyNumberFormat="0" applyFont="0" applyAlignment="0" applyProtection="0"/>
    <xf numFmtId="0" fontId="213" fillId="65" borderId="736" applyNumberFormat="0" applyAlignment="0" applyProtection="0"/>
    <xf numFmtId="0" fontId="213" fillId="65" borderId="997" applyNumberFormat="0" applyAlignment="0" applyProtection="0"/>
    <xf numFmtId="0" fontId="213" fillId="65" borderId="772" applyNumberFormat="0" applyAlignment="0" applyProtection="0"/>
    <xf numFmtId="0" fontId="203" fillId="81" borderId="872" applyNumberFormat="0" applyFont="0" applyAlignment="0" applyProtection="0"/>
    <xf numFmtId="0" fontId="203" fillId="81" borderId="953" applyNumberFormat="0" applyFont="0" applyAlignment="0" applyProtection="0"/>
    <xf numFmtId="0" fontId="213" fillId="65" borderId="997" applyNumberFormat="0" applyAlignment="0" applyProtection="0"/>
    <xf numFmtId="0" fontId="153" fillId="0" borderId="1013">
      <alignment horizontal="left" vertical="center"/>
    </xf>
    <xf numFmtId="0" fontId="8" fillId="81" borderId="836" applyNumberFormat="0" applyFont="0" applyAlignment="0" applyProtection="0"/>
    <xf numFmtId="0" fontId="213" fillId="65" borderId="817" applyNumberFormat="0" applyAlignment="0" applyProtection="0"/>
    <xf numFmtId="0" fontId="176" fillId="81" borderId="728" applyNumberFormat="0" applyFont="0" applyAlignment="0" applyProtection="0"/>
    <xf numFmtId="0" fontId="216" fillId="78" borderId="747" applyNumberFormat="0" applyAlignment="0" applyProtection="0"/>
    <xf numFmtId="0" fontId="213" fillId="65" borderId="952" applyNumberFormat="0" applyAlignment="0" applyProtection="0"/>
    <xf numFmtId="0" fontId="238" fillId="59" borderId="709" applyNumberFormat="0" applyAlignment="0" applyProtection="0"/>
    <xf numFmtId="0" fontId="229" fillId="83" borderId="704" applyAlignment="0">
      <alignment horizontal="center"/>
    </xf>
    <xf numFmtId="0" fontId="213" fillId="65" borderId="700" applyNumberFormat="0" applyAlignment="0" applyProtection="0"/>
    <xf numFmtId="0" fontId="238" fillId="59"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80" borderId="700" applyNumberFormat="0" applyAlignment="0" applyProtection="0"/>
    <xf numFmtId="0" fontId="213" fillId="65" borderId="700" applyNumberFormat="0" applyAlignment="0" applyProtection="0"/>
    <xf numFmtId="0" fontId="213" fillId="80" borderId="700" applyNumberFormat="0" applyAlignment="0" applyProtection="0"/>
    <xf numFmtId="0" fontId="176" fillId="81" borderId="1043" applyNumberFormat="0" applyFont="0" applyAlignment="0" applyProtection="0"/>
    <xf numFmtId="0" fontId="203" fillId="81" borderId="728" applyNumberFormat="0" applyFont="0" applyAlignment="0" applyProtection="0"/>
    <xf numFmtId="0" fontId="213" fillId="65" borderId="781" applyNumberFormat="0" applyAlignment="0" applyProtection="0"/>
    <xf numFmtId="0" fontId="213" fillId="65" borderId="817" applyNumberFormat="0" applyAlignment="0" applyProtection="0"/>
    <xf numFmtId="182" fontId="225" fillId="0" borderId="726" applyFill="0" applyProtection="0"/>
    <xf numFmtId="0" fontId="8" fillId="81" borderId="701" applyNumberFormat="0" applyFont="0" applyAlignment="0" applyProtection="0"/>
    <xf numFmtId="0" fontId="176"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176"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16" fillId="78" borderId="702" applyNumberFormat="0" applyAlignment="0" applyProtection="0"/>
    <xf numFmtId="0" fontId="174" fillId="0" borderId="705" applyNumberFormat="0" applyFill="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45" applyNumberFormat="0" applyAlignment="0" applyProtection="0"/>
    <xf numFmtId="0" fontId="153" fillId="0" borderId="725">
      <alignment horizontal="left" vertical="center"/>
    </xf>
    <xf numFmtId="0" fontId="203" fillId="81" borderId="701" applyNumberFormat="0" applyFont="0" applyAlignment="0" applyProtection="0"/>
    <xf numFmtId="0" fontId="206" fillId="78" borderId="700" applyNumberFormat="0" applyAlignment="0" applyProtection="0"/>
    <xf numFmtId="0" fontId="176" fillId="81" borderId="701" applyNumberFormat="0" applyFont="0" applyAlignment="0" applyProtection="0"/>
    <xf numFmtId="0" fontId="238" fillId="59"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216" fillId="59" borderId="702" applyNumberFormat="0" applyAlignment="0" applyProtection="0"/>
    <xf numFmtId="0" fontId="213" fillId="80" borderId="700" applyNumberFormat="0" applyAlignment="0" applyProtection="0"/>
    <xf numFmtId="0" fontId="176" fillId="81" borderId="701" applyNumberFormat="0" applyFont="0" applyAlignment="0" applyProtection="0"/>
    <xf numFmtId="0" fontId="213" fillId="65" borderId="727" applyNumberFormat="0" applyAlignment="0" applyProtection="0"/>
    <xf numFmtId="182" fontId="225" fillId="0" borderId="726" applyFill="0" applyProtection="0"/>
    <xf numFmtId="0" fontId="203" fillId="81" borderId="728" applyNumberFormat="0" applyFont="0" applyAlignment="0" applyProtection="0"/>
    <xf numFmtId="200" fontId="225" fillId="0" borderId="726" applyFill="0" applyProtection="0"/>
    <xf numFmtId="200" fontId="225" fillId="0" borderId="816" applyFill="0" applyProtection="0"/>
    <xf numFmtId="182" fontId="225" fillId="0" borderId="726" applyFill="0" applyProtection="0"/>
    <xf numFmtId="0" fontId="213" fillId="65" borderId="727" applyNumberFormat="0" applyAlignment="0" applyProtection="0"/>
    <xf numFmtId="0" fontId="203" fillId="81" borderId="782"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80" borderId="709" applyNumberFormat="0" applyAlignment="0" applyProtection="0"/>
    <xf numFmtId="0" fontId="213" fillId="65" borderId="709" applyNumberFormat="0" applyAlignment="0" applyProtection="0"/>
    <xf numFmtId="0" fontId="213" fillId="80" borderId="709" applyNumberFormat="0" applyAlignment="0" applyProtection="0"/>
    <xf numFmtId="0" fontId="8" fillId="81" borderId="710" applyNumberFormat="0" applyFont="0" applyAlignment="0" applyProtection="0"/>
    <xf numFmtId="0" fontId="176"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176" fillId="81" borderId="710" applyNumberFormat="0" applyFont="0" applyAlignment="0" applyProtection="0"/>
    <xf numFmtId="0" fontId="216" fillId="59" borderId="711" applyNumberFormat="0" applyAlignment="0" applyProtection="0"/>
    <xf numFmtId="0" fontId="174" fillId="0" borderId="712" applyNumberFormat="0" applyFill="0" applyAlignment="0" applyProtection="0"/>
    <xf numFmtId="0" fontId="206" fillId="78" borderId="709" applyNumberFormat="0" applyAlignment="0" applyProtection="0"/>
    <xf numFmtId="0" fontId="206" fillId="78" borderId="709" applyNumberFormat="0" applyAlignment="0" applyProtection="0"/>
    <xf numFmtId="182" fontId="225" fillId="0" borderId="708" applyFill="0" applyProtection="0"/>
    <xf numFmtId="182" fontId="225" fillId="0" borderId="708" applyFill="0" applyProtection="0"/>
    <xf numFmtId="182" fontId="225" fillId="0" borderId="708" applyFill="0" applyProtection="0"/>
    <xf numFmtId="200" fontId="225" fillId="0" borderId="708" applyFill="0" applyProtection="0"/>
    <xf numFmtId="200" fontId="225" fillId="0" borderId="708" applyFill="0" applyProtection="0"/>
    <xf numFmtId="200" fontId="225" fillId="0" borderId="708" applyFill="0" applyProtection="0"/>
    <xf numFmtId="0" fontId="153" fillId="0" borderId="707">
      <alignment horizontal="left" vertical="center"/>
    </xf>
    <xf numFmtId="0" fontId="229" fillId="83" borderId="713" applyAlignment="0">
      <alignment horizontal="center"/>
    </xf>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29" fillId="83" borderId="713" applyAlignment="0">
      <alignment horizontal="center"/>
    </xf>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16" fillId="78" borderId="702" applyNumberFormat="0" applyAlignment="0" applyProtection="0"/>
    <xf numFmtId="0" fontId="174" fillId="0" borderId="705" applyNumberFormat="0" applyFill="0" applyAlignment="0" applyProtection="0"/>
    <xf numFmtId="0" fontId="229" fillId="83" borderId="713" applyAlignment="0">
      <alignment horizontal="center"/>
    </xf>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13" fillId="65" borderId="700" applyNumberForma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6" fillId="78" borderId="700" applyNumberFormat="0" applyAlignment="0" applyProtection="0"/>
    <xf numFmtId="0" fontId="176" fillId="81" borderId="701" applyNumberFormat="0" applyFont="0" applyAlignment="0" applyProtection="0"/>
    <xf numFmtId="0" fontId="238" fillId="59" borderId="700" applyNumberFormat="0" applyAlignment="0" applyProtection="0"/>
    <xf numFmtId="0" fontId="213" fillId="80" borderId="700" applyNumberFormat="0" applyAlignment="0" applyProtection="0"/>
    <xf numFmtId="0" fontId="8" fillId="81" borderId="701" applyNumberFormat="0" applyFont="0" applyAlignment="0" applyProtection="0"/>
    <xf numFmtId="0" fontId="216" fillId="59" borderId="702" applyNumberFormat="0" applyAlignment="0" applyProtection="0"/>
    <xf numFmtId="0" fontId="174" fillId="0" borderId="703" applyNumberFormat="0" applyFill="0" applyAlignment="0" applyProtection="0"/>
    <xf numFmtId="0" fontId="213" fillId="80" borderId="700" applyNumberFormat="0" applyAlignment="0" applyProtection="0"/>
    <xf numFmtId="0" fontId="229" fillId="83" borderId="713" applyAlignment="0">
      <alignment horizontal="center"/>
    </xf>
    <xf numFmtId="0" fontId="176" fillId="81" borderId="701" applyNumberFormat="0" applyFont="0" applyAlignment="0" applyProtection="0"/>
    <xf numFmtId="0" fontId="213" fillId="65" borderId="709" applyNumberFormat="0" applyAlignment="0" applyProtection="0"/>
    <xf numFmtId="0" fontId="216" fillId="78" borderId="711" applyNumberFormat="0" applyAlignment="0" applyProtection="0"/>
    <xf numFmtId="0" fontId="174" fillId="0" borderId="714" applyNumberFormat="0" applyFill="0" applyAlignment="0" applyProtection="0"/>
    <xf numFmtId="0" fontId="216" fillId="78" borderId="711" applyNumberFormat="0" applyAlignment="0" applyProtection="0"/>
    <xf numFmtId="0" fontId="174" fillId="0" borderId="714" applyNumberFormat="0" applyFill="0" applyAlignment="0" applyProtection="0"/>
    <xf numFmtId="182" fontId="225" fillId="0" borderId="708" applyFill="0" applyProtection="0"/>
    <xf numFmtId="200" fontId="225" fillId="0" borderId="708" applyFill="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03" fillId="81" borderId="710" applyNumberFormat="0" applyFont="0" applyAlignment="0" applyProtection="0"/>
    <xf numFmtId="0" fontId="213" fillId="65" borderId="709" applyNumberFormat="0" applyAlignment="0" applyProtection="0"/>
    <xf numFmtId="0" fontId="203" fillId="81" borderId="710" applyNumberFormat="0" applyFont="0" applyAlignment="0" applyProtection="0"/>
    <xf numFmtId="0" fontId="216" fillId="78" borderId="711" applyNumberFormat="0" applyAlignment="0" applyProtection="0"/>
    <xf numFmtId="0" fontId="174" fillId="0" borderId="714" applyNumberFormat="0" applyFill="0" applyAlignment="0" applyProtection="0"/>
    <xf numFmtId="0" fontId="249" fillId="59" borderId="709" applyNumberFormat="0" applyAlignment="0" applyProtection="0"/>
    <xf numFmtId="0" fontId="254" fillId="80" borderId="709" applyNumberFormat="0" applyAlignment="0" applyProtection="0"/>
    <xf numFmtId="0" fontId="257" fillId="59" borderId="711" applyNumberFormat="0" applyAlignment="0" applyProtection="0"/>
    <xf numFmtId="0" fontId="244" fillId="0" borderId="708" applyNumberFormat="0" applyFont="0" applyFill="0" applyAlignment="0" applyProtection="0"/>
    <xf numFmtId="0" fontId="178" fillId="0" borderId="715" applyProtection="0"/>
    <xf numFmtId="0" fontId="176" fillId="81" borderId="710" applyNumberFormat="0" applyFont="0" applyAlignment="0" applyProtection="0"/>
    <xf numFmtId="0" fontId="8" fillId="81" borderId="710" applyNumberFormat="0" applyFont="0" applyAlignment="0" applyProtection="0"/>
    <xf numFmtId="182" fontId="225" fillId="0" borderId="708" applyFill="0" applyProtection="0"/>
    <xf numFmtId="200" fontId="225" fillId="0" borderId="708" applyFill="0" applyProtection="0"/>
    <xf numFmtId="0" fontId="213" fillId="65" borderId="709" applyNumberFormat="0" applyAlignment="0" applyProtection="0"/>
    <xf numFmtId="0" fontId="203" fillId="81" borderId="710" applyNumberFormat="0" applyFont="0" applyAlignment="0" applyProtection="0"/>
    <xf numFmtId="0" fontId="203" fillId="81" borderId="710" applyNumberFormat="0" applyFont="0" applyAlignment="0" applyProtection="0"/>
    <xf numFmtId="182" fontId="225" fillId="0" borderId="708" applyFill="0" applyProtection="0"/>
    <xf numFmtId="200" fontId="225" fillId="0" borderId="708" applyFill="0" applyProtection="0"/>
    <xf numFmtId="0" fontId="153" fillId="0" borderId="707">
      <alignment horizontal="left" vertical="center"/>
    </xf>
    <xf numFmtId="0" fontId="203" fillId="81" borderId="710" applyNumberFormat="0" applyFont="0" applyAlignment="0" applyProtection="0"/>
    <xf numFmtId="0" fontId="153" fillId="0" borderId="707">
      <alignment horizontal="left" vertical="center"/>
    </xf>
    <xf numFmtId="0" fontId="213" fillId="80" borderId="709" applyNumberFormat="0" applyAlignment="0" applyProtection="0"/>
    <xf numFmtId="0" fontId="8" fillId="81" borderId="710" applyNumberFormat="0" applyFont="0" applyAlignment="0" applyProtection="0"/>
    <xf numFmtId="182" fontId="225" fillId="0" borderId="708" applyFill="0" applyProtection="0"/>
    <xf numFmtId="200" fontId="225" fillId="0" borderId="708" applyFill="0" applyProtection="0"/>
    <xf numFmtId="182" fontId="225" fillId="0" borderId="708" applyFill="0" applyProtection="0"/>
    <xf numFmtId="200" fontId="225" fillId="0" borderId="708" applyFill="0" applyProtection="0"/>
    <xf numFmtId="0" fontId="153" fillId="0" borderId="707">
      <alignment horizontal="left" vertical="center"/>
    </xf>
    <xf numFmtId="0" fontId="203" fillId="81" borderId="701" applyNumberFormat="0" applyFont="0" applyAlignment="0" applyProtection="0"/>
    <xf numFmtId="182" fontId="225" fillId="0" borderId="708" applyFill="0" applyProtection="0"/>
    <xf numFmtId="200" fontId="225" fillId="0" borderId="708" applyFill="0" applyProtection="0"/>
    <xf numFmtId="0" fontId="176" fillId="81" borderId="710" applyNumberFormat="0" applyFont="0" applyAlignment="0" applyProtection="0"/>
    <xf numFmtId="0" fontId="203" fillId="81" borderId="710"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03" fillId="81" borderId="701" applyNumberFormat="0" applyFont="0" applyAlignment="0" applyProtection="0"/>
    <xf numFmtId="0" fontId="213" fillId="65" borderId="709" applyNumberFormat="0" applyAlignment="0" applyProtection="0"/>
    <xf numFmtId="0" fontId="238" fillId="59" borderId="718" applyNumberFormat="0" applyAlignment="0" applyProtection="0"/>
    <xf numFmtId="0" fontId="213" fillId="65" borderId="709" applyNumberFormat="0" applyAlignment="0" applyProtection="0"/>
    <xf numFmtId="182" fontId="225" fillId="0" borderId="789" applyFill="0" applyProtection="0"/>
    <xf numFmtId="0" fontId="257" fillId="59" borderId="963" applyNumberFormat="0" applyAlignment="0" applyProtection="0"/>
    <xf numFmtId="200" fontId="225" fillId="0" borderId="996" applyFill="0" applyProtection="0"/>
    <xf numFmtId="0" fontId="213" fillId="65" borderId="772" applyNumberFormat="0" applyAlignment="0" applyProtection="0"/>
    <xf numFmtId="182" fontId="225" fillId="0" borderId="726" applyFill="0" applyProtection="0"/>
    <xf numFmtId="200" fontId="225" fillId="0" borderId="726" applyFill="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0" fontId="213" fillId="65" borderId="709" applyNumberFormat="0" applyAlignment="0" applyProtection="0"/>
    <xf numFmtId="200" fontId="225" fillId="0" borderId="726" applyFill="0" applyProtection="0"/>
    <xf numFmtId="0" fontId="206" fillId="78" borderId="709" applyNumberFormat="0" applyAlignment="0" applyProtection="0"/>
    <xf numFmtId="0" fontId="238" fillId="59" borderId="709" applyNumberFormat="0" applyAlignment="0" applyProtection="0"/>
    <xf numFmtId="0" fontId="213" fillId="80" borderId="709" applyNumberFormat="0" applyAlignment="0" applyProtection="0"/>
    <xf numFmtId="0" fontId="213" fillId="80" borderId="709" applyNumberFormat="0" applyAlignment="0" applyProtection="0"/>
    <xf numFmtId="0" fontId="174" fillId="0" borderId="730" applyNumberFormat="0" applyFill="0" applyAlignment="0" applyProtection="0"/>
    <xf numFmtId="0" fontId="213" fillId="65" borderId="727" applyNumberFormat="0" applyAlignment="0" applyProtection="0"/>
    <xf numFmtId="0" fontId="203" fillId="81" borderId="773" applyNumberFormat="0" applyFont="0" applyAlignment="0" applyProtection="0"/>
    <xf numFmtId="0" fontId="213" fillId="65" borderId="835" applyNumberFormat="0" applyAlignment="0" applyProtection="0"/>
    <xf numFmtId="0" fontId="176" fillId="81" borderId="728" applyNumberFormat="0" applyFont="0" applyAlignment="0" applyProtection="0"/>
    <xf numFmtId="0" fontId="213" fillId="65" borderId="907" applyNumberFormat="0" applyAlignment="0" applyProtection="0"/>
    <xf numFmtId="0" fontId="213" fillId="65" borderId="718" applyNumberFormat="0" applyAlignment="0" applyProtection="0"/>
    <xf numFmtId="0" fontId="206" fillId="78" borderId="727" applyNumberFormat="0" applyAlignment="0" applyProtection="0"/>
    <xf numFmtId="0" fontId="213" fillId="65" borderId="727"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80" borderId="718" applyNumberFormat="0" applyAlignment="0" applyProtection="0"/>
    <xf numFmtId="0" fontId="213" fillId="65" borderId="718" applyNumberFormat="0" applyAlignment="0" applyProtection="0"/>
    <xf numFmtId="0" fontId="213" fillId="80" borderId="718" applyNumberFormat="0" applyAlignment="0" applyProtection="0"/>
    <xf numFmtId="0" fontId="8" fillId="81" borderId="719" applyNumberFormat="0" applyFont="0" applyAlignment="0" applyProtection="0"/>
    <xf numFmtId="0" fontId="176"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176" fillId="81" borderId="719" applyNumberFormat="0" applyFont="0" applyAlignment="0" applyProtection="0"/>
    <xf numFmtId="0" fontId="216" fillId="59" borderId="720" applyNumberFormat="0" applyAlignment="0" applyProtection="0"/>
    <xf numFmtId="0" fontId="174" fillId="0" borderId="721" applyNumberFormat="0" applyFill="0" applyAlignment="0" applyProtection="0"/>
    <xf numFmtId="0" fontId="206" fillId="78" borderId="718" applyNumberFormat="0" applyAlignment="0" applyProtection="0"/>
    <xf numFmtId="0" fontId="206" fillId="78" borderId="718" applyNumberFormat="0" applyAlignment="0" applyProtection="0"/>
    <xf numFmtId="182" fontId="225" fillId="0" borderId="717" applyFill="0" applyProtection="0"/>
    <xf numFmtId="182" fontId="225" fillId="0" borderId="717" applyFill="0" applyProtection="0"/>
    <xf numFmtId="182" fontId="225" fillId="0" borderId="717" applyFill="0" applyProtection="0"/>
    <xf numFmtId="200" fontId="225" fillId="0" borderId="717" applyFill="0" applyProtection="0"/>
    <xf numFmtId="200" fontId="225" fillId="0" borderId="717" applyFill="0" applyProtection="0"/>
    <xf numFmtId="200" fontId="225" fillId="0" borderId="717" applyFill="0" applyProtection="0"/>
    <xf numFmtId="0" fontId="153" fillId="0" borderId="716">
      <alignment horizontal="left" vertical="center"/>
    </xf>
    <xf numFmtId="0" fontId="229" fillId="83" borderId="722" applyAlignment="0">
      <alignment horizontal="center"/>
    </xf>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13" fillId="65" borderId="718" applyNumberFormat="0" applyAlignment="0" applyProtection="0"/>
    <xf numFmtId="0" fontId="229" fillId="83" borderId="722" applyAlignment="0">
      <alignment horizontal="center"/>
    </xf>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29" fillId="83" borderId="722" applyAlignment="0">
      <alignment horizontal="center"/>
    </xf>
    <xf numFmtId="0" fontId="229" fillId="83" borderId="722" applyAlignment="0">
      <alignment horizontal="center"/>
    </xf>
    <xf numFmtId="0" fontId="213" fillId="65" borderId="718" applyNumberFormat="0" applyAlignment="0" applyProtection="0"/>
    <xf numFmtId="0" fontId="216" fillId="78" borderId="720" applyNumberFormat="0" applyAlignment="0" applyProtection="0"/>
    <xf numFmtId="0" fontId="174" fillId="0" borderId="723" applyNumberFormat="0" applyFill="0" applyAlignment="0" applyProtection="0"/>
    <xf numFmtId="0" fontId="216" fillId="78" borderId="720" applyNumberFormat="0" applyAlignment="0" applyProtection="0"/>
    <xf numFmtId="0" fontId="174" fillId="0" borderId="723" applyNumberFormat="0" applyFill="0" applyAlignment="0" applyProtection="0"/>
    <xf numFmtId="182" fontId="225" fillId="0" borderId="717" applyFill="0" applyProtection="0"/>
    <xf numFmtId="200" fontId="225" fillId="0" borderId="717" applyFill="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03" fillId="81" borderId="719" applyNumberFormat="0" applyFont="0" applyAlignment="0" applyProtection="0"/>
    <xf numFmtId="0" fontId="213" fillId="65" borderId="718" applyNumberFormat="0" applyAlignment="0" applyProtection="0"/>
    <xf numFmtId="0" fontId="203" fillId="81" borderId="719" applyNumberFormat="0" applyFont="0" applyAlignment="0" applyProtection="0"/>
    <xf numFmtId="0" fontId="216" fillId="78" borderId="720" applyNumberFormat="0" applyAlignment="0" applyProtection="0"/>
    <xf numFmtId="0" fontId="174" fillId="0" borderId="723" applyNumberFormat="0" applyFill="0" applyAlignment="0" applyProtection="0"/>
    <xf numFmtId="0" fontId="249" fillId="59" borderId="718" applyNumberFormat="0" applyAlignment="0" applyProtection="0"/>
    <xf numFmtId="0" fontId="254" fillId="80" borderId="718" applyNumberFormat="0" applyAlignment="0" applyProtection="0"/>
    <xf numFmtId="0" fontId="257" fillId="59" borderId="720" applyNumberFormat="0" applyAlignment="0" applyProtection="0"/>
    <xf numFmtId="0" fontId="244" fillId="0" borderId="717" applyNumberFormat="0" applyFont="0" applyFill="0" applyAlignment="0" applyProtection="0"/>
    <xf numFmtId="0" fontId="178" fillId="0" borderId="724" applyProtection="0"/>
    <xf numFmtId="0" fontId="176" fillId="81" borderId="719" applyNumberFormat="0" applyFont="0" applyAlignment="0" applyProtection="0"/>
    <xf numFmtId="0" fontId="8" fillId="81" borderId="719" applyNumberFormat="0" applyFont="0" applyAlignment="0" applyProtection="0"/>
    <xf numFmtId="182" fontId="225" fillId="0" borderId="717" applyFill="0" applyProtection="0"/>
    <xf numFmtId="200" fontId="225" fillId="0" borderId="717" applyFill="0" applyProtection="0"/>
    <xf numFmtId="0" fontId="213" fillId="65" borderId="718" applyNumberFormat="0" applyAlignment="0" applyProtection="0"/>
    <xf numFmtId="0" fontId="203" fillId="81" borderId="719" applyNumberFormat="0" applyFont="0" applyAlignment="0" applyProtection="0"/>
    <xf numFmtId="0" fontId="203" fillId="81" borderId="719" applyNumberFormat="0" applyFont="0" applyAlignment="0" applyProtection="0"/>
    <xf numFmtId="182" fontId="225" fillId="0" borderId="717" applyFill="0" applyProtection="0"/>
    <xf numFmtId="200" fontId="225" fillId="0" borderId="717" applyFill="0" applyProtection="0"/>
    <xf numFmtId="0" fontId="153" fillId="0" borderId="716">
      <alignment horizontal="left" vertical="center"/>
    </xf>
    <xf numFmtId="0" fontId="203" fillId="81" borderId="719" applyNumberFormat="0" applyFont="0" applyAlignment="0" applyProtection="0"/>
    <xf numFmtId="0" fontId="153" fillId="0" borderId="716">
      <alignment horizontal="left" vertical="center"/>
    </xf>
    <xf numFmtId="0" fontId="213" fillId="80" borderId="718" applyNumberFormat="0" applyAlignment="0" applyProtection="0"/>
    <xf numFmtId="0" fontId="8" fillId="81" borderId="719" applyNumberFormat="0" applyFont="0" applyAlignment="0" applyProtection="0"/>
    <xf numFmtId="182" fontId="225" fillId="0" borderId="717" applyFill="0" applyProtection="0"/>
    <xf numFmtId="200" fontId="225" fillId="0" borderId="717" applyFill="0" applyProtection="0"/>
    <xf numFmtId="182" fontId="225" fillId="0" borderId="717" applyFill="0" applyProtection="0"/>
    <xf numFmtId="200" fontId="225" fillId="0" borderId="717" applyFill="0" applyProtection="0"/>
    <xf numFmtId="0" fontId="153" fillId="0" borderId="716">
      <alignment horizontal="left" vertical="center"/>
    </xf>
    <xf numFmtId="182" fontId="225" fillId="0" borderId="717" applyFill="0" applyProtection="0"/>
    <xf numFmtId="200" fontId="225" fillId="0" borderId="717" applyFill="0" applyProtection="0"/>
    <xf numFmtId="0" fontId="176" fillId="81" borderId="719" applyNumberFormat="0" applyFont="0" applyAlignment="0" applyProtection="0"/>
    <xf numFmtId="0" fontId="203" fillId="81" borderId="719" applyNumberFormat="0" applyFont="0" applyAlignment="0" applyProtection="0"/>
    <xf numFmtId="0" fontId="213" fillId="65" borderId="718" applyNumberFormat="0" applyAlignment="0" applyProtection="0"/>
    <xf numFmtId="0" fontId="229" fillId="83" borderId="686" applyAlignment="0">
      <alignment horizontal="center"/>
    </xf>
    <xf numFmtId="0" fontId="203" fillId="81" borderId="701" applyNumberFormat="0" applyFont="0" applyAlignment="0" applyProtection="0"/>
    <xf numFmtId="0" fontId="176" fillId="81" borderId="998" applyNumberFormat="0" applyFont="0" applyAlignment="0" applyProtection="0"/>
    <xf numFmtId="0" fontId="203" fillId="81" borderId="899" applyNumberFormat="0" applyFont="0" applyAlignment="0" applyProtection="0"/>
    <xf numFmtId="0" fontId="213" fillId="80" borderId="907" applyNumberFormat="0" applyAlignment="0" applyProtection="0"/>
    <xf numFmtId="0" fontId="213" fillId="65" borderId="826" applyNumberFormat="0" applyAlignment="0" applyProtection="0"/>
    <xf numFmtId="0" fontId="174" fillId="0" borderId="1045" applyNumberFormat="0" applyFill="0" applyAlignment="0" applyProtection="0"/>
    <xf numFmtId="200" fontId="225" fillId="0" borderId="771" applyFill="0" applyProtection="0"/>
    <xf numFmtId="0" fontId="203" fillId="81" borderId="926" applyNumberFormat="0" applyFont="0" applyAlignment="0" applyProtection="0"/>
    <xf numFmtId="182" fontId="225" fillId="0" borderId="1041" applyFill="0" applyProtection="0"/>
    <xf numFmtId="0" fontId="203" fillId="81" borderId="818" applyNumberFormat="0" applyFont="0" applyAlignment="0" applyProtection="0"/>
    <xf numFmtId="0" fontId="238" fillId="59" borderId="862" applyNumberFormat="0" applyAlignment="0" applyProtection="0"/>
    <xf numFmtId="0" fontId="213" fillId="65" borderId="916" applyNumberFormat="0" applyAlignment="0" applyProtection="0"/>
    <xf numFmtId="0" fontId="213" fillId="80" borderId="817" applyNumberFormat="0" applyAlignment="0" applyProtection="0"/>
    <xf numFmtId="0" fontId="213" fillId="65" borderId="1006" applyNumberFormat="0" applyAlignment="0" applyProtection="0"/>
    <xf numFmtId="0" fontId="213" fillId="65" borderId="907" applyNumberFormat="0" applyAlignment="0" applyProtection="0"/>
    <xf numFmtId="0" fontId="213" fillId="65" borderId="835" applyNumberFormat="0" applyAlignment="0" applyProtection="0"/>
    <xf numFmtId="0" fontId="213" fillId="65" borderId="772" applyNumberFormat="0" applyAlignment="0" applyProtection="0"/>
    <xf numFmtId="200" fontId="225" fillId="0" borderId="996" applyFill="0" applyProtection="0"/>
    <xf numFmtId="0" fontId="257" fillId="59" borderId="837" applyNumberFormat="0" applyAlignment="0" applyProtection="0"/>
    <xf numFmtId="182" fontId="225" fillId="0" borderId="915" applyFill="0" applyProtection="0"/>
    <xf numFmtId="0" fontId="213" fillId="65" borderId="1051" applyNumberFormat="0" applyAlignment="0" applyProtection="0"/>
    <xf numFmtId="0" fontId="213" fillId="65" borderId="907" applyNumberFormat="0" applyAlignment="0" applyProtection="0"/>
    <xf numFmtId="0" fontId="203" fillId="81" borderId="863" applyNumberFormat="0" applyFont="0" applyAlignment="0" applyProtection="0"/>
    <xf numFmtId="0" fontId="213" fillId="65" borderId="925" applyNumberFormat="0" applyAlignment="0" applyProtection="0"/>
    <xf numFmtId="0" fontId="8" fillId="81" borderId="953" applyNumberFormat="0" applyFont="0" applyAlignment="0" applyProtection="0"/>
    <xf numFmtId="0" fontId="229" fillId="83" borderId="912" applyAlignment="0">
      <alignment horizontal="center"/>
    </xf>
    <xf numFmtId="0" fontId="203" fillId="81" borderId="998" applyNumberFormat="0" applyFont="0" applyAlignment="0" applyProtection="0"/>
    <xf numFmtId="0" fontId="203" fillId="81" borderId="827" applyNumberFormat="0" applyFont="0" applyAlignment="0" applyProtection="0"/>
    <xf numFmtId="0" fontId="213" fillId="65" borderId="871" applyNumberFormat="0" applyAlignment="0" applyProtection="0"/>
    <xf numFmtId="0" fontId="213" fillId="65" borderId="997" applyNumberFormat="0" applyAlignment="0" applyProtection="0"/>
    <xf numFmtId="0" fontId="213" fillId="65" borderId="862" applyNumberFormat="0" applyAlignment="0" applyProtection="0"/>
    <xf numFmtId="0" fontId="203" fillId="81" borderId="917" applyNumberFormat="0" applyFont="0" applyAlignment="0" applyProtection="0"/>
    <xf numFmtId="0" fontId="213" fillId="65" borderId="1042" applyNumberFormat="0" applyAlignment="0" applyProtection="0"/>
    <xf numFmtId="0" fontId="213" fillId="65" borderId="961" applyNumberFormat="0" applyAlignment="0" applyProtection="0"/>
    <xf numFmtId="0" fontId="8" fillId="81" borderId="971" applyNumberFormat="0" applyFont="0" applyAlignment="0" applyProtection="0"/>
    <xf numFmtId="0" fontId="176" fillId="81" borderId="773" applyNumberFormat="0" applyFont="0" applyAlignment="0" applyProtection="0"/>
    <xf numFmtId="0" fontId="213" fillId="65" borderId="1042" applyNumberFormat="0" applyAlignment="0" applyProtection="0"/>
    <xf numFmtId="200" fontId="225" fillId="0" borderId="924" applyFill="0" applyProtection="0"/>
    <xf numFmtId="0" fontId="238" fillId="59" borderId="754" applyNumberFormat="0" applyAlignment="0" applyProtection="0"/>
    <xf numFmtId="0" fontId="229" fillId="83" borderId="749" applyAlignment="0">
      <alignment horizontal="center"/>
    </xf>
    <xf numFmtId="0" fontId="213" fillId="65" borderId="745" applyNumberFormat="0" applyAlignment="0" applyProtection="0"/>
    <xf numFmtId="0" fontId="238" fillId="59"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80" borderId="745" applyNumberFormat="0" applyAlignment="0" applyProtection="0"/>
    <xf numFmtId="0" fontId="213" fillId="65" borderId="745" applyNumberFormat="0" applyAlignment="0" applyProtection="0"/>
    <xf numFmtId="0" fontId="213" fillId="80" borderId="745" applyNumberFormat="0" applyAlignment="0" applyProtection="0"/>
    <xf numFmtId="0" fontId="203" fillId="81" borderId="953" applyNumberFormat="0" applyFont="0" applyAlignment="0" applyProtection="0"/>
    <xf numFmtId="0" fontId="203" fillId="81" borderId="773" applyNumberFormat="0" applyFont="0" applyAlignment="0" applyProtection="0"/>
    <xf numFmtId="0" fontId="203" fillId="81" borderId="926" applyNumberFormat="0" applyFont="0" applyAlignment="0" applyProtection="0"/>
    <xf numFmtId="0" fontId="203" fillId="81" borderId="773" applyNumberFormat="0" applyFont="0" applyAlignment="0" applyProtection="0"/>
    <xf numFmtId="182" fontId="225" fillId="0" borderId="771" applyFill="0" applyProtection="0"/>
    <xf numFmtId="0" fontId="8" fillId="81" borderId="746" applyNumberFormat="0" applyFont="0" applyAlignment="0" applyProtection="0"/>
    <xf numFmtId="0" fontId="176"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176" fillId="81" borderId="746" applyNumberFormat="0" applyFont="0" applyAlignment="0" applyProtection="0"/>
    <xf numFmtId="0" fontId="216" fillId="59" borderId="747" applyNumberFormat="0" applyAlignment="0" applyProtection="0"/>
    <xf numFmtId="0" fontId="174" fillId="0" borderId="748" applyNumberFormat="0" applyFill="0" applyAlignment="0" applyProtection="0"/>
    <xf numFmtId="0" fontId="216" fillId="78" borderId="747" applyNumberFormat="0" applyAlignment="0" applyProtection="0"/>
    <xf numFmtId="0" fontId="174" fillId="0" borderId="750" applyNumberFormat="0" applyFill="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200" fontId="225" fillId="0" borderId="924" applyFill="0" applyProtection="0"/>
    <xf numFmtId="0" fontId="153" fillId="0" borderId="770">
      <alignment horizontal="left" vertical="center"/>
    </xf>
    <xf numFmtId="0" fontId="203" fillId="81" borderId="746" applyNumberFormat="0" applyFont="0" applyAlignment="0" applyProtection="0"/>
    <xf numFmtId="0" fontId="206" fillId="78" borderId="745" applyNumberFormat="0" applyAlignment="0" applyProtection="0"/>
    <xf numFmtId="0" fontId="176" fillId="81" borderId="746" applyNumberFormat="0" applyFont="0" applyAlignment="0" applyProtection="0"/>
    <xf numFmtId="0" fontId="238" fillId="59" borderId="745" applyNumberFormat="0" applyAlignment="0" applyProtection="0"/>
    <xf numFmtId="0" fontId="213" fillId="80" borderId="745" applyNumberFormat="0" applyAlignment="0" applyProtection="0"/>
    <xf numFmtId="0" fontId="8" fillId="81" borderId="746" applyNumberFormat="0" applyFont="0" applyAlignment="0" applyProtection="0"/>
    <xf numFmtId="0" fontId="216" fillId="59" borderId="747" applyNumberFormat="0" applyAlignment="0" applyProtection="0"/>
    <xf numFmtId="0" fontId="213" fillId="80" borderId="745" applyNumberFormat="0" applyAlignment="0" applyProtection="0"/>
    <xf numFmtId="0" fontId="176" fillId="81" borderId="746" applyNumberFormat="0" applyFont="0" applyAlignment="0" applyProtection="0"/>
    <xf numFmtId="0" fontId="203" fillId="81" borderId="1007" applyNumberFormat="0" applyFont="0" applyAlignment="0" applyProtection="0"/>
    <xf numFmtId="0" fontId="203" fillId="81" borderId="908" applyNumberFormat="0" applyFont="0" applyAlignment="0" applyProtection="0"/>
    <xf numFmtId="182" fontId="225" fillId="0" borderId="771" applyFill="0" applyProtection="0"/>
    <xf numFmtId="0" fontId="203" fillId="81" borderId="773" applyNumberFormat="0" applyFont="0" applyAlignment="0" applyProtection="0"/>
    <xf numFmtId="200" fontId="225" fillId="0" borderId="771" applyFill="0" applyProtection="0"/>
    <xf numFmtId="182" fontId="225" fillId="0" borderId="771" applyFill="0" applyProtection="0"/>
    <xf numFmtId="0" fontId="213" fillId="65" borderId="772" applyNumberFormat="0" applyAlignment="0" applyProtection="0"/>
    <xf numFmtId="0" fontId="153" fillId="0" borderId="995">
      <alignment horizontal="left" vertical="center"/>
    </xf>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80" borderId="754" applyNumberFormat="0" applyAlignment="0" applyProtection="0"/>
    <xf numFmtId="0" fontId="213" fillId="65" borderId="754" applyNumberFormat="0" applyAlignment="0" applyProtection="0"/>
    <xf numFmtId="0" fontId="213" fillId="80" borderId="754" applyNumberFormat="0" applyAlignment="0" applyProtection="0"/>
    <xf numFmtId="0" fontId="8" fillId="81" borderId="755" applyNumberFormat="0" applyFont="0" applyAlignment="0" applyProtection="0"/>
    <xf numFmtId="0" fontId="176"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176" fillId="81" borderId="755" applyNumberFormat="0" applyFont="0" applyAlignment="0" applyProtection="0"/>
    <xf numFmtId="0" fontId="216" fillId="59" borderId="756" applyNumberFormat="0" applyAlignment="0" applyProtection="0"/>
    <xf numFmtId="0" fontId="174" fillId="0" borderId="757" applyNumberFormat="0" applyFill="0" applyAlignment="0" applyProtection="0"/>
    <xf numFmtId="0" fontId="206" fillId="78" borderId="754" applyNumberFormat="0" applyAlignment="0" applyProtection="0"/>
    <xf numFmtId="0" fontId="206" fillId="78" borderId="754" applyNumberFormat="0" applyAlignment="0" applyProtection="0"/>
    <xf numFmtId="182" fontId="225" fillId="0" borderId="753" applyFill="0" applyProtection="0"/>
    <xf numFmtId="182" fontId="225" fillId="0" borderId="753" applyFill="0" applyProtection="0"/>
    <xf numFmtId="182" fontId="225" fillId="0" borderId="753" applyFill="0" applyProtection="0"/>
    <xf numFmtId="200" fontId="225" fillId="0" borderId="753" applyFill="0" applyProtection="0"/>
    <xf numFmtId="200" fontId="225" fillId="0" borderId="753" applyFill="0" applyProtection="0"/>
    <xf numFmtId="200" fontId="225" fillId="0" borderId="753" applyFill="0" applyProtection="0"/>
    <xf numFmtId="0" fontId="153" fillId="0" borderId="752">
      <alignment horizontal="left" vertical="center"/>
    </xf>
    <xf numFmtId="0" fontId="229" fillId="83" borderId="758" applyAlignment="0">
      <alignment horizontal="center"/>
    </xf>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29" fillId="83" borderId="758" applyAlignment="0">
      <alignment horizontal="center"/>
    </xf>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16" fillId="78" borderId="747" applyNumberFormat="0" applyAlignment="0" applyProtection="0"/>
    <xf numFmtId="0" fontId="174" fillId="0" borderId="750" applyNumberFormat="0" applyFill="0" applyAlignment="0" applyProtection="0"/>
    <xf numFmtId="0" fontId="229" fillId="83" borderId="758" applyAlignment="0">
      <alignment horizontal="center"/>
    </xf>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13" fillId="65" borderId="745" applyNumberForma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6" fillId="78" borderId="745" applyNumberFormat="0" applyAlignment="0" applyProtection="0"/>
    <xf numFmtId="0" fontId="176" fillId="81" borderId="746" applyNumberFormat="0" applyFont="0" applyAlignment="0" applyProtection="0"/>
    <xf numFmtId="0" fontId="238" fillId="59" borderId="745" applyNumberFormat="0" applyAlignment="0" applyProtection="0"/>
    <xf numFmtId="0" fontId="213" fillId="80" borderId="745" applyNumberFormat="0" applyAlignment="0" applyProtection="0"/>
    <xf numFmtId="0" fontId="8" fillId="81" borderId="746" applyNumberFormat="0" applyFont="0" applyAlignment="0" applyProtection="0"/>
    <xf numFmtId="0" fontId="216" fillId="59" borderId="747" applyNumberFormat="0" applyAlignment="0" applyProtection="0"/>
    <xf numFmtId="0" fontId="174" fillId="0" borderId="748" applyNumberFormat="0" applyFill="0" applyAlignment="0" applyProtection="0"/>
    <xf numFmtId="0" fontId="213" fillId="80" borderId="745" applyNumberFormat="0" applyAlignment="0" applyProtection="0"/>
    <xf numFmtId="0" fontId="229" fillId="83" borderId="758" applyAlignment="0">
      <alignment horizontal="center"/>
    </xf>
    <xf numFmtId="0" fontId="176" fillId="81" borderId="746" applyNumberFormat="0" applyFont="0" applyAlignment="0" applyProtection="0"/>
    <xf numFmtId="0" fontId="213" fillId="65" borderId="754" applyNumberFormat="0" applyAlignment="0" applyProtection="0"/>
    <xf numFmtId="0" fontId="216" fillId="78" borderId="756" applyNumberFormat="0" applyAlignment="0" applyProtection="0"/>
    <xf numFmtId="0" fontId="174" fillId="0" borderId="759" applyNumberFormat="0" applyFill="0" applyAlignment="0" applyProtection="0"/>
    <xf numFmtId="0" fontId="216" fillId="78" borderId="756" applyNumberFormat="0" applyAlignment="0" applyProtection="0"/>
    <xf numFmtId="0" fontId="174" fillId="0" borderId="759" applyNumberFormat="0" applyFill="0" applyAlignment="0" applyProtection="0"/>
    <xf numFmtId="182" fontId="225" fillId="0" borderId="753" applyFill="0" applyProtection="0"/>
    <xf numFmtId="200" fontId="225" fillId="0" borderId="753" applyFill="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03" fillId="81" borderId="755" applyNumberFormat="0" applyFont="0" applyAlignment="0" applyProtection="0"/>
    <xf numFmtId="0" fontId="213" fillId="65" borderId="754" applyNumberFormat="0" applyAlignment="0" applyProtection="0"/>
    <xf numFmtId="0" fontId="203" fillId="81" borderId="755" applyNumberFormat="0" applyFont="0" applyAlignment="0" applyProtection="0"/>
    <xf numFmtId="0" fontId="216" fillId="78" borderId="756" applyNumberFormat="0" applyAlignment="0" applyProtection="0"/>
    <xf numFmtId="0" fontId="174" fillId="0" borderId="759" applyNumberFormat="0" applyFill="0" applyAlignment="0" applyProtection="0"/>
    <xf numFmtId="0" fontId="249" fillId="59" borderId="754" applyNumberFormat="0" applyAlignment="0" applyProtection="0"/>
    <xf numFmtId="0" fontId="254" fillId="80" borderId="754" applyNumberFormat="0" applyAlignment="0" applyProtection="0"/>
    <xf numFmtId="0" fontId="257" fillId="59" borderId="756" applyNumberFormat="0" applyAlignment="0" applyProtection="0"/>
    <xf numFmtId="0" fontId="244" fillId="0" borderId="753" applyNumberFormat="0" applyFont="0" applyFill="0" applyAlignment="0" applyProtection="0"/>
    <xf numFmtId="0" fontId="178" fillId="0" borderId="760" applyProtection="0"/>
    <xf numFmtId="0" fontId="176" fillId="81" borderId="755" applyNumberFormat="0" applyFont="0" applyAlignment="0" applyProtection="0"/>
    <xf numFmtId="0" fontId="8" fillId="81" borderId="755" applyNumberFormat="0" applyFont="0" applyAlignment="0" applyProtection="0"/>
    <xf numFmtId="182" fontId="225" fillId="0" borderId="753" applyFill="0" applyProtection="0"/>
    <xf numFmtId="200" fontId="225" fillId="0" borderId="753" applyFill="0" applyProtection="0"/>
    <xf numFmtId="0" fontId="213" fillId="65" borderId="754" applyNumberFormat="0" applyAlignment="0" applyProtection="0"/>
    <xf numFmtId="0" fontId="203" fillId="81" borderId="755" applyNumberFormat="0" applyFont="0" applyAlignment="0" applyProtection="0"/>
    <xf numFmtId="0" fontId="203" fillId="81" borderId="755" applyNumberFormat="0" applyFont="0" applyAlignment="0" applyProtection="0"/>
    <xf numFmtId="182" fontId="225" fillId="0" borderId="753" applyFill="0" applyProtection="0"/>
    <xf numFmtId="200" fontId="225" fillId="0" borderId="753" applyFill="0" applyProtection="0"/>
    <xf numFmtId="0" fontId="153" fillId="0" borderId="752">
      <alignment horizontal="left" vertical="center"/>
    </xf>
    <xf numFmtId="0" fontId="203" fillId="81" borderId="755" applyNumberFormat="0" applyFont="0" applyAlignment="0" applyProtection="0"/>
    <xf numFmtId="0" fontId="153" fillId="0" borderId="752">
      <alignment horizontal="left" vertical="center"/>
    </xf>
    <xf numFmtId="0" fontId="213" fillId="80" borderId="754" applyNumberFormat="0" applyAlignment="0" applyProtection="0"/>
    <xf numFmtId="0" fontId="8" fillId="81" borderId="755" applyNumberFormat="0" applyFont="0" applyAlignment="0" applyProtection="0"/>
    <xf numFmtId="182" fontId="225" fillId="0" borderId="753" applyFill="0" applyProtection="0"/>
    <xf numFmtId="200" fontId="225" fillId="0" borderId="753" applyFill="0" applyProtection="0"/>
    <xf numFmtId="182" fontId="225" fillId="0" borderId="753" applyFill="0" applyProtection="0"/>
    <xf numFmtId="200" fontId="225" fillId="0" borderId="753" applyFill="0" applyProtection="0"/>
    <xf numFmtId="0" fontId="153" fillId="0" borderId="752">
      <alignment horizontal="left" vertical="center"/>
    </xf>
    <xf numFmtId="0" fontId="203" fillId="81" borderId="746" applyNumberFormat="0" applyFont="0" applyAlignment="0" applyProtection="0"/>
    <xf numFmtId="182" fontId="225" fillId="0" borderId="753" applyFill="0" applyProtection="0"/>
    <xf numFmtId="200" fontId="225" fillId="0" borderId="753" applyFill="0" applyProtection="0"/>
    <xf numFmtId="0" fontId="176" fillId="81" borderId="755" applyNumberFormat="0" applyFont="0" applyAlignment="0" applyProtection="0"/>
    <xf numFmtId="0" fontId="203" fillId="81" borderId="755"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03" fillId="81" borderId="746" applyNumberFormat="0" applyFont="0" applyAlignment="0" applyProtection="0"/>
    <xf numFmtId="0" fontId="213" fillId="65" borderId="754" applyNumberFormat="0" applyAlignment="0" applyProtection="0"/>
    <xf numFmtId="0" fontId="238" fillId="59" borderId="763" applyNumberFormat="0" applyAlignment="0" applyProtection="0"/>
    <xf numFmtId="0" fontId="213" fillId="65" borderId="754" applyNumberFormat="0" applyAlignment="0" applyProtection="0"/>
    <xf numFmtId="0" fontId="229" fillId="83" borderId="867" applyAlignment="0">
      <alignment horizontal="center"/>
    </xf>
    <xf numFmtId="182" fontId="225" fillId="0" borderId="771" applyFill="0" applyProtection="0"/>
    <xf numFmtId="200" fontId="225" fillId="0" borderId="771" applyFill="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213" fillId="65" borderId="754" applyNumberFormat="0" applyAlignment="0" applyProtection="0"/>
    <xf numFmtId="0" fontId="174" fillId="0" borderId="993" applyNumberFormat="0" applyFill="0" applyAlignment="0" applyProtection="0"/>
    <xf numFmtId="200" fontId="225" fillId="0" borderId="771" applyFill="0" applyProtection="0"/>
    <xf numFmtId="0" fontId="206" fillId="78" borderId="754" applyNumberFormat="0" applyAlignment="0" applyProtection="0"/>
    <xf numFmtId="0" fontId="238" fillId="59" borderId="754" applyNumberFormat="0" applyAlignment="0" applyProtection="0"/>
    <xf numFmtId="0" fontId="213" fillId="80" borderId="754" applyNumberFormat="0" applyAlignment="0" applyProtection="0"/>
    <xf numFmtId="0" fontId="213" fillId="80" borderId="754" applyNumberFormat="0" applyAlignment="0" applyProtection="0"/>
    <xf numFmtId="0" fontId="174" fillId="0" borderId="775" applyNumberFormat="0" applyFill="0" applyAlignment="0" applyProtection="0"/>
    <xf numFmtId="0" fontId="213" fillId="65" borderId="961" applyNumberFormat="0" applyAlignment="0" applyProtection="0"/>
    <xf numFmtId="0" fontId="213" fillId="65" borderId="880" applyNumberFormat="0" applyAlignment="0" applyProtection="0"/>
    <xf numFmtId="182" fontId="225" fillId="0" borderId="906" applyFill="0" applyProtection="0"/>
    <xf numFmtId="0" fontId="176" fillId="81" borderId="773" applyNumberFormat="0" applyFont="0" applyAlignment="0" applyProtection="0"/>
    <xf numFmtId="0" fontId="213" fillId="65" borderId="772" applyNumberFormat="0" applyAlignment="0" applyProtection="0"/>
    <xf numFmtId="0" fontId="213" fillId="65" borderId="763" applyNumberFormat="0" applyAlignment="0" applyProtection="0"/>
    <xf numFmtId="0" fontId="206" fillId="78" borderId="772"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80" borderId="763" applyNumberFormat="0" applyAlignment="0" applyProtection="0"/>
    <xf numFmtId="0" fontId="213" fillId="65" borderId="763" applyNumberFormat="0" applyAlignment="0" applyProtection="0"/>
    <xf numFmtId="0" fontId="213" fillId="80" borderId="763" applyNumberFormat="0" applyAlignment="0" applyProtection="0"/>
    <xf numFmtId="0" fontId="8" fillId="81" borderId="764" applyNumberFormat="0" applyFont="0" applyAlignment="0" applyProtection="0"/>
    <xf numFmtId="0" fontId="176"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176" fillId="81" borderId="764" applyNumberFormat="0" applyFont="0" applyAlignment="0" applyProtection="0"/>
    <xf numFmtId="0" fontId="216" fillId="59" borderId="765" applyNumberFormat="0" applyAlignment="0" applyProtection="0"/>
    <xf numFmtId="0" fontId="174" fillId="0" borderId="766" applyNumberFormat="0" applyFill="0" applyAlignment="0" applyProtection="0"/>
    <xf numFmtId="0" fontId="206" fillId="78" borderId="763" applyNumberFormat="0" applyAlignment="0" applyProtection="0"/>
    <xf numFmtId="0" fontId="206" fillId="78" borderId="763" applyNumberFormat="0" applyAlignment="0" applyProtection="0"/>
    <xf numFmtId="182" fontId="225" fillId="0" borderId="762" applyFill="0" applyProtection="0"/>
    <xf numFmtId="182" fontId="225" fillId="0" borderId="762" applyFill="0" applyProtection="0"/>
    <xf numFmtId="182" fontId="225" fillId="0" borderId="762" applyFill="0" applyProtection="0"/>
    <xf numFmtId="200" fontId="225" fillId="0" borderId="762" applyFill="0" applyProtection="0"/>
    <xf numFmtId="200" fontId="225" fillId="0" borderId="762" applyFill="0" applyProtection="0"/>
    <xf numFmtId="200" fontId="225" fillId="0" borderId="762" applyFill="0" applyProtection="0"/>
    <xf numFmtId="0" fontId="153" fillId="0" borderId="761">
      <alignment horizontal="left" vertical="center"/>
    </xf>
    <xf numFmtId="0" fontId="229" fillId="83" borderId="767" applyAlignment="0">
      <alignment horizontal="center"/>
    </xf>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13" fillId="65" borderId="763" applyNumberFormat="0" applyAlignment="0" applyProtection="0"/>
    <xf numFmtId="0" fontId="229" fillId="83" borderId="767" applyAlignment="0">
      <alignment horizontal="center"/>
    </xf>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29" fillId="83" borderId="767" applyAlignment="0">
      <alignment horizontal="center"/>
    </xf>
    <xf numFmtId="0" fontId="229" fillId="83" borderId="767" applyAlignment="0">
      <alignment horizontal="center"/>
    </xf>
    <xf numFmtId="0" fontId="213" fillId="65" borderId="763" applyNumberFormat="0" applyAlignment="0" applyProtection="0"/>
    <xf numFmtId="0" fontId="216" fillId="78" borderId="765" applyNumberFormat="0" applyAlignment="0" applyProtection="0"/>
    <xf numFmtId="0" fontId="174" fillId="0" borderId="768" applyNumberFormat="0" applyFill="0" applyAlignment="0" applyProtection="0"/>
    <xf numFmtId="0" fontId="216" fillId="78" borderId="765" applyNumberFormat="0" applyAlignment="0" applyProtection="0"/>
    <xf numFmtId="0" fontId="174" fillId="0" borderId="768" applyNumberFormat="0" applyFill="0" applyAlignment="0" applyProtection="0"/>
    <xf numFmtId="182" fontId="225" fillId="0" borderId="762" applyFill="0" applyProtection="0"/>
    <xf numFmtId="200" fontId="225" fillId="0" borderId="762" applyFill="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03" fillId="81" borderId="764" applyNumberFormat="0" applyFont="0" applyAlignment="0" applyProtection="0"/>
    <xf numFmtId="0" fontId="213" fillId="65" borderId="763" applyNumberFormat="0" applyAlignment="0" applyProtection="0"/>
    <xf numFmtId="0" fontId="203" fillId="81" borderId="764" applyNumberFormat="0" applyFont="0" applyAlignment="0" applyProtection="0"/>
    <xf numFmtId="0" fontId="216" fillId="78" borderId="765" applyNumberFormat="0" applyAlignment="0" applyProtection="0"/>
    <xf numFmtId="0" fontId="174" fillId="0" borderId="768" applyNumberFormat="0" applyFill="0" applyAlignment="0" applyProtection="0"/>
    <xf numFmtId="0" fontId="249" fillId="59" borderId="763" applyNumberFormat="0" applyAlignment="0" applyProtection="0"/>
    <xf numFmtId="0" fontId="254" fillId="80" borderId="763" applyNumberFormat="0" applyAlignment="0" applyProtection="0"/>
    <xf numFmtId="0" fontId="257" fillId="59" borderId="765" applyNumberFormat="0" applyAlignment="0" applyProtection="0"/>
    <xf numFmtId="0" fontId="244" fillId="0" borderId="762" applyNumberFormat="0" applyFont="0" applyFill="0" applyAlignment="0" applyProtection="0"/>
    <xf numFmtId="0" fontId="178" fillId="0" borderId="769" applyProtection="0"/>
    <xf numFmtId="0" fontId="176" fillId="81" borderId="764" applyNumberFormat="0" applyFont="0" applyAlignment="0" applyProtection="0"/>
    <xf numFmtId="0" fontId="8" fillId="81" borderId="764" applyNumberFormat="0" applyFont="0" applyAlignment="0" applyProtection="0"/>
    <xf numFmtId="182" fontId="225" fillId="0" borderId="762" applyFill="0" applyProtection="0"/>
    <xf numFmtId="200" fontId="225" fillId="0" borderId="762" applyFill="0" applyProtection="0"/>
    <xf numFmtId="0" fontId="213" fillId="65" borderId="763" applyNumberFormat="0" applyAlignment="0" applyProtection="0"/>
    <xf numFmtId="0" fontId="203" fillId="81" borderId="764" applyNumberFormat="0" applyFont="0" applyAlignment="0" applyProtection="0"/>
    <xf numFmtId="0" fontId="203" fillId="81" borderId="764" applyNumberFormat="0" applyFont="0" applyAlignment="0" applyProtection="0"/>
    <xf numFmtId="182" fontId="225" fillId="0" borderId="762" applyFill="0" applyProtection="0"/>
    <xf numFmtId="200" fontId="225" fillId="0" borderId="762" applyFill="0" applyProtection="0"/>
    <xf numFmtId="0" fontId="153" fillId="0" borderId="761">
      <alignment horizontal="left" vertical="center"/>
    </xf>
    <xf numFmtId="0" fontId="203" fillId="81" borderId="764" applyNumberFormat="0" applyFont="0" applyAlignment="0" applyProtection="0"/>
    <xf numFmtId="0" fontId="153" fillId="0" borderId="761">
      <alignment horizontal="left" vertical="center"/>
    </xf>
    <xf numFmtId="0" fontId="213" fillId="80" borderId="763" applyNumberFormat="0" applyAlignment="0" applyProtection="0"/>
    <xf numFmtId="0" fontId="8" fillId="81" borderId="764" applyNumberFormat="0" applyFont="0" applyAlignment="0" applyProtection="0"/>
    <xf numFmtId="182" fontId="225" fillId="0" borderId="762" applyFill="0" applyProtection="0"/>
    <xf numFmtId="200" fontId="225" fillId="0" borderId="762" applyFill="0" applyProtection="0"/>
    <xf numFmtId="182" fontId="225" fillId="0" borderId="762" applyFill="0" applyProtection="0"/>
    <xf numFmtId="200" fontId="225" fillId="0" borderId="762" applyFill="0" applyProtection="0"/>
    <xf numFmtId="0" fontId="153" fillId="0" borderId="761">
      <alignment horizontal="left" vertical="center"/>
    </xf>
    <xf numFmtId="182" fontId="225" fillId="0" borderId="762" applyFill="0" applyProtection="0"/>
    <xf numFmtId="200" fontId="225" fillId="0" borderId="762" applyFill="0" applyProtection="0"/>
    <xf numFmtId="0" fontId="176" fillId="81" borderId="764" applyNumberFormat="0" applyFont="0" applyAlignment="0" applyProtection="0"/>
    <xf numFmtId="0" fontId="203" fillId="81" borderId="764" applyNumberFormat="0" applyFont="0" applyAlignment="0" applyProtection="0"/>
    <xf numFmtId="0" fontId="213" fillId="65" borderId="763" applyNumberFormat="0" applyAlignment="0" applyProtection="0"/>
    <xf numFmtId="0" fontId="229" fillId="83" borderId="732" applyAlignment="0">
      <alignment horizontal="center"/>
    </xf>
    <xf numFmtId="0" fontId="203" fillId="81" borderId="746" applyNumberFormat="0" applyFont="0" applyAlignment="0" applyProtection="0"/>
    <xf numFmtId="0" fontId="213" fillId="65" borderId="817" applyNumberFormat="0" applyAlignment="0" applyProtection="0"/>
    <xf numFmtId="0" fontId="213" fillId="65" borderId="907" applyNumberFormat="0" applyAlignment="0" applyProtection="0"/>
    <xf numFmtId="0" fontId="229" fillId="83" borderId="1055" applyAlignment="0">
      <alignment horizontal="center"/>
    </xf>
    <xf numFmtId="0" fontId="203" fillId="81" borderId="944" applyNumberFormat="0" applyFont="0" applyAlignment="0" applyProtection="0"/>
    <xf numFmtId="200" fontId="225" fillId="0" borderId="1014" applyFill="0" applyProtection="0"/>
    <xf numFmtId="0" fontId="213" fillId="65" borderId="862" applyNumberFormat="0" applyAlignment="0" applyProtection="0"/>
    <xf numFmtId="0" fontId="203" fillId="81" borderId="1061" applyNumberFormat="0" applyFont="0" applyAlignment="0" applyProtection="0"/>
    <xf numFmtId="200" fontId="225" fillId="0" borderId="996" applyFill="0" applyProtection="0"/>
    <xf numFmtId="0" fontId="249" fillId="59" borderId="1006" applyNumberFormat="0" applyAlignment="0" applyProtection="0"/>
    <xf numFmtId="0" fontId="203" fillId="81" borderId="998" applyNumberFormat="0" applyFont="0" applyAlignment="0" applyProtection="0"/>
    <xf numFmtId="0" fontId="203" fillId="81" borderId="1007" applyNumberFormat="0" applyFont="0" applyAlignment="0" applyProtection="0"/>
    <xf numFmtId="0" fontId="213" fillId="65" borderId="862" applyNumberFormat="0" applyAlignment="0" applyProtection="0"/>
    <xf numFmtId="0" fontId="213" fillId="65" borderId="952" applyNumberFormat="0" applyAlignment="0" applyProtection="0"/>
    <xf numFmtId="0" fontId="203" fillId="81" borderId="863" applyNumberFormat="0" applyFont="0" applyAlignment="0" applyProtection="0"/>
    <xf numFmtId="0" fontId="229" fillId="83" borderId="912" applyAlignment="0">
      <alignment horizontal="center"/>
    </xf>
    <xf numFmtId="200" fontId="225" fillId="0" borderId="816" applyFill="0" applyProtection="0"/>
    <xf numFmtId="0" fontId="213" fillId="65" borderId="1042" applyNumberFormat="0" applyAlignment="0" applyProtection="0"/>
    <xf numFmtId="0" fontId="213" fillId="65" borderId="916" applyNumberFormat="0" applyAlignment="0" applyProtection="0"/>
    <xf numFmtId="0" fontId="213" fillId="65" borderId="1042" applyNumberFormat="0" applyAlignment="0" applyProtection="0"/>
    <xf numFmtId="0" fontId="213" fillId="65" borderId="1006" applyNumberFormat="0" applyAlignment="0" applyProtection="0"/>
    <xf numFmtId="0" fontId="8" fillId="81" borderId="863" applyNumberFormat="0" applyFont="0" applyAlignment="0" applyProtection="0"/>
    <xf numFmtId="0" fontId="203" fillId="81" borderId="1052" applyNumberFormat="0" applyFont="0" applyAlignment="0" applyProtection="0"/>
    <xf numFmtId="200" fontId="225" fillId="0" borderId="951" applyFill="0" applyProtection="0"/>
    <xf numFmtId="0" fontId="229" fillId="83" borderId="1002" applyAlignment="0">
      <alignment horizontal="center"/>
    </xf>
    <xf numFmtId="0" fontId="213" fillId="80" borderId="862" applyNumberFormat="0" applyAlignment="0" applyProtection="0"/>
    <xf numFmtId="0" fontId="203" fillId="81" borderId="998" applyNumberFormat="0" applyFont="0" applyAlignment="0" applyProtection="0"/>
    <xf numFmtId="0" fontId="254" fillId="80" borderId="952" applyNumberFormat="0" applyAlignment="0" applyProtection="0"/>
    <xf numFmtId="0" fontId="213" fillId="65" borderId="1033" applyNumberFormat="0" applyAlignment="0" applyProtection="0"/>
    <xf numFmtId="0" fontId="213" fillId="65" borderId="1015" applyNumberFormat="0" applyAlignment="0" applyProtection="0"/>
    <xf numFmtId="0" fontId="213" fillId="65" borderId="907" applyNumberFormat="0" applyAlignment="0" applyProtection="0"/>
    <xf numFmtId="0" fontId="213" fillId="65" borderId="880" applyNumberFormat="0" applyAlignment="0" applyProtection="0"/>
    <xf numFmtId="0" fontId="213" fillId="65" borderId="817" applyNumberFormat="0" applyAlignment="0" applyProtection="0"/>
    <xf numFmtId="0" fontId="249" fillId="59" borderId="880" applyNumberFormat="0" applyAlignment="0" applyProtection="0"/>
    <xf numFmtId="0" fontId="203" fillId="81" borderId="854" applyNumberFormat="0" applyFont="0" applyAlignment="0" applyProtection="0"/>
    <xf numFmtId="0" fontId="206" fillId="78" borderId="997" applyNumberFormat="0" applyAlignment="0" applyProtection="0"/>
    <xf numFmtId="0" fontId="203" fillId="81" borderId="863" applyNumberFormat="0" applyFont="0" applyAlignment="0" applyProtection="0"/>
    <xf numFmtId="200" fontId="225" fillId="0" borderId="1005" applyFill="0" applyProtection="0"/>
    <xf numFmtId="0" fontId="216" fillId="78" borderId="954" applyNumberFormat="0" applyAlignment="0" applyProtection="0"/>
    <xf numFmtId="0" fontId="213" fillId="80" borderId="961" applyNumberFormat="0" applyAlignment="0" applyProtection="0"/>
    <xf numFmtId="0" fontId="229" fillId="83" borderId="867" applyAlignment="0">
      <alignment horizontal="center"/>
    </xf>
    <xf numFmtId="0" fontId="213" fillId="65" borderId="907" applyNumberFormat="0" applyAlignment="0" applyProtection="0"/>
    <xf numFmtId="0" fontId="203" fillId="81" borderId="872" applyNumberFormat="0" applyFont="0" applyAlignment="0" applyProtection="0"/>
    <xf numFmtId="0" fontId="216" fillId="78" borderId="1044" applyNumberFormat="0" applyAlignment="0" applyProtection="0"/>
    <xf numFmtId="0" fontId="153" fillId="0" borderId="950">
      <alignment horizontal="left" vertical="center"/>
    </xf>
    <xf numFmtId="0" fontId="213" fillId="65" borderId="907" applyNumberFormat="0" applyAlignment="0" applyProtection="0"/>
    <xf numFmtId="0" fontId="206" fillId="78" borderId="1042" applyNumberFormat="0" applyAlignment="0" applyProtection="0"/>
    <xf numFmtId="0" fontId="176" fillId="81" borderId="1052" applyNumberFormat="0" applyFont="0" applyAlignment="0" applyProtection="0"/>
    <xf numFmtId="0" fontId="213" fillId="65" borderId="862" applyNumberFormat="0" applyAlignment="0" applyProtection="0"/>
    <xf numFmtId="0" fontId="213" fillId="65" borderId="952" applyNumberFormat="0" applyAlignment="0" applyProtection="0"/>
    <xf numFmtId="0" fontId="176" fillId="81" borderId="818" applyNumberFormat="0" applyFont="0" applyAlignment="0" applyProtection="0"/>
    <xf numFmtId="0" fontId="153" fillId="0" borderId="1040">
      <alignment horizontal="left" vertical="center"/>
    </xf>
    <xf numFmtId="0" fontId="174" fillId="0" borderId="955" applyNumberFormat="0" applyFill="0" applyAlignment="0" applyProtection="0"/>
    <xf numFmtId="0" fontId="238" fillId="59" borderId="799" applyNumberFormat="0" applyAlignment="0" applyProtection="0"/>
    <xf numFmtId="0" fontId="229" fillId="83" borderId="794" applyAlignment="0">
      <alignment horizontal="center"/>
    </xf>
    <xf numFmtId="0" fontId="213" fillId="65" borderId="790" applyNumberFormat="0" applyAlignment="0" applyProtection="0"/>
    <xf numFmtId="0" fontId="238" fillId="59"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80" borderId="790" applyNumberFormat="0" applyAlignment="0" applyProtection="0"/>
    <xf numFmtId="0" fontId="213" fillId="65" borderId="790" applyNumberFormat="0" applyAlignment="0" applyProtection="0"/>
    <xf numFmtId="0" fontId="213" fillId="80" borderId="790" applyNumberFormat="0" applyAlignment="0" applyProtection="0"/>
    <xf numFmtId="0" fontId="203" fillId="81" borderId="818" applyNumberFormat="0" applyFont="0" applyAlignment="0" applyProtection="0"/>
    <xf numFmtId="0" fontId="203" fillId="81" borderId="818" applyNumberFormat="0" applyFont="0" applyAlignment="0" applyProtection="0"/>
    <xf numFmtId="200" fontId="225" fillId="0" borderId="1059" applyFill="0" applyProtection="0"/>
    <xf numFmtId="182" fontId="225" fillId="0" borderId="816" applyFill="0" applyProtection="0"/>
    <xf numFmtId="0" fontId="8" fillId="81" borderId="791" applyNumberFormat="0" applyFont="0" applyAlignment="0" applyProtection="0"/>
    <xf numFmtId="0" fontId="176"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176" fillId="81" borderId="791" applyNumberFormat="0" applyFont="0" applyAlignment="0" applyProtection="0"/>
    <xf numFmtId="0" fontId="216" fillId="59" borderId="792" applyNumberFormat="0" applyAlignment="0" applyProtection="0"/>
    <xf numFmtId="0" fontId="174" fillId="0" borderId="793" applyNumberFormat="0" applyFill="0" applyAlignment="0" applyProtection="0"/>
    <xf numFmtId="0" fontId="216" fillId="78" borderId="792" applyNumberFormat="0" applyAlignment="0" applyProtection="0"/>
    <xf numFmtId="0" fontId="174" fillId="0" borderId="795" applyNumberFormat="0" applyFill="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153" fillId="0" borderId="815">
      <alignment horizontal="left" vertical="center"/>
    </xf>
    <xf numFmtId="0" fontId="203" fillId="81" borderId="791" applyNumberFormat="0" applyFont="0" applyAlignment="0" applyProtection="0"/>
    <xf numFmtId="0" fontId="206" fillId="78" borderId="790" applyNumberFormat="0" applyAlignment="0" applyProtection="0"/>
    <xf numFmtId="0" fontId="176" fillId="81" borderId="791" applyNumberFormat="0" applyFont="0" applyAlignment="0" applyProtection="0"/>
    <xf numFmtId="0" fontId="238" fillId="59" borderId="790" applyNumberFormat="0" applyAlignment="0" applyProtection="0"/>
    <xf numFmtId="0" fontId="213" fillId="80" borderId="790" applyNumberFormat="0" applyAlignment="0" applyProtection="0"/>
    <xf numFmtId="0" fontId="8" fillId="81" borderId="791" applyNumberFormat="0" applyFont="0" applyAlignment="0" applyProtection="0"/>
    <xf numFmtId="0" fontId="216" fillId="59" borderId="792" applyNumberFormat="0" applyAlignment="0" applyProtection="0"/>
    <xf numFmtId="0" fontId="213" fillId="80" borderId="790" applyNumberFormat="0" applyAlignment="0" applyProtection="0"/>
    <xf numFmtId="0" fontId="176" fillId="81" borderId="791" applyNumberFormat="0" applyFont="0" applyAlignment="0" applyProtection="0"/>
    <xf numFmtId="182" fontId="225" fillId="0" borderId="816" applyFill="0" applyProtection="0"/>
    <xf numFmtId="0" fontId="203" fillId="81" borderId="818" applyNumberFormat="0" applyFont="0" applyAlignment="0" applyProtection="0"/>
    <xf numFmtId="200" fontId="225" fillId="0" borderId="816" applyFill="0" applyProtection="0"/>
    <xf numFmtId="182" fontId="225" fillId="0" borderId="816" applyFill="0" applyProtection="0"/>
    <xf numFmtId="0" fontId="213" fillId="65" borderId="817"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80" borderId="799" applyNumberFormat="0" applyAlignment="0" applyProtection="0"/>
    <xf numFmtId="0" fontId="213" fillId="65" borderId="799" applyNumberFormat="0" applyAlignment="0" applyProtection="0"/>
    <xf numFmtId="0" fontId="213" fillId="80" borderId="799" applyNumberFormat="0" applyAlignment="0" applyProtection="0"/>
    <xf numFmtId="0" fontId="8" fillId="81" borderId="800" applyNumberFormat="0" applyFont="0" applyAlignment="0" applyProtection="0"/>
    <xf numFmtId="0" fontId="176"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176" fillId="81" borderId="800" applyNumberFormat="0" applyFont="0" applyAlignment="0" applyProtection="0"/>
    <xf numFmtId="0" fontId="216" fillId="59" borderId="801" applyNumberFormat="0" applyAlignment="0" applyProtection="0"/>
    <xf numFmtId="0" fontId="174" fillId="0" borderId="802" applyNumberFormat="0" applyFill="0" applyAlignment="0" applyProtection="0"/>
    <xf numFmtId="0" fontId="206" fillId="78" borderId="799" applyNumberFormat="0" applyAlignment="0" applyProtection="0"/>
    <xf numFmtId="0" fontId="206" fillId="78" borderId="799" applyNumberFormat="0" applyAlignment="0" applyProtection="0"/>
    <xf numFmtId="182" fontId="225" fillId="0" borderId="798" applyFill="0" applyProtection="0"/>
    <xf numFmtId="182" fontId="225" fillId="0" borderId="798" applyFill="0" applyProtection="0"/>
    <xf numFmtId="182" fontId="225" fillId="0" borderId="798" applyFill="0" applyProtection="0"/>
    <xf numFmtId="200" fontId="225" fillId="0" borderId="798" applyFill="0" applyProtection="0"/>
    <xf numFmtId="200" fontId="225" fillId="0" borderId="798" applyFill="0" applyProtection="0"/>
    <xf numFmtId="200" fontId="225" fillId="0" borderId="798" applyFill="0" applyProtection="0"/>
    <xf numFmtId="0" fontId="153" fillId="0" borderId="797">
      <alignment horizontal="left" vertical="center"/>
    </xf>
    <xf numFmtId="0" fontId="229" fillId="83" borderId="803" applyAlignment="0">
      <alignment horizontal="center"/>
    </xf>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29" fillId="83" borderId="803" applyAlignment="0">
      <alignment horizontal="center"/>
    </xf>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16" fillId="78" borderId="792" applyNumberFormat="0" applyAlignment="0" applyProtection="0"/>
    <xf numFmtId="0" fontId="174" fillId="0" borderId="795" applyNumberFormat="0" applyFill="0" applyAlignment="0" applyProtection="0"/>
    <xf numFmtId="0" fontId="229" fillId="83" borderId="803" applyAlignment="0">
      <alignment horizontal="center"/>
    </xf>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13" fillId="65" borderId="790" applyNumberForma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6" fillId="78" borderId="790" applyNumberFormat="0" applyAlignment="0" applyProtection="0"/>
    <xf numFmtId="0" fontId="176" fillId="81" borderId="791" applyNumberFormat="0" applyFont="0" applyAlignment="0" applyProtection="0"/>
    <xf numFmtId="0" fontId="238" fillId="59" borderId="790" applyNumberFormat="0" applyAlignment="0" applyProtection="0"/>
    <xf numFmtId="0" fontId="213" fillId="80" borderId="790" applyNumberFormat="0" applyAlignment="0" applyProtection="0"/>
    <xf numFmtId="0" fontId="8" fillId="81" borderId="791" applyNumberFormat="0" applyFont="0" applyAlignment="0" applyProtection="0"/>
    <xf numFmtId="0" fontId="216" fillId="59" borderId="792" applyNumberFormat="0" applyAlignment="0" applyProtection="0"/>
    <xf numFmtId="0" fontId="174" fillId="0" borderId="793" applyNumberFormat="0" applyFill="0" applyAlignment="0" applyProtection="0"/>
    <xf numFmtId="0" fontId="213" fillId="80" borderId="790" applyNumberFormat="0" applyAlignment="0" applyProtection="0"/>
    <xf numFmtId="0" fontId="229" fillId="83" borderId="803" applyAlignment="0">
      <alignment horizontal="center"/>
    </xf>
    <xf numFmtId="0" fontId="176" fillId="81" borderId="791" applyNumberFormat="0" applyFont="0" applyAlignment="0" applyProtection="0"/>
    <xf numFmtId="0" fontId="213" fillId="65" borderId="799" applyNumberFormat="0" applyAlignment="0" applyProtection="0"/>
    <xf numFmtId="0" fontId="216" fillId="78" borderId="801" applyNumberFormat="0" applyAlignment="0" applyProtection="0"/>
    <xf numFmtId="0" fontId="174" fillId="0" borderId="804" applyNumberFormat="0" applyFill="0" applyAlignment="0" applyProtection="0"/>
    <xf numFmtId="0" fontId="216" fillId="78" borderId="801" applyNumberFormat="0" applyAlignment="0" applyProtection="0"/>
    <xf numFmtId="0" fontId="174" fillId="0" borderId="804" applyNumberFormat="0" applyFill="0" applyAlignment="0" applyProtection="0"/>
    <xf numFmtId="182" fontId="225" fillId="0" borderId="798" applyFill="0" applyProtection="0"/>
    <xf numFmtId="200" fontId="225" fillId="0" borderId="798" applyFill="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03" fillId="81" borderId="800" applyNumberFormat="0" applyFont="0" applyAlignment="0" applyProtection="0"/>
    <xf numFmtId="0" fontId="213" fillId="65" borderId="799" applyNumberFormat="0" applyAlignment="0" applyProtection="0"/>
    <xf numFmtId="0" fontId="203" fillId="81" borderId="800" applyNumberFormat="0" applyFont="0" applyAlignment="0" applyProtection="0"/>
    <xf numFmtId="0" fontId="216" fillId="78" borderId="801" applyNumberFormat="0" applyAlignment="0" applyProtection="0"/>
    <xf numFmtId="0" fontId="174" fillId="0" borderId="804" applyNumberFormat="0" applyFill="0" applyAlignment="0" applyProtection="0"/>
    <xf numFmtId="0" fontId="249" fillId="59" borderId="799" applyNumberFormat="0" applyAlignment="0" applyProtection="0"/>
    <xf numFmtId="0" fontId="254" fillId="80" borderId="799" applyNumberFormat="0" applyAlignment="0" applyProtection="0"/>
    <xf numFmtId="0" fontId="257" fillId="59" borderId="801" applyNumberFormat="0" applyAlignment="0" applyProtection="0"/>
    <xf numFmtId="0" fontId="244" fillId="0" borderId="798" applyNumberFormat="0" applyFont="0" applyFill="0" applyAlignment="0" applyProtection="0"/>
    <xf numFmtId="0" fontId="178" fillId="0" borderId="805" applyProtection="0"/>
    <xf numFmtId="0" fontId="176" fillId="81" borderId="800" applyNumberFormat="0" applyFont="0" applyAlignment="0" applyProtection="0"/>
    <xf numFmtId="0" fontId="8" fillId="81" borderId="800" applyNumberFormat="0" applyFont="0" applyAlignment="0" applyProtection="0"/>
    <xf numFmtId="182" fontId="225" fillId="0" borderId="798" applyFill="0" applyProtection="0"/>
    <xf numFmtId="200" fontId="225" fillId="0" borderId="798" applyFill="0" applyProtection="0"/>
    <xf numFmtId="0" fontId="213" fillId="65" borderId="799" applyNumberFormat="0" applyAlignment="0" applyProtection="0"/>
    <xf numFmtId="0" fontId="203" fillId="81" borderId="800" applyNumberFormat="0" applyFont="0" applyAlignment="0" applyProtection="0"/>
    <xf numFmtId="0" fontId="203" fillId="81" borderId="800" applyNumberFormat="0" applyFont="0" applyAlignment="0" applyProtection="0"/>
    <xf numFmtId="182" fontId="225" fillId="0" borderId="798" applyFill="0" applyProtection="0"/>
    <xf numFmtId="200" fontId="225" fillId="0" borderId="798" applyFill="0" applyProtection="0"/>
    <xf numFmtId="0" fontId="153" fillId="0" borderId="797">
      <alignment horizontal="left" vertical="center"/>
    </xf>
    <xf numFmtId="0" fontId="203" fillId="81" borderId="800" applyNumberFormat="0" applyFont="0" applyAlignment="0" applyProtection="0"/>
    <xf numFmtId="0" fontId="153" fillId="0" borderId="797">
      <alignment horizontal="left" vertical="center"/>
    </xf>
    <xf numFmtId="0" fontId="213" fillId="80" borderId="799" applyNumberFormat="0" applyAlignment="0" applyProtection="0"/>
    <xf numFmtId="0" fontId="8" fillId="81" borderId="800" applyNumberFormat="0" applyFont="0" applyAlignment="0" applyProtection="0"/>
    <xf numFmtId="182" fontId="225" fillId="0" borderId="798" applyFill="0" applyProtection="0"/>
    <xf numFmtId="200" fontId="225" fillId="0" borderId="798" applyFill="0" applyProtection="0"/>
    <xf numFmtId="182" fontId="225" fillId="0" borderId="798" applyFill="0" applyProtection="0"/>
    <xf numFmtId="200" fontId="225" fillId="0" borderId="798" applyFill="0" applyProtection="0"/>
    <xf numFmtId="0" fontId="153" fillId="0" borderId="797">
      <alignment horizontal="left" vertical="center"/>
    </xf>
    <xf numFmtId="0" fontId="203" fillId="81" borderId="791" applyNumberFormat="0" applyFont="0" applyAlignment="0" applyProtection="0"/>
    <xf numFmtId="182" fontId="225" fillId="0" borderId="798" applyFill="0" applyProtection="0"/>
    <xf numFmtId="200" fontId="225" fillId="0" borderId="798" applyFill="0" applyProtection="0"/>
    <xf numFmtId="0" fontId="176" fillId="81" borderId="800" applyNumberFormat="0" applyFont="0" applyAlignment="0" applyProtection="0"/>
    <xf numFmtId="0" fontId="203" fillId="81" borderId="800"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03" fillId="81" borderId="791" applyNumberFormat="0" applyFont="0" applyAlignment="0" applyProtection="0"/>
    <xf numFmtId="0" fontId="213" fillId="65" borderId="799" applyNumberFormat="0" applyAlignment="0" applyProtection="0"/>
    <xf numFmtId="0" fontId="238" fillId="59" borderId="808" applyNumberFormat="0" applyAlignment="0" applyProtection="0"/>
    <xf numFmtId="0" fontId="213" fillId="65" borderId="799" applyNumberFormat="0" applyAlignment="0" applyProtection="0"/>
    <xf numFmtId="0" fontId="229" fillId="83" borderId="947" applyAlignment="0">
      <alignment horizontal="center"/>
    </xf>
    <xf numFmtId="0" fontId="229" fillId="83" borderId="1010" applyAlignment="0">
      <alignment horizontal="center"/>
    </xf>
    <xf numFmtId="0" fontId="203" fillId="81" borderId="1007" applyNumberFormat="0" applyFont="0" applyAlignment="0" applyProtection="0"/>
    <xf numFmtId="182" fontId="225" fillId="0" borderId="816" applyFill="0" applyProtection="0"/>
    <xf numFmtId="200" fontId="225" fillId="0" borderId="816" applyFill="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0" fontId="213" fillId="65" borderId="799" applyNumberFormat="0" applyAlignment="0" applyProtection="0"/>
    <xf numFmtId="200" fontId="225" fillId="0" borderId="816" applyFill="0" applyProtection="0"/>
    <xf numFmtId="0" fontId="206" fillId="78" borderId="799" applyNumberFormat="0" applyAlignment="0" applyProtection="0"/>
    <xf numFmtId="0" fontId="238" fillId="59" borderId="799" applyNumberFormat="0" applyAlignment="0" applyProtection="0"/>
    <xf numFmtId="0" fontId="213" fillId="80" borderId="799" applyNumberFormat="0" applyAlignment="0" applyProtection="0"/>
    <xf numFmtId="0" fontId="213" fillId="80" borderId="799" applyNumberFormat="0" applyAlignment="0" applyProtection="0"/>
    <xf numFmtId="0" fontId="174" fillId="0" borderId="820" applyNumberFormat="0" applyFill="0" applyAlignment="0" applyProtection="0"/>
    <xf numFmtId="0" fontId="206" fillId="78" borderId="925" applyNumberFormat="0" applyAlignment="0" applyProtection="0"/>
    <xf numFmtId="0" fontId="213" fillId="65" borderId="907" applyNumberFormat="0" applyAlignment="0" applyProtection="0"/>
    <xf numFmtId="0" fontId="176" fillId="81" borderId="818" applyNumberFormat="0" applyFont="0" applyAlignment="0" applyProtection="0"/>
    <xf numFmtId="0" fontId="213" fillId="65" borderId="817" applyNumberFormat="0" applyAlignment="0" applyProtection="0"/>
    <xf numFmtId="0" fontId="213" fillId="65" borderId="808" applyNumberFormat="0" applyAlignment="0" applyProtection="0"/>
    <xf numFmtId="0" fontId="206" fillId="78" borderId="817"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80" borderId="808" applyNumberFormat="0" applyAlignment="0" applyProtection="0"/>
    <xf numFmtId="0" fontId="213" fillId="65" borderId="808" applyNumberFormat="0" applyAlignment="0" applyProtection="0"/>
    <xf numFmtId="0" fontId="213" fillId="80" borderId="808" applyNumberFormat="0" applyAlignment="0" applyProtection="0"/>
    <xf numFmtId="0" fontId="8" fillId="81" borderId="809" applyNumberFormat="0" applyFont="0" applyAlignment="0" applyProtection="0"/>
    <xf numFmtId="0" fontId="176"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176" fillId="81" borderId="809" applyNumberFormat="0" applyFont="0" applyAlignment="0" applyProtection="0"/>
    <xf numFmtId="0" fontId="216" fillId="59" borderId="810" applyNumberFormat="0" applyAlignment="0" applyProtection="0"/>
    <xf numFmtId="0" fontId="174" fillId="0" borderId="811" applyNumberFormat="0" applyFill="0" applyAlignment="0" applyProtection="0"/>
    <xf numFmtId="0" fontId="206" fillId="78" borderId="808" applyNumberFormat="0" applyAlignment="0" applyProtection="0"/>
    <xf numFmtId="0" fontId="206" fillId="78" borderId="808" applyNumberFormat="0" applyAlignment="0" applyProtection="0"/>
    <xf numFmtId="182" fontId="225" fillId="0" borderId="807" applyFill="0" applyProtection="0"/>
    <xf numFmtId="182" fontId="225" fillId="0" borderId="807" applyFill="0" applyProtection="0"/>
    <xf numFmtId="182" fontId="225" fillId="0" borderId="807" applyFill="0" applyProtection="0"/>
    <xf numFmtId="200" fontId="225" fillId="0" borderId="807" applyFill="0" applyProtection="0"/>
    <xf numFmtId="200" fontId="225" fillId="0" borderId="807" applyFill="0" applyProtection="0"/>
    <xf numFmtId="200" fontId="225" fillId="0" borderId="807" applyFill="0" applyProtection="0"/>
    <xf numFmtId="0" fontId="153" fillId="0" borderId="806">
      <alignment horizontal="left" vertical="center"/>
    </xf>
    <xf numFmtId="0" fontId="229" fillId="83" borderId="812" applyAlignment="0">
      <alignment horizontal="center"/>
    </xf>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13" fillId="65" borderId="808" applyNumberFormat="0" applyAlignment="0" applyProtection="0"/>
    <xf numFmtId="0" fontId="229" fillId="83" borderId="812" applyAlignment="0">
      <alignment horizontal="center"/>
    </xf>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29" fillId="83" borderId="812" applyAlignment="0">
      <alignment horizontal="center"/>
    </xf>
    <xf numFmtId="0" fontId="229" fillId="83" borderId="812" applyAlignment="0">
      <alignment horizontal="center"/>
    </xf>
    <xf numFmtId="0" fontId="213" fillId="65" borderId="808" applyNumberFormat="0" applyAlignment="0" applyProtection="0"/>
    <xf numFmtId="0" fontId="216" fillId="78" borderId="810" applyNumberFormat="0" applyAlignment="0" applyProtection="0"/>
    <xf numFmtId="0" fontId="174" fillId="0" borderId="813" applyNumberFormat="0" applyFill="0" applyAlignment="0" applyProtection="0"/>
    <xf numFmtId="0" fontId="216" fillId="78" borderId="810" applyNumberFormat="0" applyAlignment="0" applyProtection="0"/>
    <xf numFmtId="0" fontId="174" fillId="0" borderId="813" applyNumberFormat="0" applyFill="0" applyAlignment="0" applyProtection="0"/>
    <xf numFmtId="182" fontId="225" fillId="0" borderId="807" applyFill="0" applyProtection="0"/>
    <xf numFmtId="200" fontId="225" fillId="0" borderId="807" applyFill="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03" fillId="81" borderId="809" applyNumberFormat="0" applyFont="0" applyAlignment="0" applyProtection="0"/>
    <xf numFmtId="0" fontId="213" fillId="65" borderId="808" applyNumberFormat="0" applyAlignment="0" applyProtection="0"/>
    <xf numFmtId="0" fontId="203" fillId="81" borderId="809" applyNumberFormat="0" applyFont="0" applyAlignment="0" applyProtection="0"/>
    <xf numFmtId="0" fontId="216" fillId="78" borderId="810" applyNumberFormat="0" applyAlignment="0" applyProtection="0"/>
    <xf numFmtId="0" fontId="174" fillId="0" borderId="813" applyNumberFormat="0" applyFill="0" applyAlignment="0" applyProtection="0"/>
    <xf numFmtId="0" fontId="249" fillId="59" borderId="808" applyNumberFormat="0" applyAlignment="0" applyProtection="0"/>
    <xf numFmtId="0" fontId="254" fillId="80" borderId="808" applyNumberFormat="0" applyAlignment="0" applyProtection="0"/>
    <xf numFmtId="0" fontId="257" fillId="59" borderId="810" applyNumberFormat="0" applyAlignment="0" applyProtection="0"/>
    <xf numFmtId="0" fontId="244" fillId="0" borderId="807" applyNumberFormat="0" applyFont="0" applyFill="0" applyAlignment="0" applyProtection="0"/>
    <xf numFmtId="0" fontId="178" fillId="0" borderId="814" applyProtection="0"/>
    <xf numFmtId="0" fontId="176" fillId="81" borderId="809" applyNumberFormat="0" applyFont="0" applyAlignment="0" applyProtection="0"/>
    <xf numFmtId="0" fontId="8" fillId="81" borderId="809" applyNumberFormat="0" applyFont="0" applyAlignment="0" applyProtection="0"/>
    <xf numFmtId="182" fontId="225" fillId="0" borderId="807" applyFill="0" applyProtection="0"/>
    <xf numFmtId="200" fontId="225" fillId="0" borderId="807" applyFill="0" applyProtection="0"/>
    <xf numFmtId="0" fontId="213" fillId="65" borderId="808" applyNumberFormat="0" applyAlignment="0" applyProtection="0"/>
    <xf numFmtId="0" fontId="203" fillId="81" borderId="809" applyNumberFormat="0" applyFont="0" applyAlignment="0" applyProtection="0"/>
    <xf numFmtId="0" fontId="203" fillId="81" borderId="809" applyNumberFormat="0" applyFont="0" applyAlignment="0" applyProtection="0"/>
    <xf numFmtId="182" fontId="225" fillId="0" borderId="807" applyFill="0" applyProtection="0"/>
    <xf numFmtId="200" fontId="225" fillId="0" borderId="807" applyFill="0" applyProtection="0"/>
    <xf numFmtId="0" fontId="153" fillId="0" borderId="806">
      <alignment horizontal="left" vertical="center"/>
    </xf>
    <xf numFmtId="0" fontId="203" fillId="81" borderId="809" applyNumberFormat="0" applyFont="0" applyAlignment="0" applyProtection="0"/>
    <xf numFmtId="0" fontId="153" fillId="0" borderId="806">
      <alignment horizontal="left" vertical="center"/>
    </xf>
    <xf numFmtId="0" fontId="213" fillId="80" borderId="808" applyNumberFormat="0" applyAlignment="0" applyProtection="0"/>
    <xf numFmtId="0" fontId="8" fillId="81" borderId="809" applyNumberFormat="0" applyFont="0" applyAlignment="0" applyProtection="0"/>
    <xf numFmtId="182" fontId="225" fillId="0" borderId="807" applyFill="0" applyProtection="0"/>
    <xf numFmtId="200" fontId="225" fillId="0" borderId="807" applyFill="0" applyProtection="0"/>
    <xf numFmtId="182" fontId="225" fillId="0" borderId="807" applyFill="0" applyProtection="0"/>
    <xf numFmtId="200" fontId="225" fillId="0" borderId="807" applyFill="0" applyProtection="0"/>
    <xf numFmtId="0" fontId="153" fillId="0" borderId="806">
      <alignment horizontal="left" vertical="center"/>
    </xf>
    <xf numFmtId="182" fontId="225" fillId="0" borderId="807" applyFill="0" applyProtection="0"/>
    <xf numFmtId="200" fontId="225" fillId="0" borderId="807" applyFill="0" applyProtection="0"/>
    <xf numFmtId="0" fontId="176" fillId="81" borderId="809" applyNumberFormat="0" applyFont="0" applyAlignment="0" applyProtection="0"/>
    <xf numFmtId="0" fontId="203" fillId="81" borderId="809" applyNumberFormat="0" applyFont="0" applyAlignment="0" applyProtection="0"/>
    <xf numFmtId="0" fontId="213" fillId="65" borderId="808" applyNumberFormat="0" applyAlignment="0" applyProtection="0"/>
    <xf numFmtId="0" fontId="229" fillId="83" borderId="777" applyAlignment="0">
      <alignment horizontal="center"/>
    </xf>
    <xf numFmtId="0" fontId="203" fillId="81" borderId="791" applyNumberFormat="0" applyFont="0" applyAlignment="0" applyProtection="0"/>
    <xf numFmtId="0" fontId="229" fillId="83" borderId="867" applyAlignment="0">
      <alignment horizontal="center"/>
    </xf>
    <xf numFmtId="0" fontId="244" fillId="0" borderId="915" applyNumberFormat="0" applyFont="0" applyFill="0" applyAlignment="0" applyProtection="0"/>
    <xf numFmtId="182" fontId="225" fillId="0" borderId="906" applyFill="0" applyProtection="0"/>
    <xf numFmtId="200" fontId="225" fillId="0" borderId="1050" applyFill="0" applyProtection="0"/>
    <xf numFmtId="0" fontId="249" fillId="59" borderId="1051" applyNumberFormat="0" applyAlignment="0" applyProtection="0"/>
    <xf numFmtId="0" fontId="203" fillId="81" borderId="1052" applyNumberFormat="0" applyFont="0" applyAlignment="0" applyProtection="0"/>
    <xf numFmtId="0" fontId="203" fillId="81" borderId="1043" applyNumberFormat="0" applyFont="0" applyAlignment="0" applyProtection="0"/>
    <xf numFmtId="0" fontId="153" fillId="0" borderId="1040">
      <alignment horizontal="left" vertical="center"/>
    </xf>
    <xf numFmtId="0" fontId="213" fillId="65" borderId="907" applyNumberFormat="0" applyAlignment="0" applyProtection="0"/>
    <xf numFmtId="0" fontId="203" fillId="81" borderId="989" applyNumberFormat="0" applyFont="0" applyAlignment="0" applyProtection="0"/>
    <xf numFmtId="182" fontId="225" fillId="0" borderId="906" applyFill="0" applyProtection="0"/>
    <xf numFmtId="0" fontId="213" fillId="65" borderId="997" applyNumberFormat="0" applyAlignment="0" applyProtection="0"/>
    <xf numFmtId="0" fontId="174" fillId="0" borderId="1001" applyNumberFormat="0" applyFill="0" applyAlignment="0" applyProtection="0"/>
    <xf numFmtId="0" fontId="213" fillId="65" borderId="997" applyNumberFormat="0" applyAlignment="0" applyProtection="0"/>
    <xf numFmtId="0" fontId="213" fillId="65" borderId="1051" applyNumberFormat="0" applyAlignment="0" applyProtection="0"/>
    <xf numFmtId="0" fontId="213" fillId="65" borderId="1042" applyNumberFormat="0" applyAlignment="0" applyProtection="0"/>
    <xf numFmtId="0" fontId="203" fillId="81" borderId="1052" applyNumberFormat="0" applyFont="0" applyAlignment="0" applyProtection="0"/>
    <xf numFmtId="0" fontId="203" fillId="81" borderId="989" applyNumberFormat="0" applyFont="0" applyAlignment="0" applyProtection="0"/>
    <xf numFmtId="0" fontId="213" fillId="65" borderId="1051" applyNumberFormat="0" applyAlignment="0" applyProtection="0"/>
    <xf numFmtId="0" fontId="203" fillId="81" borderId="1061" applyNumberFormat="0" applyFont="0" applyAlignment="0" applyProtection="0"/>
    <xf numFmtId="0" fontId="213" fillId="65" borderId="952" applyNumberFormat="0" applyAlignment="0" applyProtection="0"/>
    <xf numFmtId="0" fontId="213" fillId="65" borderId="997" applyNumberFormat="0" applyAlignment="0" applyProtection="0"/>
    <xf numFmtId="200" fontId="225" fillId="0" borderId="1050" applyFill="0" applyProtection="0"/>
    <xf numFmtId="0" fontId="213" fillId="65" borderId="1006" applyNumberFormat="0" applyAlignment="0" applyProtection="0"/>
    <xf numFmtId="0" fontId="213" fillId="65" borderId="997" applyNumberFormat="0" applyAlignment="0" applyProtection="0"/>
    <xf numFmtId="0" fontId="213" fillId="65" borderId="952" applyNumberFormat="0" applyAlignment="0" applyProtection="0"/>
    <xf numFmtId="182" fontId="225" fillId="0" borderId="1005" applyFill="0" applyProtection="0"/>
    <xf numFmtId="200" fontId="225" fillId="0" borderId="1059" applyFill="0" applyProtection="0"/>
    <xf numFmtId="0" fontId="203" fillId="81" borderId="854" applyNumberFormat="0" applyFont="0" applyAlignment="0" applyProtection="0"/>
    <xf numFmtId="0" fontId="213" fillId="65" borderId="862" applyNumberFormat="0" applyAlignment="0" applyProtection="0"/>
    <xf numFmtId="0" fontId="203" fillId="81" borderId="971" applyNumberFormat="0" applyFont="0" applyAlignment="0" applyProtection="0"/>
    <xf numFmtId="0" fontId="174" fillId="0" borderId="993" applyNumberFormat="0" applyFill="0" applyAlignment="0" applyProtection="0"/>
    <xf numFmtId="0" fontId="213" fillId="65" borderId="952" applyNumberFormat="0" applyAlignment="0" applyProtection="0"/>
    <xf numFmtId="0" fontId="176" fillId="81" borderId="1052" applyNumberFormat="0" applyFont="0" applyAlignment="0" applyProtection="0"/>
    <xf numFmtId="0" fontId="203" fillId="81" borderId="1007" applyNumberFormat="0" applyFont="0" applyAlignment="0" applyProtection="0"/>
    <xf numFmtId="0" fontId="203" fillId="81" borderId="953" applyNumberFormat="0" applyFont="0" applyAlignment="0" applyProtection="0"/>
    <xf numFmtId="0" fontId="213" fillId="65" borderId="907" applyNumberFormat="0" applyAlignment="0" applyProtection="0"/>
    <xf numFmtId="0" fontId="213" fillId="65" borderId="997" applyNumberFormat="0" applyAlignment="0" applyProtection="0"/>
    <xf numFmtId="0" fontId="203" fillId="81" borderId="917" applyNumberFormat="0" applyFont="0" applyAlignment="0" applyProtection="0"/>
    <xf numFmtId="0" fontId="213" fillId="65" borderId="970" applyNumberFormat="0" applyAlignment="0" applyProtection="0"/>
    <xf numFmtId="0" fontId="176" fillId="81" borderId="899" applyNumberFormat="0" applyFont="0" applyAlignment="0" applyProtection="0"/>
    <xf numFmtId="0" fontId="203" fillId="81" borderId="1034" applyNumberFormat="0" applyFont="0" applyAlignment="0" applyProtection="0"/>
    <xf numFmtId="0" fontId="203" fillId="81" borderId="1043" applyNumberFormat="0" applyFont="0" applyAlignment="0" applyProtection="0"/>
    <xf numFmtId="0" fontId="213" fillId="65" borderId="916" applyNumberFormat="0" applyAlignment="0" applyProtection="0"/>
    <xf numFmtId="0" fontId="238" fillId="59" borderId="997" applyNumberFormat="0" applyAlignment="0" applyProtection="0"/>
    <xf numFmtId="0" fontId="203" fillId="81" borderId="1007" applyNumberFormat="0" applyFont="0" applyAlignment="0" applyProtection="0"/>
    <xf numFmtId="0" fontId="176" fillId="81" borderId="863" applyNumberFormat="0" applyFont="0" applyAlignment="0" applyProtection="0"/>
    <xf numFmtId="0" fontId="238" fillId="59" borderId="844" applyNumberFormat="0" applyAlignment="0" applyProtection="0"/>
    <xf numFmtId="0" fontId="229" fillId="83" borderId="839" applyAlignment="0">
      <alignment horizontal="center"/>
    </xf>
    <xf numFmtId="0" fontId="213" fillId="65" borderId="835" applyNumberFormat="0" applyAlignment="0" applyProtection="0"/>
    <xf numFmtId="0" fontId="238" fillId="59"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80" borderId="835" applyNumberFormat="0" applyAlignment="0" applyProtection="0"/>
    <xf numFmtId="0" fontId="213" fillId="65" borderId="835" applyNumberFormat="0" applyAlignment="0" applyProtection="0"/>
    <xf numFmtId="0" fontId="213" fillId="80" borderId="835" applyNumberFormat="0" applyAlignment="0" applyProtection="0"/>
    <xf numFmtId="0" fontId="203" fillId="81" borderId="863" applyNumberFormat="0" applyFont="0" applyAlignment="0" applyProtection="0"/>
    <xf numFmtId="0" fontId="213" fillId="65" borderId="970" applyNumberFormat="0" applyAlignment="0" applyProtection="0"/>
    <xf numFmtId="182" fontId="225" fillId="0" borderId="861" applyFill="0" applyProtection="0"/>
    <xf numFmtId="182" fontId="225" fillId="0" borderId="861" applyFill="0" applyProtection="0"/>
    <xf numFmtId="0" fontId="8" fillId="81" borderId="836" applyNumberFormat="0" applyFont="0" applyAlignment="0" applyProtection="0"/>
    <xf numFmtId="0" fontId="176"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176" fillId="81" borderId="836" applyNumberFormat="0" applyFont="0" applyAlignment="0" applyProtection="0"/>
    <xf numFmtId="0" fontId="216" fillId="59" borderId="837" applyNumberFormat="0" applyAlignment="0" applyProtection="0"/>
    <xf numFmtId="0" fontId="174" fillId="0" borderId="838" applyNumberFormat="0" applyFill="0" applyAlignment="0" applyProtection="0"/>
    <xf numFmtId="0" fontId="216" fillId="78" borderId="837" applyNumberFormat="0" applyAlignment="0" applyProtection="0"/>
    <xf numFmtId="0" fontId="174" fillId="0" borderId="840" applyNumberFormat="0" applyFill="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153" fillId="0" borderId="860">
      <alignment horizontal="left" vertical="center"/>
    </xf>
    <xf numFmtId="0" fontId="203" fillId="81" borderId="836" applyNumberFormat="0" applyFont="0" applyAlignment="0" applyProtection="0"/>
    <xf numFmtId="0" fontId="206" fillId="78" borderId="835" applyNumberFormat="0" applyAlignment="0" applyProtection="0"/>
    <xf numFmtId="0" fontId="176" fillId="81" borderId="836" applyNumberFormat="0" applyFont="0" applyAlignment="0" applyProtection="0"/>
    <xf numFmtId="0" fontId="238" fillId="59" borderId="835" applyNumberFormat="0" applyAlignment="0" applyProtection="0"/>
    <xf numFmtId="0" fontId="213" fillId="80" borderId="835" applyNumberFormat="0" applyAlignment="0" applyProtection="0"/>
    <xf numFmtId="0" fontId="8" fillId="81" borderId="836" applyNumberFormat="0" applyFont="0" applyAlignment="0" applyProtection="0"/>
    <xf numFmtId="0" fontId="216" fillId="59" borderId="837" applyNumberFormat="0" applyAlignment="0" applyProtection="0"/>
    <xf numFmtId="0" fontId="213" fillId="80" borderId="835" applyNumberFormat="0" applyAlignment="0" applyProtection="0"/>
    <xf numFmtId="0" fontId="176" fillId="81" borderId="836" applyNumberFormat="0" applyFont="0" applyAlignment="0" applyProtection="0"/>
    <xf numFmtId="182" fontId="225" fillId="0" borderId="861" applyFill="0" applyProtection="0"/>
    <xf numFmtId="0" fontId="203" fillId="81" borderId="863" applyNumberFormat="0" applyFont="0" applyAlignment="0" applyProtection="0"/>
    <xf numFmtId="200" fontId="225" fillId="0" borderId="969" applyFill="0" applyProtection="0"/>
    <xf numFmtId="200" fontId="225" fillId="0" borderId="861" applyFill="0" applyProtection="0"/>
    <xf numFmtId="0" fontId="174" fillId="0" borderId="1011" applyNumberFormat="0" applyFill="0" applyAlignment="0" applyProtection="0"/>
    <xf numFmtId="182" fontId="225" fillId="0" borderId="861" applyFill="0" applyProtection="0"/>
    <xf numFmtId="0" fontId="213" fillId="65" borderId="862" applyNumberFormat="0" applyAlignment="0" applyProtection="0"/>
    <xf numFmtId="0" fontId="213" fillId="65" borderId="907" applyNumberFormat="0" applyAlignment="0" applyProtection="0"/>
    <xf numFmtId="0" fontId="249" fillId="59" borderId="92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80" borderId="844" applyNumberFormat="0" applyAlignment="0" applyProtection="0"/>
    <xf numFmtId="0" fontId="213" fillId="65" borderId="844" applyNumberFormat="0" applyAlignment="0" applyProtection="0"/>
    <xf numFmtId="0" fontId="213" fillId="80" borderId="844" applyNumberFormat="0" applyAlignment="0" applyProtection="0"/>
    <xf numFmtId="0" fontId="8" fillId="81" borderId="845" applyNumberFormat="0" applyFont="0" applyAlignment="0" applyProtection="0"/>
    <xf numFmtId="0" fontId="176"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176" fillId="81" borderId="845" applyNumberFormat="0" applyFont="0" applyAlignment="0" applyProtection="0"/>
    <xf numFmtId="0" fontId="216" fillId="59" borderId="846" applyNumberFormat="0" applyAlignment="0" applyProtection="0"/>
    <xf numFmtId="0" fontId="174" fillId="0" borderId="847" applyNumberFormat="0" applyFill="0" applyAlignment="0" applyProtection="0"/>
    <xf numFmtId="0" fontId="206" fillId="78" borderId="844" applyNumberFormat="0" applyAlignment="0" applyProtection="0"/>
    <xf numFmtId="0" fontId="206" fillId="78" borderId="844" applyNumberFormat="0" applyAlignment="0" applyProtection="0"/>
    <xf numFmtId="182" fontId="225" fillId="0" borderId="843" applyFill="0" applyProtection="0"/>
    <xf numFmtId="182" fontId="225" fillId="0" borderId="843" applyFill="0" applyProtection="0"/>
    <xf numFmtId="182" fontId="225" fillId="0" borderId="843" applyFill="0" applyProtection="0"/>
    <xf numFmtId="200" fontId="225" fillId="0" borderId="843" applyFill="0" applyProtection="0"/>
    <xf numFmtId="200" fontId="225" fillId="0" borderId="843" applyFill="0" applyProtection="0"/>
    <xf numFmtId="200" fontId="225" fillId="0" borderId="843" applyFill="0" applyProtection="0"/>
    <xf numFmtId="0" fontId="153" fillId="0" borderId="842">
      <alignment horizontal="left" vertical="center"/>
    </xf>
    <xf numFmtId="0" fontId="229" fillId="83" borderId="848" applyAlignment="0">
      <alignment horizontal="center"/>
    </xf>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29" fillId="83" borderId="848" applyAlignment="0">
      <alignment horizontal="center"/>
    </xf>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16" fillId="78" borderId="837" applyNumberFormat="0" applyAlignment="0" applyProtection="0"/>
    <xf numFmtId="0" fontId="174" fillId="0" borderId="840" applyNumberFormat="0" applyFill="0" applyAlignment="0" applyProtection="0"/>
    <xf numFmtId="0" fontId="229" fillId="83" borderId="848" applyAlignment="0">
      <alignment horizontal="center"/>
    </xf>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13" fillId="65" borderId="835" applyNumberForma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6" fillId="78" borderId="835" applyNumberFormat="0" applyAlignment="0" applyProtection="0"/>
    <xf numFmtId="0" fontId="176" fillId="81" borderId="836" applyNumberFormat="0" applyFont="0" applyAlignment="0" applyProtection="0"/>
    <xf numFmtId="0" fontId="238" fillId="59" borderId="835" applyNumberFormat="0" applyAlignment="0" applyProtection="0"/>
    <xf numFmtId="0" fontId="213" fillId="80" borderId="835" applyNumberFormat="0" applyAlignment="0" applyProtection="0"/>
    <xf numFmtId="0" fontId="8" fillId="81" borderId="836" applyNumberFormat="0" applyFont="0" applyAlignment="0" applyProtection="0"/>
    <xf numFmtId="0" fontId="216" fillId="59" borderId="837" applyNumberFormat="0" applyAlignment="0" applyProtection="0"/>
    <xf numFmtId="0" fontId="174" fillId="0" borderId="838" applyNumberFormat="0" applyFill="0" applyAlignment="0" applyProtection="0"/>
    <xf numFmtId="0" fontId="213" fillId="80" borderId="835" applyNumberFormat="0" applyAlignment="0" applyProtection="0"/>
    <xf numFmtId="0" fontId="229" fillId="83" borderId="848" applyAlignment="0">
      <alignment horizontal="center"/>
    </xf>
    <xf numFmtId="0" fontId="176" fillId="81" borderId="836" applyNumberFormat="0" applyFont="0" applyAlignment="0" applyProtection="0"/>
    <xf numFmtId="0" fontId="213" fillId="65" borderId="844" applyNumberFormat="0" applyAlignment="0" applyProtection="0"/>
    <xf numFmtId="0" fontId="216" fillId="78" borderId="846" applyNumberFormat="0" applyAlignment="0" applyProtection="0"/>
    <xf numFmtId="0" fontId="174" fillId="0" borderId="849" applyNumberFormat="0" applyFill="0" applyAlignment="0" applyProtection="0"/>
    <xf numFmtId="0" fontId="216" fillId="78" borderId="846" applyNumberFormat="0" applyAlignment="0" applyProtection="0"/>
    <xf numFmtId="0" fontId="174" fillId="0" borderId="849" applyNumberFormat="0" applyFill="0" applyAlignment="0" applyProtection="0"/>
    <xf numFmtId="182" fontId="225" fillId="0" borderId="843" applyFill="0" applyProtection="0"/>
    <xf numFmtId="200" fontId="225" fillId="0" borderId="843" applyFill="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03" fillId="81" borderId="845" applyNumberFormat="0" applyFont="0" applyAlignment="0" applyProtection="0"/>
    <xf numFmtId="0" fontId="213" fillId="65" borderId="844" applyNumberFormat="0" applyAlignment="0" applyProtection="0"/>
    <xf numFmtId="0" fontId="203" fillId="81" borderId="845" applyNumberFormat="0" applyFont="0" applyAlignment="0" applyProtection="0"/>
    <xf numFmtId="0" fontId="216" fillId="78" borderId="846" applyNumberFormat="0" applyAlignment="0" applyProtection="0"/>
    <xf numFmtId="0" fontId="174" fillId="0" borderId="849" applyNumberFormat="0" applyFill="0" applyAlignment="0" applyProtection="0"/>
    <xf numFmtId="0" fontId="249" fillId="59" borderId="844" applyNumberFormat="0" applyAlignment="0" applyProtection="0"/>
    <xf numFmtId="0" fontId="254" fillId="80" borderId="844" applyNumberFormat="0" applyAlignment="0" applyProtection="0"/>
    <xf numFmtId="0" fontId="257" fillId="59" borderId="846" applyNumberFormat="0" applyAlignment="0" applyProtection="0"/>
    <xf numFmtId="0" fontId="244" fillId="0" borderId="843" applyNumberFormat="0" applyFont="0" applyFill="0" applyAlignment="0" applyProtection="0"/>
    <xf numFmtId="0" fontId="178" fillId="0" borderId="850" applyProtection="0"/>
    <xf numFmtId="0" fontId="176" fillId="81" borderId="845" applyNumberFormat="0" applyFont="0" applyAlignment="0" applyProtection="0"/>
    <xf numFmtId="0" fontId="8" fillId="81" borderId="845" applyNumberFormat="0" applyFont="0" applyAlignment="0" applyProtection="0"/>
    <xf numFmtId="182" fontId="225" fillId="0" borderId="843" applyFill="0" applyProtection="0"/>
    <xf numFmtId="200" fontId="225" fillId="0" borderId="843" applyFill="0" applyProtection="0"/>
    <xf numFmtId="0" fontId="213" fillId="65" borderId="844" applyNumberFormat="0" applyAlignment="0" applyProtection="0"/>
    <xf numFmtId="0" fontId="203" fillId="81" borderId="845" applyNumberFormat="0" applyFont="0" applyAlignment="0" applyProtection="0"/>
    <xf numFmtId="0" fontId="203" fillId="81" borderId="845" applyNumberFormat="0" applyFont="0" applyAlignment="0" applyProtection="0"/>
    <xf numFmtId="182" fontId="225" fillId="0" borderId="843" applyFill="0" applyProtection="0"/>
    <xf numFmtId="200" fontId="225" fillId="0" borderId="843" applyFill="0" applyProtection="0"/>
    <xf numFmtId="0" fontId="153" fillId="0" borderId="842">
      <alignment horizontal="left" vertical="center"/>
    </xf>
    <xf numFmtId="0" fontId="203" fillId="81" borderId="845" applyNumberFormat="0" applyFont="0" applyAlignment="0" applyProtection="0"/>
    <xf numFmtId="0" fontId="153" fillId="0" borderId="842">
      <alignment horizontal="left" vertical="center"/>
    </xf>
    <xf numFmtId="0" fontId="213" fillId="80" borderId="844" applyNumberFormat="0" applyAlignment="0" applyProtection="0"/>
    <xf numFmtId="0" fontId="8" fillId="81" borderId="845" applyNumberFormat="0" applyFont="0" applyAlignment="0" applyProtection="0"/>
    <xf numFmtId="182" fontId="225" fillId="0" borderId="843" applyFill="0" applyProtection="0"/>
    <xf numFmtId="200" fontId="225" fillId="0" borderId="843" applyFill="0" applyProtection="0"/>
    <xf numFmtId="182" fontId="225" fillId="0" borderId="843" applyFill="0" applyProtection="0"/>
    <xf numFmtId="200" fontId="225" fillId="0" borderId="843" applyFill="0" applyProtection="0"/>
    <xf numFmtId="0" fontId="153" fillId="0" borderId="842">
      <alignment horizontal="left" vertical="center"/>
    </xf>
    <xf numFmtId="0" fontId="203" fillId="81" borderId="836" applyNumberFormat="0" applyFont="0" applyAlignment="0" applyProtection="0"/>
    <xf numFmtId="182" fontId="225" fillId="0" borderId="843" applyFill="0" applyProtection="0"/>
    <xf numFmtId="200" fontId="225" fillId="0" borderId="843" applyFill="0" applyProtection="0"/>
    <xf numFmtId="0" fontId="176" fillId="81" borderId="845" applyNumberFormat="0" applyFont="0" applyAlignment="0" applyProtection="0"/>
    <xf numFmtId="0" fontId="203" fillId="81" borderId="845"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03" fillId="81" borderId="836" applyNumberFormat="0" applyFont="0" applyAlignment="0" applyProtection="0"/>
    <xf numFmtId="0" fontId="213" fillId="65" borderId="844" applyNumberFormat="0" applyAlignment="0" applyProtection="0"/>
    <xf numFmtId="0" fontId="238" fillId="59" borderId="853" applyNumberFormat="0" applyAlignment="0" applyProtection="0"/>
    <xf numFmtId="0" fontId="213" fillId="65" borderId="844" applyNumberFormat="0" applyAlignment="0" applyProtection="0"/>
    <xf numFmtId="0" fontId="206" fillId="78" borderId="970" applyNumberFormat="0" applyAlignment="0" applyProtection="0"/>
    <xf numFmtId="182" fontId="225" fillId="0" borderId="861" applyFill="0" applyProtection="0"/>
    <xf numFmtId="200" fontId="225" fillId="0" borderId="861" applyFill="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0" fontId="213" fillId="65" borderId="844" applyNumberFormat="0" applyAlignment="0" applyProtection="0"/>
    <xf numFmtId="200" fontId="225" fillId="0" borderId="861" applyFill="0" applyProtection="0"/>
    <xf numFmtId="0" fontId="206" fillId="78" borderId="844" applyNumberFormat="0" applyAlignment="0" applyProtection="0"/>
    <xf numFmtId="0" fontId="238" fillId="59" borderId="844" applyNumberFormat="0" applyAlignment="0" applyProtection="0"/>
    <xf numFmtId="0" fontId="213" fillId="80" borderId="844" applyNumberFormat="0" applyAlignment="0" applyProtection="0"/>
    <xf numFmtId="0" fontId="213" fillId="80" borderId="844" applyNumberFormat="0" applyAlignment="0" applyProtection="0"/>
    <xf numFmtId="0" fontId="174" fillId="0" borderId="865" applyNumberFormat="0" applyFill="0" applyAlignment="0" applyProtection="0"/>
    <xf numFmtId="0" fontId="8" fillId="81" borderId="953" applyNumberFormat="0" applyFont="0" applyAlignment="0" applyProtection="0"/>
    <xf numFmtId="0" fontId="176" fillId="81" borderId="863" applyNumberFormat="0" applyFont="0" applyAlignment="0" applyProtection="0"/>
    <xf numFmtId="0" fontId="213" fillId="65" borderId="862" applyNumberFormat="0" applyAlignment="0" applyProtection="0"/>
    <xf numFmtId="0" fontId="213" fillId="65" borderId="853" applyNumberFormat="0" applyAlignment="0" applyProtection="0"/>
    <xf numFmtId="0" fontId="206" fillId="78" borderId="862"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80" borderId="853" applyNumberFormat="0" applyAlignment="0" applyProtection="0"/>
    <xf numFmtId="0" fontId="213" fillId="65" borderId="853" applyNumberFormat="0" applyAlignment="0" applyProtection="0"/>
    <xf numFmtId="0" fontId="213" fillId="80" borderId="853" applyNumberFormat="0" applyAlignment="0" applyProtection="0"/>
    <xf numFmtId="0" fontId="8" fillId="81" borderId="854" applyNumberFormat="0" applyFont="0" applyAlignment="0" applyProtection="0"/>
    <xf numFmtId="0" fontId="176"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176" fillId="81" borderId="854" applyNumberFormat="0" applyFont="0" applyAlignment="0" applyProtection="0"/>
    <xf numFmtId="0" fontId="216" fillId="59" borderId="855" applyNumberFormat="0" applyAlignment="0" applyProtection="0"/>
    <xf numFmtId="0" fontId="174" fillId="0" borderId="856" applyNumberFormat="0" applyFill="0" applyAlignment="0" applyProtection="0"/>
    <xf numFmtId="0" fontId="206" fillId="78" borderId="853" applyNumberFormat="0" applyAlignment="0" applyProtection="0"/>
    <xf numFmtId="0" fontId="206" fillId="78" borderId="853" applyNumberFormat="0" applyAlignment="0" applyProtection="0"/>
    <xf numFmtId="182" fontId="225" fillId="0" borderId="852" applyFill="0" applyProtection="0"/>
    <xf numFmtId="182" fontId="225" fillId="0" borderId="852" applyFill="0" applyProtection="0"/>
    <xf numFmtId="182" fontId="225" fillId="0" borderId="852" applyFill="0" applyProtection="0"/>
    <xf numFmtId="200" fontId="225" fillId="0" borderId="852" applyFill="0" applyProtection="0"/>
    <xf numFmtId="200" fontId="225" fillId="0" borderId="852" applyFill="0" applyProtection="0"/>
    <xf numFmtId="200" fontId="225" fillId="0" borderId="852" applyFill="0" applyProtection="0"/>
    <xf numFmtId="0" fontId="153" fillId="0" borderId="851">
      <alignment horizontal="left" vertical="center"/>
    </xf>
    <xf numFmtId="0" fontId="229" fillId="83" borderId="857" applyAlignment="0">
      <alignment horizontal="center"/>
    </xf>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13" fillId="65" borderId="853" applyNumberFormat="0" applyAlignment="0" applyProtection="0"/>
    <xf numFmtId="0" fontId="229" fillId="83" borderId="857" applyAlignment="0">
      <alignment horizontal="center"/>
    </xf>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29" fillId="83" borderId="857" applyAlignment="0">
      <alignment horizontal="center"/>
    </xf>
    <xf numFmtId="0" fontId="229" fillId="83" borderId="857" applyAlignment="0">
      <alignment horizontal="center"/>
    </xf>
    <xf numFmtId="0" fontId="213" fillId="65" borderId="853" applyNumberFormat="0" applyAlignment="0" applyProtection="0"/>
    <xf numFmtId="0" fontId="216" fillId="78" borderId="855" applyNumberFormat="0" applyAlignment="0" applyProtection="0"/>
    <xf numFmtId="0" fontId="174" fillId="0" borderId="858" applyNumberFormat="0" applyFill="0" applyAlignment="0" applyProtection="0"/>
    <xf numFmtId="0" fontId="216" fillId="78" borderId="855" applyNumberFormat="0" applyAlignment="0" applyProtection="0"/>
    <xf numFmtId="0" fontId="174" fillId="0" borderId="858" applyNumberFormat="0" applyFill="0" applyAlignment="0" applyProtection="0"/>
    <xf numFmtId="182" fontId="225" fillId="0" borderId="852" applyFill="0" applyProtection="0"/>
    <xf numFmtId="200" fontId="225" fillId="0" borderId="852" applyFill="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03" fillId="81" borderId="854" applyNumberFormat="0" applyFont="0" applyAlignment="0" applyProtection="0"/>
    <xf numFmtId="0" fontId="213" fillId="65" borderId="853" applyNumberFormat="0" applyAlignment="0" applyProtection="0"/>
    <xf numFmtId="0" fontId="203" fillId="81" borderId="854" applyNumberFormat="0" applyFont="0" applyAlignment="0" applyProtection="0"/>
    <xf numFmtId="0" fontId="216" fillId="78" borderId="855" applyNumberFormat="0" applyAlignment="0" applyProtection="0"/>
    <xf numFmtId="0" fontId="174" fillId="0" borderId="858" applyNumberFormat="0" applyFill="0" applyAlignment="0" applyProtection="0"/>
    <xf numFmtId="0" fontId="249" fillId="59" borderId="853" applyNumberFormat="0" applyAlignment="0" applyProtection="0"/>
    <xf numFmtId="0" fontId="254" fillId="80" borderId="853" applyNumberFormat="0" applyAlignment="0" applyProtection="0"/>
    <xf numFmtId="0" fontId="257" fillId="59" borderId="855" applyNumberFormat="0" applyAlignment="0" applyProtection="0"/>
    <xf numFmtId="0" fontId="244" fillId="0" borderId="852" applyNumberFormat="0" applyFont="0" applyFill="0" applyAlignment="0" applyProtection="0"/>
    <xf numFmtId="0" fontId="178" fillId="0" borderId="859" applyProtection="0"/>
    <xf numFmtId="0" fontId="176" fillId="81" borderId="854" applyNumberFormat="0" applyFont="0" applyAlignment="0" applyProtection="0"/>
    <xf numFmtId="0" fontId="8" fillId="81" borderId="854" applyNumberFormat="0" applyFont="0" applyAlignment="0" applyProtection="0"/>
    <xf numFmtId="182" fontId="225" fillId="0" borderId="852" applyFill="0" applyProtection="0"/>
    <xf numFmtId="200" fontId="225" fillId="0" borderId="852" applyFill="0" applyProtection="0"/>
    <xf numFmtId="0" fontId="213" fillId="65" borderId="853" applyNumberFormat="0" applyAlignment="0" applyProtection="0"/>
    <xf numFmtId="0" fontId="203" fillId="81" borderId="854" applyNumberFormat="0" applyFont="0" applyAlignment="0" applyProtection="0"/>
    <xf numFmtId="0" fontId="203" fillId="81" borderId="854" applyNumberFormat="0" applyFont="0" applyAlignment="0" applyProtection="0"/>
    <xf numFmtId="182" fontId="225" fillId="0" borderId="852" applyFill="0" applyProtection="0"/>
    <xf numFmtId="200" fontId="225" fillId="0" borderId="852" applyFill="0" applyProtection="0"/>
    <xf numFmtId="0" fontId="153" fillId="0" borderId="851">
      <alignment horizontal="left" vertical="center"/>
    </xf>
    <xf numFmtId="0" fontId="203" fillId="81" borderId="854" applyNumberFormat="0" applyFont="0" applyAlignment="0" applyProtection="0"/>
    <xf numFmtId="0" fontId="153" fillId="0" borderId="851">
      <alignment horizontal="left" vertical="center"/>
    </xf>
    <xf numFmtId="0" fontId="213" fillId="80" borderId="853" applyNumberFormat="0" applyAlignment="0" applyProtection="0"/>
    <xf numFmtId="0" fontId="8" fillId="81" borderId="854" applyNumberFormat="0" applyFont="0" applyAlignment="0" applyProtection="0"/>
    <xf numFmtId="182" fontId="225" fillId="0" borderId="852" applyFill="0" applyProtection="0"/>
    <xf numFmtId="200" fontId="225" fillId="0" borderId="852" applyFill="0" applyProtection="0"/>
    <xf numFmtId="182" fontId="225" fillId="0" borderId="852" applyFill="0" applyProtection="0"/>
    <xf numFmtId="200" fontId="225" fillId="0" borderId="852" applyFill="0" applyProtection="0"/>
    <xf numFmtId="0" fontId="153" fillId="0" borderId="851">
      <alignment horizontal="left" vertical="center"/>
    </xf>
    <xf numFmtId="182" fontId="225" fillId="0" borderId="852" applyFill="0" applyProtection="0"/>
    <xf numFmtId="200" fontId="225" fillId="0" borderId="852" applyFill="0" applyProtection="0"/>
    <xf numFmtId="0" fontId="176" fillId="81" borderId="854" applyNumberFormat="0" applyFont="0" applyAlignment="0" applyProtection="0"/>
    <xf numFmtId="0" fontId="203" fillId="81" borderId="854" applyNumberFormat="0" applyFont="0" applyAlignment="0" applyProtection="0"/>
    <xf numFmtId="0" fontId="213" fillId="65" borderId="853" applyNumberFormat="0" applyAlignment="0" applyProtection="0"/>
    <xf numFmtId="0" fontId="229" fillId="83" borderId="822" applyAlignment="0">
      <alignment horizontal="center"/>
    </xf>
    <xf numFmtId="0" fontId="203" fillId="81" borderId="836" applyNumberFormat="0" applyFont="0" applyAlignment="0" applyProtection="0"/>
    <xf numFmtId="0" fontId="229" fillId="83" borderId="912" applyAlignment="0">
      <alignment horizontal="center"/>
    </xf>
    <xf numFmtId="0" fontId="244" fillId="0" borderId="960" applyNumberFormat="0" applyFont="0" applyFill="0" applyAlignment="0" applyProtection="0"/>
    <xf numFmtId="182" fontId="225" fillId="0" borderId="951" applyFill="0" applyProtection="0"/>
    <xf numFmtId="0" fontId="213" fillId="65" borderId="952" applyNumberFormat="0" applyAlignment="0" applyProtection="0"/>
    <xf numFmtId="0" fontId="203" fillId="81" borderId="1034" applyNumberFormat="0" applyFont="0" applyAlignment="0" applyProtection="0"/>
    <xf numFmtId="182" fontId="225" fillId="0" borderId="951" applyFill="0" applyProtection="0"/>
    <xf numFmtId="0" fontId="213" fillId="65" borderId="1042" applyNumberFormat="0" applyAlignment="0" applyProtection="0"/>
    <xf numFmtId="0" fontId="174" fillId="0" borderId="1046" applyNumberFormat="0" applyFill="0" applyAlignment="0" applyProtection="0"/>
    <xf numFmtId="0" fontId="213" fillId="65" borderId="1042" applyNumberFormat="0" applyAlignment="0" applyProtection="0"/>
    <xf numFmtId="0" fontId="203" fillId="81" borderId="1034" applyNumberFormat="0" applyFont="0" applyAlignment="0" applyProtection="0"/>
    <xf numFmtId="0" fontId="213" fillId="65" borderId="997" applyNumberFormat="0" applyAlignment="0" applyProtection="0"/>
    <xf numFmtId="0" fontId="213" fillId="65" borderId="1042" applyNumberFormat="0" applyAlignment="0" applyProtection="0"/>
    <xf numFmtId="0" fontId="213" fillId="65" borderId="1051" applyNumberFormat="0" applyAlignment="0" applyProtection="0"/>
    <xf numFmtId="0" fontId="213" fillId="65" borderId="1042" applyNumberFormat="0" applyAlignment="0" applyProtection="0"/>
    <xf numFmtId="0" fontId="213" fillId="65" borderId="997" applyNumberFormat="0" applyAlignment="0" applyProtection="0"/>
    <xf numFmtId="182" fontId="225" fillId="0" borderId="1050" applyFill="0" applyProtection="0"/>
    <xf numFmtId="0" fontId="203" fillId="81" borderId="899" applyNumberFormat="0" applyFont="0" applyAlignment="0" applyProtection="0"/>
    <xf numFmtId="0" fontId="213" fillId="65" borderId="907" applyNumberFormat="0" applyAlignment="0" applyProtection="0"/>
    <xf numFmtId="0" fontId="203" fillId="81" borderId="1016" applyNumberFormat="0" applyFont="0" applyAlignment="0" applyProtection="0"/>
    <xf numFmtId="0" fontId="174" fillId="0" borderId="1038" applyNumberFormat="0" applyFill="0" applyAlignment="0" applyProtection="0"/>
    <xf numFmtId="0" fontId="213" fillId="65" borderId="997" applyNumberFormat="0" applyAlignment="0" applyProtection="0"/>
    <xf numFmtId="0" fontId="203" fillId="81" borderId="1052" applyNumberFormat="0" applyFont="0" applyAlignment="0" applyProtection="0"/>
    <xf numFmtId="0" fontId="203" fillId="81" borderId="998" applyNumberFormat="0" applyFont="0" applyAlignment="0" applyProtection="0"/>
    <xf numFmtId="0" fontId="213" fillId="65" borderId="952" applyNumberFormat="0" applyAlignment="0" applyProtection="0"/>
    <xf numFmtId="0" fontId="213" fillId="65" borderId="1042" applyNumberFormat="0" applyAlignment="0" applyProtection="0"/>
    <xf numFmtId="0" fontId="203" fillId="81" borderId="962" applyNumberFormat="0" applyFont="0" applyAlignment="0" applyProtection="0"/>
    <xf numFmtId="0" fontId="213" fillId="65" borderId="1015" applyNumberFormat="0" applyAlignment="0" applyProtection="0"/>
    <xf numFmtId="0" fontId="176" fillId="81" borderId="944" applyNumberFormat="0" applyFont="0" applyAlignment="0" applyProtection="0"/>
    <xf numFmtId="0" fontId="213" fillId="65" borderId="961" applyNumberFormat="0" applyAlignment="0" applyProtection="0"/>
    <xf numFmtId="0" fontId="238" fillId="59" borderId="1042" applyNumberFormat="0" applyAlignment="0" applyProtection="0"/>
    <xf numFmtId="0" fontId="203" fillId="81" borderId="1052" applyNumberFormat="0" applyFont="0" applyAlignment="0" applyProtection="0"/>
    <xf numFmtId="0" fontId="176" fillId="81" borderId="908" applyNumberFormat="0" applyFont="0" applyAlignment="0" applyProtection="0"/>
    <xf numFmtId="0" fontId="238" fillId="59" borderId="889" applyNumberFormat="0" applyAlignment="0" applyProtection="0"/>
    <xf numFmtId="0" fontId="229" fillId="83" borderId="884" applyAlignment="0">
      <alignment horizontal="center"/>
    </xf>
    <xf numFmtId="0" fontId="213" fillId="65" borderId="880" applyNumberFormat="0" applyAlignment="0" applyProtection="0"/>
    <xf numFmtId="0" fontId="238" fillId="59"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80" borderId="880" applyNumberFormat="0" applyAlignment="0" applyProtection="0"/>
    <xf numFmtId="0" fontId="213" fillId="65" borderId="880" applyNumberFormat="0" applyAlignment="0" applyProtection="0"/>
    <xf numFmtId="0" fontId="213" fillId="80" borderId="880" applyNumberFormat="0" applyAlignment="0" applyProtection="0"/>
    <xf numFmtId="0" fontId="203" fillId="81" borderId="908" applyNumberFormat="0" applyFont="0" applyAlignment="0" applyProtection="0"/>
    <xf numFmtId="0" fontId="213" fillId="65" borderId="1015" applyNumberFormat="0" applyAlignment="0" applyProtection="0"/>
    <xf numFmtId="182" fontId="225" fillId="0" borderId="906" applyFill="0" applyProtection="0"/>
    <xf numFmtId="182" fontId="225" fillId="0" borderId="906" applyFill="0" applyProtection="0"/>
    <xf numFmtId="0" fontId="8" fillId="81" borderId="881" applyNumberFormat="0" applyFont="0" applyAlignment="0" applyProtection="0"/>
    <xf numFmtId="0" fontId="176"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176" fillId="81" borderId="881" applyNumberFormat="0" applyFont="0" applyAlignment="0" applyProtection="0"/>
    <xf numFmtId="0" fontId="216" fillId="59" borderId="882" applyNumberFormat="0" applyAlignment="0" applyProtection="0"/>
    <xf numFmtId="0" fontId="174" fillId="0" borderId="883" applyNumberFormat="0" applyFill="0" applyAlignment="0" applyProtection="0"/>
    <xf numFmtId="0" fontId="216" fillId="78" borderId="882" applyNumberFormat="0" applyAlignment="0" applyProtection="0"/>
    <xf numFmtId="0" fontId="174" fillId="0" borderId="885" applyNumberFormat="0" applyFill="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153" fillId="0" borderId="905">
      <alignment horizontal="left" vertical="center"/>
    </xf>
    <xf numFmtId="0" fontId="203" fillId="81" borderId="881" applyNumberFormat="0" applyFont="0" applyAlignment="0" applyProtection="0"/>
    <xf numFmtId="0" fontId="206" fillId="78" borderId="880" applyNumberFormat="0" applyAlignment="0" applyProtection="0"/>
    <xf numFmtId="0" fontId="176" fillId="81" borderId="881" applyNumberFormat="0" applyFont="0" applyAlignment="0" applyProtection="0"/>
    <xf numFmtId="0" fontId="238" fillId="59" borderId="880" applyNumberFormat="0" applyAlignment="0" applyProtection="0"/>
    <xf numFmtId="0" fontId="213" fillId="80" borderId="880" applyNumberFormat="0" applyAlignment="0" applyProtection="0"/>
    <xf numFmtId="0" fontId="8" fillId="81" borderId="881" applyNumberFormat="0" applyFont="0" applyAlignment="0" applyProtection="0"/>
    <xf numFmtId="0" fontId="216" fillId="59" borderId="882" applyNumberFormat="0" applyAlignment="0" applyProtection="0"/>
    <xf numFmtId="0" fontId="213" fillId="80" borderId="880" applyNumberFormat="0" applyAlignment="0" applyProtection="0"/>
    <xf numFmtId="0" fontId="176" fillId="81" borderId="881" applyNumberFormat="0" applyFont="0" applyAlignment="0" applyProtection="0"/>
    <xf numFmtId="182" fontId="225" fillId="0" borderId="906" applyFill="0" applyProtection="0"/>
    <xf numFmtId="0" fontId="203" fillId="81" borderId="908" applyNumberFormat="0" applyFont="0" applyAlignment="0" applyProtection="0"/>
    <xf numFmtId="200" fontId="225" fillId="0" borderId="1014" applyFill="0" applyProtection="0"/>
    <xf numFmtId="200" fontId="225" fillId="0" borderId="906" applyFill="0" applyProtection="0"/>
    <xf numFmtId="0" fontId="174" fillId="0" borderId="1056" applyNumberFormat="0" applyFill="0" applyAlignment="0" applyProtection="0"/>
    <xf numFmtId="182" fontId="225" fillId="0" borderId="906" applyFill="0" applyProtection="0"/>
    <xf numFmtId="0" fontId="213" fillId="65" borderId="907" applyNumberFormat="0" applyAlignment="0" applyProtection="0"/>
    <xf numFmtId="0" fontId="213" fillId="65" borderId="952" applyNumberFormat="0" applyAlignment="0" applyProtection="0"/>
    <xf numFmtId="0" fontId="249" fillId="59" borderId="97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80" borderId="889" applyNumberFormat="0" applyAlignment="0" applyProtection="0"/>
    <xf numFmtId="0" fontId="213" fillId="65" borderId="889" applyNumberFormat="0" applyAlignment="0" applyProtection="0"/>
    <xf numFmtId="0" fontId="213" fillId="80" borderId="889" applyNumberFormat="0" applyAlignment="0" applyProtection="0"/>
    <xf numFmtId="0" fontId="8" fillId="81" borderId="890" applyNumberFormat="0" applyFont="0" applyAlignment="0" applyProtection="0"/>
    <xf numFmtId="0" fontId="176"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176" fillId="81" borderId="890" applyNumberFormat="0" applyFont="0" applyAlignment="0" applyProtection="0"/>
    <xf numFmtId="0" fontId="216" fillId="59" borderId="891" applyNumberFormat="0" applyAlignment="0" applyProtection="0"/>
    <xf numFmtId="0" fontId="174" fillId="0" borderId="892" applyNumberFormat="0" applyFill="0" applyAlignment="0" applyProtection="0"/>
    <xf numFmtId="0" fontId="206" fillId="78" borderId="889" applyNumberFormat="0" applyAlignment="0" applyProtection="0"/>
    <xf numFmtId="0" fontId="206" fillId="78" borderId="889" applyNumberFormat="0" applyAlignment="0" applyProtection="0"/>
    <xf numFmtId="182" fontId="225" fillId="0" borderId="888" applyFill="0" applyProtection="0"/>
    <xf numFmtId="182" fontId="225" fillId="0" borderId="888" applyFill="0" applyProtection="0"/>
    <xf numFmtId="182" fontId="225" fillId="0" borderId="888" applyFill="0" applyProtection="0"/>
    <xf numFmtId="200" fontId="225" fillId="0" borderId="888" applyFill="0" applyProtection="0"/>
    <xf numFmtId="200" fontId="225" fillId="0" borderId="888" applyFill="0" applyProtection="0"/>
    <xf numFmtId="200" fontId="225" fillId="0" borderId="888" applyFill="0" applyProtection="0"/>
    <xf numFmtId="0" fontId="153" fillId="0" borderId="887">
      <alignment horizontal="left" vertical="center"/>
    </xf>
    <xf numFmtId="0" fontId="229" fillId="83" borderId="893" applyAlignment="0">
      <alignment horizontal="center"/>
    </xf>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29" fillId="83" borderId="893" applyAlignment="0">
      <alignment horizontal="center"/>
    </xf>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16" fillId="78" borderId="882" applyNumberFormat="0" applyAlignment="0" applyProtection="0"/>
    <xf numFmtId="0" fontId="174" fillId="0" borderId="885" applyNumberFormat="0" applyFill="0" applyAlignment="0" applyProtection="0"/>
    <xf numFmtId="0" fontId="229" fillId="83" borderId="893" applyAlignment="0">
      <alignment horizontal="center"/>
    </xf>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13" fillId="65" borderId="880" applyNumberForma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6" fillId="78" borderId="880" applyNumberFormat="0" applyAlignment="0" applyProtection="0"/>
    <xf numFmtId="0" fontId="176" fillId="81" borderId="881" applyNumberFormat="0" applyFont="0" applyAlignment="0" applyProtection="0"/>
    <xf numFmtId="0" fontId="238" fillId="59" borderId="880" applyNumberFormat="0" applyAlignment="0" applyProtection="0"/>
    <xf numFmtId="0" fontId="213" fillId="80" borderId="880" applyNumberFormat="0" applyAlignment="0" applyProtection="0"/>
    <xf numFmtId="0" fontId="8" fillId="81" borderId="881" applyNumberFormat="0" applyFont="0" applyAlignment="0" applyProtection="0"/>
    <xf numFmtId="0" fontId="216" fillId="59" borderId="882" applyNumberFormat="0" applyAlignment="0" applyProtection="0"/>
    <xf numFmtId="0" fontId="174" fillId="0" borderId="883" applyNumberFormat="0" applyFill="0" applyAlignment="0" applyProtection="0"/>
    <xf numFmtId="0" fontId="213" fillId="80" borderId="880" applyNumberFormat="0" applyAlignment="0" applyProtection="0"/>
    <xf numFmtId="0" fontId="229" fillId="83" borderId="893" applyAlignment="0">
      <alignment horizontal="center"/>
    </xf>
    <xf numFmtId="0" fontId="176" fillId="81" borderId="881" applyNumberFormat="0" applyFont="0" applyAlignment="0" applyProtection="0"/>
    <xf numFmtId="0" fontId="213" fillId="65" borderId="889" applyNumberFormat="0" applyAlignment="0" applyProtection="0"/>
    <xf numFmtId="0" fontId="216" fillId="78" borderId="891" applyNumberFormat="0" applyAlignment="0" applyProtection="0"/>
    <xf numFmtId="0" fontId="174" fillId="0" borderId="894" applyNumberFormat="0" applyFill="0" applyAlignment="0" applyProtection="0"/>
    <xf numFmtId="0" fontId="216" fillId="78" borderId="891" applyNumberFormat="0" applyAlignment="0" applyProtection="0"/>
    <xf numFmtId="0" fontId="174" fillId="0" borderId="894" applyNumberFormat="0" applyFill="0" applyAlignment="0" applyProtection="0"/>
    <xf numFmtId="182" fontId="225" fillId="0" borderId="888" applyFill="0" applyProtection="0"/>
    <xf numFmtId="200" fontId="225" fillId="0" borderId="888" applyFill="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03" fillId="81" borderId="890" applyNumberFormat="0" applyFont="0" applyAlignment="0" applyProtection="0"/>
    <xf numFmtId="0" fontId="213" fillId="65" borderId="889" applyNumberFormat="0" applyAlignment="0" applyProtection="0"/>
    <xf numFmtId="0" fontId="203" fillId="81" borderId="890" applyNumberFormat="0" applyFont="0" applyAlignment="0" applyProtection="0"/>
    <xf numFmtId="0" fontId="216" fillId="78" borderId="891" applyNumberFormat="0" applyAlignment="0" applyProtection="0"/>
    <xf numFmtId="0" fontId="174" fillId="0" borderId="894" applyNumberFormat="0" applyFill="0" applyAlignment="0" applyProtection="0"/>
    <xf numFmtId="0" fontId="249" fillId="59" borderId="889" applyNumberFormat="0" applyAlignment="0" applyProtection="0"/>
    <xf numFmtId="0" fontId="254" fillId="80" borderId="889" applyNumberFormat="0" applyAlignment="0" applyProtection="0"/>
    <xf numFmtId="0" fontId="257" fillId="59" borderId="891" applyNumberFormat="0" applyAlignment="0" applyProtection="0"/>
    <xf numFmtId="0" fontId="244" fillId="0" borderId="888" applyNumberFormat="0" applyFont="0" applyFill="0" applyAlignment="0" applyProtection="0"/>
    <xf numFmtId="0" fontId="178" fillId="0" borderId="895" applyProtection="0"/>
    <xf numFmtId="0" fontId="176" fillId="81" borderId="890" applyNumberFormat="0" applyFont="0" applyAlignment="0" applyProtection="0"/>
    <xf numFmtId="0" fontId="8" fillId="81" borderId="890" applyNumberFormat="0" applyFont="0" applyAlignment="0" applyProtection="0"/>
    <xf numFmtId="182" fontId="225" fillId="0" borderId="888" applyFill="0" applyProtection="0"/>
    <xf numFmtId="200" fontId="225" fillId="0" borderId="888" applyFill="0" applyProtection="0"/>
    <xf numFmtId="0" fontId="213" fillId="65" borderId="889" applyNumberFormat="0" applyAlignment="0" applyProtection="0"/>
    <xf numFmtId="0" fontId="203" fillId="81" borderId="890" applyNumberFormat="0" applyFont="0" applyAlignment="0" applyProtection="0"/>
    <xf numFmtId="0" fontId="203" fillId="81" borderId="890" applyNumberFormat="0" applyFont="0" applyAlignment="0" applyProtection="0"/>
    <xf numFmtId="182" fontId="225" fillId="0" borderId="888" applyFill="0" applyProtection="0"/>
    <xf numFmtId="200" fontId="225" fillId="0" borderId="888" applyFill="0" applyProtection="0"/>
    <xf numFmtId="0" fontId="153" fillId="0" borderId="887">
      <alignment horizontal="left" vertical="center"/>
    </xf>
    <xf numFmtId="0" fontId="203" fillId="81" borderId="890" applyNumberFormat="0" applyFont="0" applyAlignment="0" applyProtection="0"/>
    <xf numFmtId="0" fontId="153" fillId="0" borderId="887">
      <alignment horizontal="left" vertical="center"/>
    </xf>
    <xf numFmtId="0" fontId="213" fillId="80" borderId="889" applyNumberFormat="0" applyAlignment="0" applyProtection="0"/>
    <xf numFmtId="0" fontId="8" fillId="81" borderId="890" applyNumberFormat="0" applyFont="0" applyAlignment="0" applyProtection="0"/>
    <xf numFmtId="182" fontId="225" fillId="0" borderId="888" applyFill="0" applyProtection="0"/>
    <xf numFmtId="200" fontId="225" fillId="0" borderId="888" applyFill="0" applyProtection="0"/>
    <xf numFmtId="182" fontId="225" fillId="0" borderId="888" applyFill="0" applyProtection="0"/>
    <xf numFmtId="200" fontId="225" fillId="0" borderId="888" applyFill="0" applyProtection="0"/>
    <xf numFmtId="0" fontId="153" fillId="0" borderId="887">
      <alignment horizontal="left" vertical="center"/>
    </xf>
    <xf numFmtId="0" fontId="203" fillId="81" borderId="881" applyNumberFormat="0" applyFont="0" applyAlignment="0" applyProtection="0"/>
    <xf numFmtId="182" fontId="225" fillId="0" borderId="888" applyFill="0" applyProtection="0"/>
    <xf numFmtId="200" fontId="225" fillId="0" borderId="888" applyFill="0" applyProtection="0"/>
    <xf numFmtId="0" fontId="176" fillId="81" borderId="890" applyNumberFormat="0" applyFont="0" applyAlignment="0" applyProtection="0"/>
    <xf numFmtId="0" fontId="203" fillId="81" borderId="890"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03" fillId="81" borderId="881" applyNumberFormat="0" applyFont="0" applyAlignment="0" applyProtection="0"/>
    <xf numFmtId="0" fontId="213" fillId="65" borderId="889" applyNumberFormat="0" applyAlignment="0" applyProtection="0"/>
    <xf numFmtId="0" fontId="238" fillId="59" borderId="898" applyNumberFormat="0" applyAlignment="0" applyProtection="0"/>
    <xf numFmtId="0" fontId="213" fillId="65" borderId="889" applyNumberFormat="0" applyAlignment="0" applyProtection="0"/>
    <xf numFmtId="0" fontId="206" fillId="78" borderId="1015" applyNumberFormat="0" applyAlignment="0" applyProtection="0"/>
    <xf numFmtId="182" fontId="225" fillId="0" borderId="906" applyFill="0" applyProtection="0"/>
    <xf numFmtId="200" fontId="225" fillId="0" borderId="906" applyFill="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0" fontId="213" fillId="65" borderId="889" applyNumberFormat="0" applyAlignment="0" applyProtection="0"/>
    <xf numFmtId="200" fontId="225" fillId="0" borderId="906" applyFill="0" applyProtection="0"/>
    <xf numFmtId="0" fontId="206" fillId="78" borderId="889" applyNumberFormat="0" applyAlignment="0" applyProtection="0"/>
    <xf numFmtId="0" fontId="238" fillId="59" borderId="889" applyNumberFormat="0" applyAlignment="0" applyProtection="0"/>
    <xf numFmtId="0" fontId="213" fillId="80" borderId="889" applyNumberFormat="0" applyAlignment="0" applyProtection="0"/>
    <xf numFmtId="0" fontId="213" fillId="80" borderId="889" applyNumberFormat="0" applyAlignment="0" applyProtection="0"/>
    <xf numFmtId="0" fontId="174" fillId="0" borderId="910" applyNumberFormat="0" applyFill="0" applyAlignment="0" applyProtection="0"/>
    <xf numFmtId="0" fontId="8" fillId="81" borderId="998" applyNumberFormat="0" applyFont="0" applyAlignment="0" applyProtection="0"/>
    <xf numFmtId="0" fontId="176" fillId="81" borderId="908" applyNumberFormat="0" applyFont="0" applyAlignment="0" applyProtection="0"/>
    <xf numFmtId="0" fontId="213" fillId="65" borderId="907" applyNumberFormat="0" applyAlignment="0" applyProtection="0"/>
    <xf numFmtId="0" fontId="213" fillId="65" borderId="898" applyNumberFormat="0" applyAlignment="0" applyProtection="0"/>
    <xf numFmtId="0" fontId="206" fillId="78" borderId="907"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80" borderId="898" applyNumberFormat="0" applyAlignment="0" applyProtection="0"/>
    <xf numFmtId="0" fontId="213" fillId="65" borderId="898" applyNumberFormat="0" applyAlignment="0" applyProtection="0"/>
    <xf numFmtId="0" fontId="213" fillId="80" borderId="898" applyNumberFormat="0" applyAlignment="0" applyProtection="0"/>
    <xf numFmtId="0" fontId="8" fillId="81" borderId="899" applyNumberFormat="0" applyFont="0" applyAlignment="0" applyProtection="0"/>
    <xf numFmtId="0" fontId="176"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176" fillId="81" borderId="899" applyNumberFormat="0" applyFont="0" applyAlignment="0" applyProtection="0"/>
    <xf numFmtId="0" fontId="216" fillId="59" borderId="900" applyNumberFormat="0" applyAlignment="0" applyProtection="0"/>
    <xf numFmtId="0" fontId="174" fillId="0" borderId="901" applyNumberFormat="0" applyFill="0" applyAlignment="0" applyProtection="0"/>
    <xf numFmtId="0" fontId="206" fillId="78" borderId="898" applyNumberFormat="0" applyAlignment="0" applyProtection="0"/>
    <xf numFmtId="0" fontId="206" fillId="78" borderId="898" applyNumberFormat="0" applyAlignment="0" applyProtection="0"/>
    <xf numFmtId="182" fontId="225" fillId="0" borderId="897" applyFill="0" applyProtection="0"/>
    <xf numFmtId="182" fontId="225" fillId="0" borderId="897" applyFill="0" applyProtection="0"/>
    <xf numFmtId="182" fontId="225" fillId="0" borderId="897" applyFill="0" applyProtection="0"/>
    <xf numFmtId="200" fontId="225" fillId="0" borderId="897" applyFill="0" applyProtection="0"/>
    <xf numFmtId="200" fontId="225" fillId="0" borderId="897" applyFill="0" applyProtection="0"/>
    <xf numFmtId="200" fontId="225" fillId="0" borderId="897" applyFill="0" applyProtection="0"/>
    <xf numFmtId="0" fontId="153" fillId="0" borderId="896">
      <alignment horizontal="left" vertical="center"/>
    </xf>
    <xf numFmtId="0" fontId="229" fillId="83" borderId="902" applyAlignment="0">
      <alignment horizontal="center"/>
    </xf>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13" fillId="65" borderId="898" applyNumberFormat="0" applyAlignment="0" applyProtection="0"/>
    <xf numFmtId="0" fontId="229" fillId="83" borderId="902" applyAlignment="0">
      <alignment horizontal="center"/>
    </xf>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29" fillId="83" borderId="902" applyAlignment="0">
      <alignment horizontal="center"/>
    </xf>
    <xf numFmtId="0" fontId="229" fillId="83" borderId="902" applyAlignment="0">
      <alignment horizontal="center"/>
    </xf>
    <xf numFmtId="0" fontId="213" fillId="65" borderId="898" applyNumberFormat="0" applyAlignment="0" applyProtection="0"/>
    <xf numFmtId="0" fontId="216" fillId="78" borderId="900" applyNumberFormat="0" applyAlignment="0" applyProtection="0"/>
    <xf numFmtId="0" fontId="174" fillId="0" borderId="903" applyNumberFormat="0" applyFill="0" applyAlignment="0" applyProtection="0"/>
    <xf numFmtId="0" fontId="216" fillId="78" borderId="900" applyNumberFormat="0" applyAlignment="0" applyProtection="0"/>
    <xf numFmtId="0" fontId="174" fillId="0" borderId="903" applyNumberFormat="0" applyFill="0" applyAlignment="0" applyProtection="0"/>
    <xf numFmtId="182" fontId="225" fillId="0" borderId="897" applyFill="0" applyProtection="0"/>
    <xf numFmtId="200" fontId="225" fillId="0" borderId="897" applyFill="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03" fillId="81" borderId="899" applyNumberFormat="0" applyFont="0" applyAlignment="0" applyProtection="0"/>
    <xf numFmtId="0" fontId="213" fillId="65" borderId="898" applyNumberFormat="0" applyAlignment="0" applyProtection="0"/>
    <xf numFmtId="0" fontId="203" fillId="81" borderId="899" applyNumberFormat="0" applyFont="0" applyAlignment="0" applyProtection="0"/>
    <xf numFmtId="0" fontId="216" fillId="78" borderId="900" applyNumberFormat="0" applyAlignment="0" applyProtection="0"/>
    <xf numFmtId="0" fontId="174" fillId="0" borderId="903" applyNumberFormat="0" applyFill="0" applyAlignment="0" applyProtection="0"/>
    <xf numFmtId="0" fontId="249" fillId="59" borderId="898" applyNumberFormat="0" applyAlignment="0" applyProtection="0"/>
    <xf numFmtId="0" fontId="254" fillId="80" borderId="898" applyNumberFormat="0" applyAlignment="0" applyProtection="0"/>
    <xf numFmtId="0" fontId="257" fillId="59" borderId="900" applyNumberFormat="0" applyAlignment="0" applyProtection="0"/>
    <xf numFmtId="0" fontId="244" fillId="0" borderId="897" applyNumberFormat="0" applyFont="0" applyFill="0" applyAlignment="0" applyProtection="0"/>
    <xf numFmtId="0" fontId="178" fillId="0" borderId="904" applyProtection="0"/>
    <xf numFmtId="0" fontId="176" fillId="81" borderId="899" applyNumberFormat="0" applyFont="0" applyAlignment="0" applyProtection="0"/>
    <xf numFmtId="0" fontId="8" fillId="81" borderId="899" applyNumberFormat="0" applyFont="0" applyAlignment="0" applyProtection="0"/>
    <xf numFmtId="182" fontId="225" fillId="0" borderId="897" applyFill="0" applyProtection="0"/>
    <xf numFmtId="200" fontId="225" fillId="0" borderId="897" applyFill="0" applyProtection="0"/>
    <xf numFmtId="0" fontId="213" fillId="65" borderId="898" applyNumberFormat="0" applyAlignment="0" applyProtection="0"/>
    <xf numFmtId="0" fontId="203" fillId="81" borderId="899" applyNumberFormat="0" applyFont="0" applyAlignment="0" applyProtection="0"/>
    <xf numFmtId="0" fontId="203" fillId="81" borderId="899" applyNumberFormat="0" applyFont="0" applyAlignment="0" applyProtection="0"/>
    <xf numFmtId="182" fontId="225" fillId="0" borderId="897" applyFill="0" applyProtection="0"/>
    <xf numFmtId="200" fontId="225" fillId="0" borderId="897" applyFill="0" applyProtection="0"/>
    <xf numFmtId="0" fontId="153" fillId="0" borderId="896">
      <alignment horizontal="left" vertical="center"/>
    </xf>
    <xf numFmtId="0" fontId="203" fillId="81" borderId="899" applyNumberFormat="0" applyFont="0" applyAlignment="0" applyProtection="0"/>
    <xf numFmtId="0" fontId="153" fillId="0" borderId="896">
      <alignment horizontal="left" vertical="center"/>
    </xf>
    <xf numFmtId="0" fontId="213" fillId="80" borderId="898" applyNumberFormat="0" applyAlignment="0" applyProtection="0"/>
    <xf numFmtId="0" fontId="8" fillId="81" borderId="899" applyNumberFormat="0" applyFont="0" applyAlignment="0" applyProtection="0"/>
    <xf numFmtId="182" fontId="225" fillId="0" borderId="897" applyFill="0" applyProtection="0"/>
    <xf numFmtId="200" fontId="225" fillId="0" borderId="897" applyFill="0" applyProtection="0"/>
    <xf numFmtId="182" fontId="225" fillId="0" borderId="897" applyFill="0" applyProtection="0"/>
    <xf numFmtId="200" fontId="225" fillId="0" borderId="897" applyFill="0" applyProtection="0"/>
    <xf numFmtId="0" fontId="153" fillId="0" borderId="896">
      <alignment horizontal="left" vertical="center"/>
    </xf>
    <xf numFmtId="182" fontId="225" fillId="0" borderId="897" applyFill="0" applyProtection="0"/>
    <xf numFmtId="200" fontId="225" fillId="0" borderId="897" applyFill="0" applyProtection="0"/>
    <xf numFmtId="0" fontId="176" fillId="81" borderId="899" applyNumberFormat="0" applyFont="0" applyAlignment="0" applyProtection="0"/>
    <xf numFmtId="0" fontId="203" fillId="81" borderId="899" applyNumberFormat="0" applyFont="0" applyAlignment="0" applyProtection="0"/>
    <xf numFmtId="0" fontId="213" fillId="65" borderId="898" applyNumberFormat="0" applyAlignment="0" applyProtection="0"/>
    <xf numFmtId="0" fontId="229" fillId="83" borderId="867" applyAlignment="0">
      <alignment horizontal="center"/>
    </xf>
    <xf numFmtId="0" fontId="203" fillId="81" borderId="881" applyNumberFormat="0" applyFont="0" applyAlignment="0" applyProtection="0"/>
    <xf numFmtId="0" fontId="229" fillId="83" borderId="957" applyAlignment="0">
      <alignment horizontal="center"/>
    </xf>
    <xf numFmtId="0" fontId="244" fillId="0" borderId="1005" applyNumberFormat="0" applyFont="0" applyFill="0" applyAlignment="0" applyProtection="0"/>
    <xf numFmtId="182" fontId="225" fillId="0" borderId="996" applyFill="0" applyProtection="0"/>
    <xf numFmtId="0" fontId="213" fillId="65" borderId="997" applyNumberFormat="0" applyAlignment="0" applyProtection="0"/>
    <xf numFmtId="182" fontId="225" fillId="0" borderId="996" applyFill="0" applyProtection="0"/>
    <xf numFmtId="0" fontId="213" fillId="65" borderId="1042" applyNumberFormat="0" applyAlignment="0" applyProtection="0"/>
    <xf numFmtId="0" fontId="213" fillId="65" borderId="1042" applyNumberFormat="0" applyAlignment="0" applyProtection="0"/>
    <xf numFmtId="0" fontId="203" fillId="81" borderId="944" applyNumberFormat="0" applyFont="0" applyAlignment="0" applyProtection="0"/>
    <xf numFmtId="0" fontId="213" fillId="65" borderId="952" applyNumberFormat="0" applyAlignment="0" applyProtection="0"/>
    <xf numFmtId="0" fontId="203" fillId="81" borderId="1061" applyNumberFormat="0" applyFont="0" applyAlignment="0" applyProtection="0"/>
    <xf numFmtId="0" fontId="213" fillId="65" borderId="1042" applyNumberFormat="0" applyAlignment="0" applyProtection="0"/>
    <xf numFmtId="0" fontId="203" fillId="81" borderId="1043" applyNumberFormat="0" applyFont="0" applyAlignment="0" applyProtection="0"/>
    <xf numFmtId="0" fontId="213" fillId="65" borderId="997" applyNumberFormat="0" applyAlignment="0" applyProtection="0"/>
    <xf numFmtId="0" fontId="203" fillId="81" borderId="1007" applyNumberFormat="0" applyFont="0" applyAlignment="0" applyProtection="0"/>
    <xf numFmtId="0" fontId="213" fillId="65" borderId="1060" applyNumberFormat="0" applyAlignment="0" applyProtection="0"/>
    <xf numFmtId="0" fontId="176" fillId="81" borderId="989" applyNumberFormat="0" applyFont="0" applyAlignment="0" applyProtection="0"/>
    <xf numFmtId="0" fontId="213" fillId="65" borderId="1006" applyNumberFormat="0" applyAlignment="0" applyProtection="0"/>
    <xf numFmtId="0" fontId="176" fillId="81" borderId="953" applyNumberFormat="0" applyFont="0" applyAlignment="0" applyProtection="0"/>
    <xf numFmtId="0" fontId="238" fillId="59" borderId="934" applyNumberFormat="0" applyAlignment="0" applyProtection="0"/>
    <xf numFmtId="0" fontId="229" fillId="83" borderId="929" applyAlignment="0">
      <alignment horizontal="center"/>
    </xf>
    <xf numFmtId="0" fontId="213" fillId="65" borderId="925" applyNumberFormat="0" applyAlignment="0" applyProtection="0"/>
    <xf numFmtId="0" fontId="238" fillId="59"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80" borderId="925" applyNumberFormat="0" applyAlignment="0" applyProtection="0"/>
    <xf numFmtId="0" fontId="213" fillId="65" borderId="925" applyNumberFormat="0" applyAlignment="0" applyProtection="0"/>
    <xf numFmtId="0" fontId="213" fillId="80" borderId="925" applyNumberFormat="0" applyAlignment="0" applyProtection="0"/>
    <xf numFmtId="0" fontId="203" fillId="81" borderId="953" applyNumberFormat="0" applyFont="0" applyAlignment="0" applyProtection="0"/>
    <xf numFmtId="0" fontId="213" fillId="65" borderId="1060" applyNumberFormat="0" applyAlignment="0" applyProtection="0"/>
    <xf numFmtId="182" fontId="225" fillId="0" borderId="951" applyFill="0" applyProtection="0"/>
    <xf numFmtId="182" fontId="225" fillId="0" borderId="951" applyFill="0" applyProtection="0"/>
    <xf numFmtId="0" fontId="8" fillId="81" borderId="926" applyNumberFormat="0" applyFont="0" applyAlignment="0" applyProtection="0"/>
    <xf numFmtId="0" fontId="176"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176" fillId="81" borderId="926" applyNumberFormat="0" applyFont="0" applyAlignment="0" applyProtection="0"/>
    <xf numFmtId="0" fontId="216" fillId="59" borderId="927" applyNumberFormat="0" applyAlignment="0" applyProtection="0"/>
    <xf numFmtId="0" fontId="174" fillId="0" borderId="928" applyNumberFormat="0" applyFill="0" applyAlignment="0" applyProtection="0"/>
    <xf numFmtId="0" fontId="216" fillId="78" borderId="927" applyNumberFormat="0" applyAlignment="0" applyProtection="0"/>
    <xf numFmtId="0" fontId="174" fillId="0" borderId="930" applyNumberFormat="0" applyFill="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153" fillId="0" borderId="950">
      <alignment horizontal="left" vertical="center"/>
    </xf>
    <xf numFmtId="0" fontId="203" fillId="81" borderId="926" applyNumberFormat="0" applyFont="0" applyAlignment="0" applyProtection="0"/>
    <xf numFmtId="0" fontId="206" fillId="78" borderId="925" applyNumberFormat="0" applyAlignment="0" applyProtection="0"/>
    <xf numFmtId="0" fontId="176" fillId="81" borderId="926" applyNumberFormat="0" applyFont="0" applyAlignment="0" applyProtection="0"/>
    <xf numFmtId="0" fontId="238" fillId="59" borderId="925" applyNumberFormat="0" applyAlignment="0" applyProtection="0"/>
    <xf numFmtId="0" fontId="213" fillId="80" borderId="925" applyNumberFormat="0" applyAlignment="0" applyProtection="0"/>
    <xf numFmtId="0" fontId="8" fillId="81" borderId="926" applyNumberFormat="0" applyFont="0" applyAlignment="0" applyProtection="0"/>
    <xf numFmtId="0" fontId="216" fillId="59" borderId="927" applyNumberFormat="0" applyAlignment="0" applyProtection="0"/>
    <xf numFmtId="0" fontId="213" fillId="80" borderId="925" applyNumberFormat="0" applyAlignment="0" applyProtection="0"/>
    <xf numFmtId="0" fontId="176" fillId="81" borderId="926" applyNumberFormat="0" applyFont="0" applyAlignment="0" applyProtection="0"/>
    <xf numFmtId="182" fontId="225" fillId="0" borderId="951" applyFill="0" applyProtection="0"/>
    <xf numFmtId="0" fontId="203" fillId="81" borderId="953" applyNumberFormat="0" applyFont="0" applyAlignment="0" applyProtection="0"/>
    <xf numFmtId="200" fontId="225" fillId="0" borderId="1059" applyFill="0" applyProtection="0"/>
    <xf numFmtId="200" fontId="225" fillId="0" borderId="951" applyFill="0" applyProtection="0"/>
    <xf numFmtId="182" fontId="225" fillId="0" borderId="951" applyFill="0" applyProtection="0"/>
    <xf numFmtId="0" fontId="213" fillId="65" borderId="952" applyNumberFormat="0" applyAlignment="0" applyProtection="0"/>
    <xf numFmtId="0" fontId="213" fillId="65" borderId="997" applyNumberFormat="0" applyAlignment="0" applyProtection="0"/>
    <xf numFmtId="0" fontId="249" fillId="59" borderId="101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80" borderId="934" applyNumberFormat="0" applyAlignment="0" applyProtection="0"/>
    <xf numFmtId="0" fontId="213" fillId="65" borderId="934" applyNumberFormat="0" applyAlignment="0" applyProtection="0"/>
    <xf numFmtId="0" fontId="213" fillId="80" borderId="934" applyNumberFormat="0" applyAlignment="0" applyProtection="0"/>
    <xf numFmtId="0" fontId="8" fillId="81" borderId="935" applyNumberFormat="0" applyFont="0" applyAlignment="0" applyProtection="0"/>
    <xf numFmtId="0" fontId="176"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176" fillId="81" borderId="935" applyNumberFormat="0" applyFont="0" applyAlignment="0" applyProtection="0"/>
    <xf numFmtId="0" fontId="216" fillId="59" borderId="936" applyNumberFormat="0" applyAlignment="0" applyProtection="0"/>
    <xf numFmtId="0" fontId="174" fillId="0" borderId="937" applyNumberFormat="0" applyFill="0" applyAlignment="0" applyProtection="0"/>
    <xf numFmtId="0" fontId="206" fillId="78" borderId="934" applyNumberFormat="0" applyAlignment="0" applyProtection="0"/>
    <xf numFmtId="0" fontId="206" fillId="78" borderId="934" applyNumberFormat="0" applyAlignment="0" applyProtection="0"/>
    <xf numFmtId="182" fontId="225" fillId="0" borderId="933" applyFill="0" applyProtection="0"/>
    <xf numFmtId="182" fontId="225" fillId="0" borderId="933" applyFill="0" applyProtection="0"/>
    <xf numFmtId="182" fontId="225" fillId="0" borderId="933" applyFill="0" applyProtection="0"/>
    <xf numFmtId="200" fontId="225" fillId="0" borderId="933" applyFill="0" applyProtection="0"/>
    <xf numFmtId="200" fontId="225" fillId="0" borderId="933" applyFill="0" applyProtection="0"/>
    <xf numFmtId="200" fontId="225" fillId="0" borderId="933" applyFill="0" applyProtection="0"/>
    <xf numFmtId="0" fontId="153" fillId="0" borderId="932">
      <alignment horizontal="left" vertical="center"/>
    </xf>
    <xf numFmtId="0" fontId="229" fillId="83" borderId="938" applyAlignment="0">
      <alignment horizontal="center"/>
    </xf>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29" fillId="83" borderId="938" applyAlignment="0">
      <alignment horizontal="center"/>
    </xf>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16" fillId="78" borderId="927" applyNumberFormat="0" applyAlignment="0" applyProtection="0"/>
    <xf numFmtId="0" fontId="174" fillId="0" borderId="930" applyNumberFormat="0" applyFill="0" applyAlignment="0" applyProtection="0"/>
    <xf numFmtId="0" fontId="229" fillId="83" borderId="938" applyAlignment="0">
      <alignment horizontal="center"/>
    </xf>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13" fillId="65" borderId="925" applyNumberForma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6" fillId="78" borderId="925" applyNumberFormat="0" applyAlignment="0" applyProtection="0"/>
    <xf numFmtId="0" fontId="176" fillId="81" borderId="926" applyNumberFormat="0" applyFont="0" applyAlignment="0" applyProtection="0"/>
    <xf numFmtId="0" fontId="238" fillId="59" borderId="925" applyNumberFormat="0" applyAlignment="0" applyProtection="0"/>
    <xf numFmtId="0" fontId="213" fillId="80" borderId="925" applyNumberFormat="0" applyAlignment="0" applyProtection="0"/>
    <xf numFmtId="0" fontId="8" fillId="81" borderId="926" applyNumberFormat="0" applyFont="0" applyAlignment="0" applyProtection="0"/>
    <xf numFmtId="0" fontId="216" fillId="59" borderId="927" applyNumberFormat="0" applyAlignment="0" applyProtection="0"/>
    <xf numFmtId="0" fontId="174" fillId="0" borderId="928" applyNumberFormat="0" applyFill="0" applyAlignment="0" applyProtection="0"/>
    <xf numFmtId="0" fontId="213" fillId="80" borderId="925" applyNumberFormat="0" applyAlignment="0" applyProtection="0"/>
    <xf numFmtId="0" fontId="229" fillId="83" borderId="938" applyAlignment="0">
      <alignment horizontal="center"/>
    </xf>
    <xf numFmtId="0" fontId="176" fillId="81" borderId="926" applyNumberFormat="0" applyFont="0" applyAlignment="0" applyProtection="0"/>
    <xf numFmtId="0" fontId="213" fillId="65" borderId="934" applyNumberFormat="0" applyAlignment="0" applyProtection="0"/>
    <xf numFmtId="0" fontId="216" fillId="78" borderId="936" applyNumberFormat="0" applyAlignment="0" applyProtection="0"/>
    <xf numFmtId="0" fontId="174" fillId="0" borderId="939" applyNumberFormat="0" applyFill="0" applyAlignment="0" applyProtection="0"/>
    <xf numFmtId="0" fontId="216" fillId="78" borderId="936" applyNumberFormat="0" applyAlignment="0" applyProtection="0"/>
    <xf numFmtId="0" fontId="174" fillId="0" borderId="939" applyNumberFormat="0" applyFill="0" applyAlignment="0" applyProtection="0"/>
    <xf numFmtId="182" fontId="225" fillId="0" borderId="933" applyFill="0" applyProtection="0"/>
    <xf numFmtId="200" fontId="225" fillId="0" borderId="933" applyFill="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03" fillId="81" borderId="935" applyNumberFormat="0" applyFont="0" applyAlignment="0" applyProtection="0"/>
    <xf numFmtId="0" fontId="213" fillId="65" borderId="934" applyNumberFormat="0" applyAlignment="0" applyProtection="0"/>
    <xf numFmtId="0" fontId="203" fillId="81" borderId="935" applyNumberFormat="0" applyFont="0" applyAlignment="0" applyProtection="0"/>
    <xf numFmtId="0" fontId="216" fillId="78" borderId="936" applyNumberFormat="0" applyAlignment="0" applyProtection="0"/>
    <xf numFmtId="0" fontId="174" fillId="0" borderId="939" applyNumberFormat="0" applyFill="0" applyAlignment="0" applyProtection="0"/>
    <xf numFmtId="0" fontId="249" fillId="59" borderId="934" applyNumberFormat="0" applyAlignment="0" applyProtection="0"/>
    <xf numFmtId="0" fontId="254" fillId="80" borderId="934" applyNumberFormat="0" applyAlignment="0" applyProtection="0"/>
    <xf numFmtId="0" fontId="257" fillId="59" borderId="936" applyNumberFormat="0" applyAlignment="0" applyProtection="0"/>
    <xf numFmtId="0" fontId="244" fillId="0" borderId="933" applyNumberFormat="0" applyFont="0" applyFill="0" applyAlignment="0" applyProtection="0"/>
    <xf numFmtId="0" fontId="178" fillId="0" borderId="940" applyProtection="0"/>
    <xf numFmtId="0" fontId="176" fillId="81" borderId="935" applyNumberFormat="0" applyFont="0" applyAlignment="0" applyProtection="0"/>
    <xf numFmtId="0" fontId="8" fillId="81" borderId="935" applyNumberFormat="0" applyFont="0" applyAlignment="0" applyProtection="0"/>
    <xf numFmtId="182" fontId="225" fillId="0" borderId="933" applyFill="0" applyProtection="0"/>
    <xf numFmtId="200" fontId="225" fillId="0" borderId="933" applyFill="0" applyProtection="0"/>
    <xf numFmtId="0" fontId="213" fillId="65" borderId="934" applyNumberFormat="0" applyAlignment="0" applyProtection="0"/>
    <xf numFmtId="0" fontId="203" fillId="81" borderId="935" applyNumberFormat="0" applyFont="0" applyAlignment="0" applyProtection="0"/>
    <xf numFmtId="0" fontId="203" fillId="81" borderId="935" applyNumberFormat="0" applyFont="0" applyAlignment="0" applyProtection="0"/>
    <xf numFmtId="182" fontId="225" fillId="0" borderId="933" applyFill="0" applyProtection="0"/>
    <xf numFmtId="200" fontId="225" fillId="0" borderId="933" applyFill="0" applyProtection="0"/>
    <xf numFmtId="0" fontId="153" fillId="0" borderId="932">
      <alignment horizontal="left" vertical="center"/>
    </xf>
    <xf numFmtId="0" fontId="203" fillId="81" borderId="935" applyNumberFormat="0" applyFont="0" applyAlignment="0" applyProtection="0"/>
    <xf numFmtId="0" fontId="153" fillId="0" borderId="932">
      <alignment horizontal="left" vertical="center"/>
    </xf>
    <xf numFmtId="0" fontId="213" fillId="80" borderId="934" applyNumberFormat="0" applyAlignment="0" applyProtection="0"/>
    <xf numFmtId="0" fontId="8" fillId="81" borderId="935" applyNumberFormat="0" applyFont="0" applyAlignment="0" applyProtection="0"/>
    <xf numFmtId="182" fontId="225" fillId="0" borderId="933" applyFill="0" applyProtection="0"/>
    <xf numFmtId="200" fontId="225" fillId="0" borderId="933" applyFill="0" applyProtection="0"/>
    <xf numFmtId="182" fontId="225" fillId="0" borderId="933" applyFill="0" applyProtection="0"/>
    <xf numFmtId="200" fontId="225" fillId="0" borderId="933" applyFill="0" applyProtection="0"/>
    <xf numFmtId="0" fontId="153" fillId="0" borderId="932">
      <alignment horizontal="left" vertical="center"/>
    </xf>
    <xf numFmtId="0" fontId="203" fillId="81" borderId="926" applyNumberFormat="0" applyFont="0" applyAlignment="0" applyProtection="0"/>
    <xf numFmtId="182" fontId="225" fillId="0" borderId="933" applyFill="0" applyProtection="0"/>
    <xf numFmtId="200" fontId="225" fillId="0" borderId="933" applyFill="0" applyProtection="0"/>
    <xf numFmtId="0" fontId="176" fillId="81" borderId="935" applyNumberFormat="0" applyFont="0" applyAlignment="0" applyProtection="0"/>
    <xf numFmtId="0" fontId="203" fillId="81" borderId="935"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03" fillId="81" borderId="926" applyNumberFormat="0" applyFont="0" applyAlignment="0" applyProtection="0"/>
    <xf numFmtId="0" fontId="213" fillId="65" borderId="934" applyNumberFormat="0" applyAlignment="0" applyProtection="0"/>
    <xf numFmtId="0" fontId="238" fillId="59" borderId="943" applyNumberFormat="0" applyAlignment="0" applyProtection="0"/>
    <xf numFmtId="0" fontId="213" fillId="65" borderId="934" applyNumberFormat="0" applyAlignment="0" applyProtection="0"/>
    <xf numFmtId="0" fontId="206" fillId="78" borderId="1060" applyNumberFormat="0" applyAlignment="0" applyProtection="0"/>
    <xf numFmtId="182" fontId="225" fillId="0" borderId="951" applyFill="0" applyProtection="0"/>
    <xf numFmtId="200" fontId="225" fillId="0" borderId="951" applyFill="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0" fontId="213" fillId="65" borderId="934" applyNumberFormat="0" applyAlignment="0" applyProtection="0"/>
    <xf numFmtId="200" fontId="225" fillId="0" borderId="951" applyFill="0" applyProtection="0"/>
    <xf numFmtId="0" fontId="206" fillId="78" borderId="934" applyNumberFormat="0" applyAlignment="0" applyProtection="0"/>
    <xf numFmtId="0" fontId="238" fillId="59" borderId="934" applyNumberFormat="0" applyAlignment="0" applyProtection="0"/>
    <xf numFmtId="0" fontId="213" fillId="80" borderId="934" applyNumberFormat="0" applyAlignment="0" applyProtection="0"/>
    <xf numFmtId="0" fontId="213" fillId="80" borderId="934" applyNumberFormat="0" applyAlignment="0" applyProtection="0"/>
    <xf numFmtId="0" fontId="174" fillId="0" borderId="955" applyNumberFormat="0" applyFill="0" applyAlignment="0" applyProtection="0"/>
    <xf numFmtId="0" fontId="8" fillId="81" borderId="1043" applyNumberFormat="0" applyFont="0" applyAlignment="0" applyProtection="0"/>
    <xf numFmtId="0" fontId="176" fillId="81" borderId="953" applyNumberFormat="0" applyFont="0" applyAlignment="0" applyProtection="0"/>
    <xf numFmtId="0" fontId="213" fillId="65" borderId="952" applyNumberFormat="0" applyAlignment="0" applyProtection="0"/>
    <xf numFmtId="0" fontId="213" fillId="65" borderId="943" applyNumberFormat="0" applyAlignment="0" applyProtection="0"/>
    <xf numFmtId="0" fontId="206" fillId="78" borderId="952"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80" borderId="943" applyNumberFormat="0" applyAlignment="0" applyProtection="0"/>
    <xf numFmtId="0" fontId="213" fillId="65" borderId="943" applyNumberFormat="0" applyAlignment="0" applyProtection="0"/>
    <xf numFmtId="0" fontId="213" fillId="80" borderId="943" applyNumberFormat="0" applyAlignment="0" applyProtection="0"/>
    <xf numFmtId="0" fontId="8" fillId="81" borderId="944" applyNumberFormat="0" applyFont="0" applyAlignment="0" applyProtection="0"/>
    <xf numFmtId="0" fontId="176"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176" fillId="81" borderId="944" applyNumberFormat="0" applyFont="0" applyAlignment="0" applyProtection="0"/>
    <xf numFmtId="0" fontId="216" fillId="59" borderId="945" applyNumberFormat="0" applyAlignment="0" applyProtection="0"/>
    <xf numFmtId="0" fontId="174" fillId="0" borderId="946" applyNumberFormat="0" applyFill="0" applyAlignment="0" applyProtection="0"/>
    <xf numFmtId="0" fontId="206" fillId="78" borderId="943" applyNumberFormat="0" applyAlignment="0" applyProtection="0"/>
    <xf numFmtId="0" fontId="206" fillId="78" borderId="943" applyNumberFormat="0" applyAlignment="0" applyProtection="0"/>
    <xf numFmtId="182" fontId="225" fillId="0" borderId="942" applyFill="0" applyProtection="0"/>
    <xf numFmtId="182" fontId="225" fillId="0" borderId="942" applyFill="0" applyProtection="0"/>
    <xf numFmtId="182" fontId="225" fillId="0" borderId="942" applyFill="0" applyProtection="0"/>
    <xf numFmtId="200" fontId="225" fillId="0" borderId="942" applyFill="0" applyProtection="0"/>
    <xf numFmtId="200" fontId="225" fillId="0" borderId="942" applyFill="0" applyProtection="0"/>
    <xf numFmtId="200" fontId="225" fillId="0" borderId="942" applyFill="0" applyProtection="0"/>
    <xf numFmtId="0" fontId="153" fillId="0" borderId="941">
      <alignment horizontal="left" vertical="center"/>
    </xf>
    <xf numFmtId="0" fontId="229" fillId="83" borderId="947" applyAlignment="0">
      <alignment horizontal="center"/>
    </xf>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13" fillId="65" borderId="943" applyNumberFormat="0" applyAlignment="0" applyProtection="0"/>
    <xf numFmtId="0" fontId="229" fillId="83" borderId="947" applyAlignment="0">
      <alignment horizontal="center"/>
    </xf>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29" fillId="83" borderId="947" applyAlignment="0">
      <alignment horizontal="center"/>
    </xf>
    <xf numFmtId="0" fontId="229" fillId="83" borderId="947" applyAlignment="0">
      <alignment horizontal="center"/>
    </xf>
    <xf numFmtId="0" fontId="213" fillId="65" borderId="943" applyNumberFormat="0" applyAlignment="0" applyProtection="0"/>
    <xf numFmtId="0" fontId="216" fillId="78" borderId="945" applyNumberFormat="0" applyAlignment="0" applyProtection="0"/>
    <xf numFmtId="0" fontId="174" fillId="0" borderId="948" applyNumberFormat="0" applyFill="0" applyAlignment="0" applyProtection="0"/>
    <xf numFmtId="0" fontId="216" fillId="78" borderId="945" applyNumberFormat="0" applyAlignment="0" applyProtection="0"/>
    <xf numFmtId="0" fontId="174" fillId="0" borderId="948" applyNumberFormat="0" applyFill="0" applyAlignment="0" applyProtection="0"/>
    <xf numFmtId="182" fontId="225" fillId="0" borderId="942" applyFill="0" applyProtection="0"/>
    <xf numFmtId="200" fontId="225" fillId="0" borderId="942" applyFill="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03" fillId="81" borderId="944" applyNumberFormat="0" applyFont="0" applyAlignment="0" applyProtection="0"/>
    <xf numFmtId="0" fontId="213" fillId="65" borderId="943" applyNumberFormat="0" applyAlignment="0" applyProtection="0"/>
    <xf numFmtId="0" fontId="203" fillId="81" borderId="944" applyNumberFormat="0" applyFont="0" applyAlignment="0" applyProtection="0"/>
    <xf numFmtId="0" fontId="216" fillId="78" borderId="945" applyNumberFormat="0" applyAlignment="0" applyProtection="0"/>
    <xf numFmtId="0" fontId="174" fillId="0" borderId="948" applyNumberFormat="0" applyFill="0" applyAlignment="0" applyProtection="0"/>
    <xf numFmtId="0" fontId="249" fillId="59" borderId="943" applyNumberFormat="0" applyAlignment="0" applyProtection="0"/>
    <xf numFmtId="0" fontId="254" fillId="80" borderId="943" applyNumberFormat="0" applyAlignment="0" applyProtection="0"/>
    <xf numFmtId="0" fontId="257" fillId="59" borderId="945" applyNumberFormat="0" applyAlignment="0" applyProtection="0"/>
    <xf numFmtId="0" fontId="244" fillId="0" borderId="942" applyNumberFormat="0" applyFont="0" applyFill="0" applyAlignment="0" applyProtection="0"/>
    <xf numFmtId="0" fontId="178" fillId="0" borderId="949" applyProtection="0"/>
    <xf numFmtId="0" fontId="176" fillId="81" borderId="944" applyNumberFormat="0" applyFont="0" applyAlignment="0" applyProtection="0"/>
    <xf numFmtId="0" fontId="8" fillId="81" borderId="944" applyNumberFormat="0" applyFont="0" applyAlignment="0" applyProtection="0"/>
    <xf numFmtId="182" fontId="225" fillId="0" borderId="942" applyFill="0" applyProtection="0"/>
    <xf numFmtId="200" fontId="225" fillId="0" borderId="942" applyFill="0" applyProtection="0"/>
    <xf numFmtId="0" fontId="213" fillId="65" borderId="943" applyNumberFormat="0" applyAlignment="0" applyProtection="0"/>
    <xf numFmtId="0" fontId="203" fillId="81" borderId="944" applyNumberFormat="0" applyFont="0" applyAlignment="0" applyProtection="0"/>
    <xf numFmtId="0" fontId="203" fillId="81" borderId="944" applyNumberFormat="0" applyFont="0" applyAlignment="0" applyProtection="0"/>
    <xf numFmtId="182" fontId="225" fillId="0" borderId="942" applyFill="0" applyProtection="0"/>
    <xf numFmtId="200" fontId="225" fillId="0" borderId="942" applyFill="0" applyProtection="0"/>
    <xf numFmtId="0" fontId="153" fillId="0" borderId="941">
      <alignment horizontal="left" vertical="center"/>
    </xf>
    <xf numFmtId="0" fontId="203" fillId="81" borderId="944" applyNumberFormat="0" applyFont="0" applyAlignment="0" applyProtection="0"/>
    <xf numFmtId="0" fontId="153" fillId="0" borderId="941">
      <alignment horizontal="left" vertical="center"/>
    </xf>
    <xf numFmtId="0" fontId="213" fillId="80" borderId="943" applyNumberFormat="0" applyAlignment="0" applyProtection="0"/>
    <xf numFmtId="0" fontId="8" fillId="81" borderId="944" applyNumberFormat="0" applyFont="0" applyAlignment="0" applyProtection="0"/>
    <xf numFmtId="182" fontId="225" fillId="0" borderId="942" applyFill="0" applyProtection="0"/>
    <xf numFmtId="200" fontId="225" fillId="0" borderId="942" applyFill="0" applyProtection="0"/>
    <xf numFmtId="182" fontId="225" fillId="0" borderId="942" applyFill="0" applyProtection="0"/>
    <xf numFmtId="200" fontId="225" fillId="0" borderId="942" applyFill="0" applyProtection="0"/>
    <xf numFmtId="0" fontId="153" fillId="0" borderId="941">
      <alignment horizontal="left" vertical="center"/>
    </xf>
    <xf numFmtId="182" fontId="225" fillId="0" borderId="942" applyFill="0" applyProtection="0"/>
    <xf numFmtId="200" fontId="225" fillId="0" borderId="942" applyFill="0" applyProtection="0"/>
    <xf numFmtId="0" fontId="176" fillId="81" borderId="944" applyNumberFormat="0" applyFont="0" applyAlignment="0" applyProtection="0"/>
    <xf numFmtId="0" fontId="203" fillId="81" borderId="944" applyNumberFormat="0" applyFont="0" applyAlignment="0" applyProtection="0"/>
    <xf numFmtId="0" fontId="213" fillId="65" borderId="943" applyNumberFormat="0" applyAlignment="0" applyProtection="0"/>
    <xf numFmtId="0" fontId="229" fillId="83" borderId="912" applyAlignment="0">
      <alignment horizontal="center"/>
    </xf>
    <xf numFmtId="0" fontId="203" fillId="81" borderId="926" applyNumberFormat="0" applyFont="0" applyAlignment="0" applyProtection="0"/>
    <xf numFmtId="0" fontId="229" fillId="83" borderId="1002" applyAlignment="0">
      <alignment horizontal="center"/>
    </xf>
    <xf numFmtId="0" fontId="244" fillId="0" borderId="1050" applyNumberFormat="0" applyFont="0" applyFill="0" applyAlignment="0" applyProtection="0"/>
    <xf numFmtId="182" fontId="225" fillId="0" borderId="1041" applyFill="0" applyProtection="0"/>
    <xf numFmtId="0" fontId="213" fillId="65" borderId="1042" applyNumberFormat="0" applyAlignment="0" applyProtection="0"/>
    <xf numFmtId="182" fontId="225" fillId="0" borderId="1041" applyFill="0" applyProtection="0"/>
    <xf numFmtId="0" fontId="203" fillId="81" borderId="989" applyNumberFormat="0" applyFont="0" applyAlignment="0" applyProtection="0"/>
    <xf numFmtId="0" fontId="213" fillId="65" borderId="997" applyNumberFormat="0" applyAlignment="0" applyProtection="0"/>
    <xf numFmtId="0" fontId="213" fillId="65" borderId="1042" applyNumberFormat="0" applyAlignment="0" applyProtection="0"/>
    <xf numFmtId="0" fontId="203" fillId="81" borderId="1052" applyNumberFormat="0" applyFont="0" applyAlignment="0" applyProtection="0"/>
    <xf numFmtId="0" fontId="176" fillId="81" borderId="1034" applyNumberFormat="0" applyFont="0" applyAlignment="0" applyProtection="0"/>
    <xf numFmtId="0" fontId="213" fillId="65" borderId="1051" applyNumberFormat="0" applyAlignment="0" applyProtection="0"/>
    <xf numFmtId="0" fontId="176" fillId="81" borderId="998" applyNumberFormat="0" applyFont="0" applyAlignment="0" applyProtection="0"/>
    <xf numFmtId="0" fontId="238" fillId="59" borderId="979" applyNumberFormat="0" applyAlignment="0" applyProtection="0"/>
    <xf numFmtId="0" fontId="229" fillId="83" borderId="974" applyAlignment="0">
      <alignment horizontal="center"/>
    </xf>
    <xf numFmtId="0" fontId="213" fillId="65" borderId="970" applyNumberFormat="0" applyAlignment="0" applyProtection="0"/>
    <xf numFmtId="0" fontId="238" fillId="59"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80" borderId="970" applyNumberFormat="0" applyAlignment="0" applyProtection="0"/>
    <xf numFmtId="0" fontId="213" fillId="65" borderId="970" applyNumberFormat="0" applyAlignment="0" applyProtection="0"/>
    <xf numFmtId="0" fontId="213" fillId="80" borderId="970" applyNumberFormat="0" applyAlignment="0" applyProtection="0"/>
    <xf numFmtId="0" fontId="203" fillId="81" borderId="998" applyNumberFormat="0" applyFont="0" applyAlignment="0" applyProtection="0"/>
    <xf numFmtId="182" fontId="225" fillId="0" borderId="996" applyFill="0" applyProtection="0"/>
    <xf numFmtId="182" fontId="225" fillId="0" borderId="996" applyFill="0" applyProtection="0"/>
    <xf numFmtId="0" fontId="8" fillId="81" borderId="971" applyNumberFormat="0" applyFont="0" applyAlignment="0" applyProtection="0"/>
    <xf numFmtId="0" fontId="176"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176" fillId="81" borderId="971" applyNumberFormat="0" applyFont="0" applyAlignment="0" applyProtection="0"/>
    <xf numFmtId="0" fontId="216" fillId="59" borderId="972" applyNumberFormat="0" applyAlignment="0" applyProtection="0"/>
    <xf numFmtId="0" fontId="174" fillId="0" borderId="973" applyNumberFormat="0" applyFill="0" applyAlignment="0" applyProtection="0"/>
    <xf numFmtId="0" fontId="216" fillId="78" borderId="972" applyNumberFormat="0" applyAlignment="0" applyProtection="0"/>
    <xf numFmtId="0" fontId="174" fillId="0" borderId="975" applyNumberFormat="0" applyFill="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153" fillId="0" borderId="995">
      <alignment horizontal="left" vertical="center"/>
    </xf>
    <xf numFmtId="0" fontId="203" fillId="81" borderId="971" applyNumberFormat="0" applyFont="0" applyAlignment="0" applyProtection="0"/>
    <xf numFmtId="0" fontId="206" fillId="78" borderId="970" applyNumberFormat="0" applyAlignment="0" applyProtection="0"/>
    <xf numFmtId="0" fontId="176" fillId="81" borderId="971" applyNumberFormat="0" applyFont="0" applyAlignment="0" applyProtection="0"/>
    <xf numFmtId="0" fontId="238" fillId="59" borderId="970" applyNumberFormat="0" applyAlignment="0" applyProtection="0"/>
    <xf numFmtId="0" fontId="213" fillId="80" borderId="970" applyNumberFormat="0" applyAlignment="0" applyProtection="0"/>
    <xf numFmtId="0" fontId="8" fillId="81" borderId="971" applyNumberFormat="0" applyFont="0" applyAlignment="0" applyProtection="0"/>
    <xf numFmtId="0" fontId="216" fillId="59" borderId="972" applyNumberFormat="0" applyAlignment="0" applyProtection="0"/>
    <xf numFmtId="0" fontId="213" fillId="80" borderId="970" applyNumberFormat="0" applyAlignment="0" applyProtection="0"/>
    <xf numFmtId="0" fontId="176" fillId="81" borderId="971" applyNumberFormat="0" applyFont="0" applyAlignment="0" applyProtection="0"/>
    <xf numFmtId="182" fontId="225" fillId="0" borderId="996" applyFill="0" applyProtection="0"/>
    <xf numFmtId="0" fontId="203" fillId="81" borderId="998" applyNumberFormat="0" applyFont="0" applyAlignment="0" applyProtection="0"/>
    <xf numFmtId="200" fontId="225" fillId="0" borderId="996" applyFill="0" applyProtection="0"/>
    <xf numFmtId="182" fontId="225" fillId="0" borderId="996" applyFill="0" applyProtection="0"/>
    <xf numFmtId="0" fontId="213" fillId="65" borderId="997" applyNumberFormat="0" applyAlignment="0" applyProtection="0"/>
    <xf numFmtId="0" fontId="213" fillId="65" borderId="1042" applyNumberFormat="0" applyAlignment="0" applyProtection="0"/>
    <xf numFmtId="0" fontId="249" fillId="59" borderId="106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80" borderId="979" applyNumberFormat="0" applyAlignment="0" applyProtection="0"/>
    <xf numFmtId="0" fontId="213" fillId="65" borderId="979" applyNumberFormat="0" applyAlignment="0" applyProtection="0"/>
    <xf numFmtId="0" fontId="213" fillId="80" borderId="979" applyNumberFormat="0" applyAlignment="0" applyProtection="0"/>
    <xf numFmtId="0" fontId="8" fillId="81" borderId="980" applyNumberFormat="0" applyFont="0" applyAlignment="0" applyProtection="0"/>
    <xf numFmtId="0" fontId="176"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176" fillId="81" borderId="980" applyNumberFormat="0" applyFont="0" applyAlignment="0" applyProtection="0"/>
    <xf numFmtId="0" fontId="216" fillId="59" borderId="981" applyNumberFormat="0" applyAlignment="0" applyProtection="0"/>
    <xf numFmtId="0" fontId="174" fillId="0" borderId="982" applyNumberFormat="0" applyFill="0" applyAlignment="0" applyProtection="0"/>
    <xf numFmtId="0" fontId="206" fillId="78" borderId="979" applyNumberFormat="0" applyAlignment="0" applyProtection="0"/>
    <xf numFmtId="0" fontId="206" fillId="78" borderId="979" applyNumberFormat="0" applyAlignment="0" applyProtection="0"/>
    <xf numFmtId="182" fontId="225" fillId="0" borderId="978" applyFill="0" applyProtection="0"/>
    <xf numFmtId="182" fontId="225" fillId="0" borderId="978" applyFill="0" applyProtection="0"/>
    <xf numFmtId="182" fontId="225" fillId="0" borderId="978" applyFill="0" applyProtection="0"/>
    <xf numFmtId="200" fontId="225" fillId="0" borderId="978" applyFill="0" applyProtection="0"/>
    <xf numFmtId="200" fontId="225" fillId="0" borderId="978" applyFill="0" applyProtection="0"/>
    <xf numFmtId="200" fontId="225" fillId="0" borderId="978" applyFill="0" applyProtection="0"/>
    <xf numFmtId="0" fontId="153" fillId="0" borderId="977">
      <alignment horizontal="left" vertical="center"/>
    </xf>
    <xf numFmtId="0" fontId="229" fillId="83" borderId="983" applyAlignment="0">
      <alignment horizontal="center"/>
    </xf>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29" fillId="83" borderId="983" applyAlignment="0">
      <alignment horizontal="center"/>
    </xf>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16" fillId="78" borderId="972" applyNumberFormat="0" applyAlignment="0" applyProtection="0"/>
    <xf numFmtId="0" fontId="174" fillId="0" borderId="975" applyNumberFormat="0" applyFill="0" applyAlignment="0" applyProtection="0"/>
    <xf numFmtId="0" fontId="229" fillId="83" borderId="983" applyAlignment="0">
      <alignment horizontal="center"/>
    </xf>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13" fillId="65" borderId="970" applyNumberForma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6" fillId="78" borderId="970" applyNumberFormat="0" applyAlignment="0" applyProtection="0"/>
    <xf numFmtId="0" fontId="176" fillId="81" borderId="971" applyNumberFormat="0" applyFont="0" applyAlignment="0" applyProtection="0"/>
    <xf numFmtId="0" fontId="238" fillId="59" borderId="970" applyNumberFormat="0" applyAlignment="0" applyProtection="0"/>
    <xf numFmtId="0" fontId="213" fillId="80" borderId="970" applyNumberFormat="0" applyAlignment="0" applyProtection="0"/>
    <xf numFmtId="0" fontId="8" fillId="81" borderId="971" applyNumberFormat="0" applyFont="0" applyAlignment="0" applyProtection="0"/>
    <xf numFmtId="0" fontId="216" fillId="59" borderId="972" applyNumberFormat="0" applyAlignment="0" applyProtection="0"/>
    <xf numFmtId="0" fontId="174" fillId="0" borderId="973" applyNumberFormat="0" applyFill="0" applyAlignment="0" applyProtection="0"/>
    <xf numFmtId="0" fontId="213" fillId="80" borderId="970" applyNumberFormat="0" applyAlignment="0" applyProtection="0"/>
    <xf numFmtId="0" fontId="229" fillId="83" borderId="983" applyAlignment="0">
      <alignment horizontal="center"/>
    </xf>
    <xf numFmtId="0" fontId="176" fillId="81" borderId="971" applyNumberFormat="0" applyFont="0" applyAlignment="0" applyProtection="0"/>
    <xf numFmtId="0" fontId="213" fillId="65" borderId="979" applyNumberFormat="0" applyAlignment="0" applyProtection="0"/>
    <xf numFmtId="0" fontId="216" fillId="78" borderId="981" applyNumberFormat="0" applyAlignment="0" applyProtection="0"/>
    <xf numFmtId="0" fontId="174" fillId="0" borderId="984" applyNumberFormat="0" applyFill="0" applyAlignment="0" applyProtection="0"/>
    <xf numFmtId="0" fontId="216" fillId="78" borderId="981" applyNumberFormat="0" applyAlignment="0" applyProtection="0"/>
    <xf numFmtId="0" fontId="174" fillId="0" borderId="984" applyNumberFormat="0" applyFill="0" applyAlignment="0" applyProtection="0"/>
    <xf numFmtId="182" fontId="225" fillId="0" borderId="978" applyFill="0" applyProtection="0"/>
    <xf numFmtId="200" fontId="225" fillId="0" borderId="978" applyFill="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03" fillId="81" borderId="980" applyNumberFormat="0" applyFont="0" applyAlignment="0" applyProtection="0"/>
    <xf numFmtId="0" fontId="213" fillId="65" borderId="979" applyNumberFormat="0" applyAlignment="0" applyProtection="0"/>
    <xf numFmtId="0" fontId="203" fillId="81" borderId="980" applyNumberFormat="0" applyFont="0" applyAlignment="0" applyProtection="0"/>
    <xf numFmtId="0" fontId="216" fillId="78" borderId="981" applyNumberFormat="0" applyAlignment="0" applyProtection="0"/>
    <xf numFmtId="0" fontId="174" fillId="0" borderId="984" applyNumberFormat="0" applyFill="0" applyAlignment="0" applyProtection="0"/>
    <xf numFmtId="0" fontId="249" fillId="59" borderId="979" applyNumberFormat="0" applyAlignment="0" applyProtection="0"/>
    <xf numFmtId="0" fontId="254" fillId="80" borderId="979" applyNumberFormat="0" applyAlignment="0" applyProtection="0"/>
    <xf numFmtId="0" fontId="257" fillId="59" borderId="981" applyNumberFormat="0" applyAlignment="0" applyProtection="0"/>
    <xf numFmtId="0" fontId="244" fillId="0" borderId="978" applyNumberFormat="0" applyFont="0" applyFill="0" applyAlignment="0" applyProtection="0"/>
    <xf numFmtId="0" fontId="178" fillId="0" borderId="985" applyProtection="0"/>
    <xf numFmtId="0" fontId="176" fillId="81" borderId="980" applyNumberFormat="0" applyFont="0" applyAlignment="0" applyProtection="0"/>
    <xf numFmtId="0" fontId="8" fillId="81" borderId="980" applyNumberFormat="0" applyFont="0" applyAlignment="0" applyProtection="0"/>
    <xf numFmtId="182" fontId="225" fillId="0" borderId="978" applyFill="0" applyProtection="0"/>
    <xf numFmtId="200" fontId="225" fillId="0" borderId="978" applyFill="0" applyProtection="0"/>
    <xf numFmtId="0" fontId="213" fillId="65" borderId="979" applyNumberFormat="0" applyAlignment="0" applyProtection="0"/>
    <xf numFmtId="0" fontId="203" fillId="81" borderId="980" applyNumberFormat="0" applyFont="0" applyAlignment="0" applyProtection="0"/>
    <xf numFmtId="0" fontId="203" fillId="81" borderId="980" applyNumberFormat="0" applyFont="0" applyAlignment="0" applyProtection="0"/>
    <xf numFmtId="182" fontId="225" fillId="0" borderId="978" applyFill="0" applyProtection="0"/>
    <xf numFmtId="200" fontId="225" fillId="0" borderId="978" applyFill="0" applyProtection="0"/>
    <xf numFmtId="0" fontId="153" fillId="0" borderId="977">
      <alignment horizontal="left" vertical="center"/>
    </xf>
    <xf numFmtId="0" fontId="203" fillId="81" borderId="980" applyNumberFormat="0" applyFont="0" applyAlignment="0" applyProtection="0"/>
    <xf numFmtId="0" fontId="153" fillId="0" borderId="977">
      <alignment horizontal="left" vertical="center"/>
    </xf>
    <xf numFmtId="0" fontId="213" fillId="80" borderId="979" applyNumberFormat="0" applyAlignment="0" applyProtection="0"/>
    <xf numFmtId="0" fontId="8" fillId="81" borderId="980" applyNumberFormat="0" applyFont="0" applyAlignment="0" applyProtection="0"/>
    <xf numFmtId="182" fontId="225" fillId="0" borderId="978" applyFill="0" applyProtection="0"/>
    <xf numFmtId="200" fontId="225" fillId="0" borderId="978" applyFill="0" applyProtection="0"/>
    <xf numFmtId="182" fontId="225" fillId="0" borderId="978" applyFill="0" applyProtection="0"/>
    <xf numFmtId="200" fontId="225" fillId="0" borderId="978" applyFill="0" applyProtection="0"/>
    <xf numFmtId="0" fontId="153" fillId="0" borderId="977">
      <alignment horizontal="left" vertical="center"/>
    </xf>
    <xf numFmtId="0" fontId="203" fillId="81" borderId="971" applyNumberFormat="0" applyFont="0" applyAlignment="0" applyProtection="0"/>
    <xf numFmtId="182" fontId="225" fillId="0" borderId="978" applyFill="0" applyProtection="0"/>
    <xf numFmtId="200" fontId="225" fillId="0" borderId="978" applyFill="0" applyProtection="0"/>
    <xf numFmtId="0" fontId="176" fillId="81" borderId="980" applyNumberFormat="0" applyFont="0" applyAlignment="0" applyProtection="0"/>
    <xf numFmtId="0" fontId="203" fillId="81" borderId="980"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03" fillId="81" borderId="971" applyNumberFormat="0" applyFont="0" applyAlignment="0" applyProtection="0"/>
    <xf numFmtId="0" fontId="213" fillId="65" borderId="979" applyNumberFormat="0" applyAlignment="0" applyProtection="0"/>
    <xf numFmtId="0" fontId="238" fillId="59" borderId="988" applyNumberFormat="0" applyAlignment="0" applyProtection="0"/>
    <xf numFmtId="0" fontId="213" fillId="65" borderId="979" applyNumberFormat="0" applyAlignment="0" applyProtection="0"/>
    <xf numFmtId="182" fontId="225" fillId="0" borderId="996" applyFill="0" applyProtection="0"/>
    <xf numFmtId="200" fontId="225" fillId="0" borderId="996" applyFill="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0" fontId="213" fillId="65" borderId="979" applyNumberFormat="0" applyAlignment="0" applyProtection="0"/>
    <xf numFmtId="200" fontId="225" fillId="0" borderId="996" applyFill="0" applyProtection="0"/>
    <xf numFmtId="0" fontId="206" fillId="78" borderId="979" applyNumberFormat="0" applyAlignment="0" applyProtection="0"/>
    <xf numFmtId="0" fontId="238" fillId="59" borderId="979" applyNumberFormat="0" applyAlignment="0" applyProtection="0"/>
    <xf numFmtId="0" fontId="213" fillId="80" borderId="979" applyNumberFormat="0" applyAlignment="0" applyProtection="0"/>
    <xf numFmtId="0" fontId="213" fillId="80" borderId="979" applyNumberFormat="0" applyAlignment="0" applyProtection="0"/>
    <xf numFmtId="0" fontId="174" fillId="0" borderId="1000" applyNumberFormat="0" applyFill="0" applyAlignment="0" applyProtection="0"/>
    <xf numFmtId="0" fontId="176" fillId="81" borderId="998" applyNumberFormat="0" applyFont="0" applyAlignment="0" applyProtection="0"/>
    <xf numFmtId="0" fontId="213" fillId="65" borderId="997" applyNumberFormat="0" applyAlignment="0" applyProtection="0"/>
    <xf numFmtId="0" fontId="213" fillId="65" borderId="988" applyNumberFormat="0" applyAlignment="0" applyProtection="0"/>
    <xf numFmtId="0" fontId="206" fillId="78" borderId="997"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80" borderId="988" applyNumberFormat="0" applyAlignment="0" applyProtection="0"/>
    <xf numFmtId="0" fontId="213" fillId="65" borderId="988" applyNumberFormat="0" applyAlignment="0" applyProtection="0"/>
    <xf numFmtId="0" fontId="213" fillId="80" borderId="988" applyNumberFormat="0" applyAlignment="0" applyProtection="0"/>
    <xf numFmtId="0" fontId="8" fillId="81" borderId="989" applyNumberFormat="0" applyFont="0" applyAlignment="0" applyProtection="0"/>
    <xf numFmtId="0" fontId="176"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176" fillId="81" borderId="989" applyNumberFormat="0" applyFont="0" applyAlignment="0" applyProtection="0"/>
    <xf numFmtId="0" fontId="216" fillId="59" borderId="990" applyNumberFormat="0" applyAlignment="0" applyProtection="0"/>
    <xf numFmtId="0" fontId="174" fillId="0" borderId="991" applyNumberFormat="0" applyFill="0" applyAlignment="0" applyProtection="0"/>
    <xf numFmtId="0" fontId="206" fillId="78" borderId="988" applyNumberFormat="0" applyAlignment="0" applyProtection="0"/>
    <xf numFmtId="0" fontId="206" fillId="78" borderId="988" applyNumberFormat="0" applyAlignment="0" applyProtection="0"/>
    <xf numFmtId="182" fontId="225" fillId="0" borderId="987" applyFill="0" applyProtection="0"/>
    <xf numFmtId="182" fontId="225" fillId="0" borderId="987" applyFill="0" applyProtection="0"/>
    <xf numFmtId="182" fontId="225" fillId="0" borderId="987" applyFill="0" applyProtection="0"/>
    <xf numFmtId="200" fontId="225" fillId="0" borderId="987" applyFill="0" applyProtection="0"/>
    <xf numFmtId="200" fontId="225" fillId="0" borderId="987" applyFill="0" applyProtection="0"/>
    <xf numFmtId="200" fontId="225" fillId="0" borderId="987" applyFill="0" applyProtection="0"/>
    <xf numFmtId="0" fontId="153" fillId="0" borderId="986">
      <alignment horizontal="left" vertical="center"/>
    </xf>
    <xf numFmtId="0" fontId="229" fillId="83" borderId="992" applyAlignment="0">
      <alignment horizontal="center"/>
    </xf>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13" fillId="65" borderId="988" applyNumberFormat="0" applyAlignment="0" applyProtection="0"/>
    <xf numFmtId="0" fontId="229" fillId="83" borderId="992" applyAlignment="0">
      <alignment horizontal="center"/>
    </xf>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29" fillId="83" borderId="992" applyAlignment="0">
      <alignment horizontal="center"/>
    </xf>
    <xf numFmtId="0" fontId="229" fillId="83" borderId="992" applyAlignment="0">
      <alignment horizontal="center"/>
    </xf>
    <xf numFmtId="0" fontId="213" fillId="65" borderId="988" applyNumberFormat="0" applyAlignment="0" applyProtection="0"/>
    <xf numFmtId="0" fontId="216" fillId="78" borderId="990" applyNumberFormat="0" applyAlignment="0" applyProtection="0"/>
    <xf numFmtId="0" fontId="174" fillId="0" borderId="993" applyNumberFormat="0" applyFill="0" applyAlignment="0" applyProtection="0"/>
    <xf numFmtId="0" fontId="216" fillId="78" borderId="990" applyNumberFormat="0" applyAlignment="0" applyProtection="0"/>
    <xf numFmtId="0" fontId="174" fillId="0" borderId="993" applyNumberFormat="0" applyFill="0" applyAlignment="0" applyProtection="0"/>
    <xf numFmtId="182" fontId="225" fillId="0" borderId="987" applyFill="0" applyProtection="0"/>
    <xf numFmtId="200" fontId="225" fillId="0" borderId="987" applyFill="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03" fillId="81" borderId="989" applyNumberFormat="0" applyFont="0" applyAlignment="0" applyProtection="0"/>
    <xf numFmtId="0" fontId="213" fillId="65" borderId="988" applyNumberFormat="0" applyAlignment="0" applyProtection="0"/>
    <xf numFmtId="0" fontId="203" fillId="81" borderId="989" applyNumberFormat="0" applyFont="0" applyAlignment="0" applyProtection="0"/>
    <xf numFmtId="0" fontId="216" fillId="78" borderId="990" applyNumberFormat="0" applyAlignment="0" applyProtection="0"/>
    <xf numFmtId="0" fontId="174" fillId="0" borderId="993" applyNumberFormat="0" applyFill="0" applyAlignment="0" applyProtection="0"/>
    <xf numFmtId="0" fontId="249" fillId="59" borderId="988" applyNumberFormat="0" applyAlignment="0" applyProtection="0"/>
    <xf numFmtId="0" fontId="254" fillId="80" borderId="988" applyNumberFormat="0" applyAlignment="0" applyProtection="0"/>
    <xf numFmtId="0" fontId="257" fillId="59" borderId="990" applyNumberFormat="0" applyAlignment="0" applyProtection="0"/>
    <xf numFmtId="0" fontId="244" fillId="0" borderId="987" applyNumberFormat="0" applyFont="0" applyFill="0" applyAlignment="0" applyProtection="0"/>
    <xf numFmtId="0" fontId="178" fillId="0" borderId="994" applyProtection="0"/>
    <xf numFmtId="0" fontId="176" fillId="81" borderId="989" applyNumberFormat="0" applyFont="0" applyAlignment="0" applyProtection="0"/>
    <xf numFmtId="0" fontId="8" fillId="81" borderId="989" applyNumberFormat="0" applyFont="0" applyAlignment="0" applyProtection="0"/>
    <xf numFmtId="182" fontId="225" fillId="0" borderId="987" applyFill="0" applyProtection="0"/>
    <xf numFmtId="200" fontId="225" fillId="0" borderId="987" applyFill="0" applyProtection="0"/>
    <xf numFmtId="0" fontId="213" fillId="65" borderId="988" applyNumberFormat="0" applyAlignment="0" applyProtection="0"/>
    <xf numFmtId="0" fontId="203" fillId="81" borderId="989" applyNumberFormat="0" applyFont="0" applyAlignment="0" applyProtection="0"/>
    <xf numFmtId="0" fontId="203" fillId="81" borderId="989" applyNumberFormat="0" applyFont="0" applyAlignment="0" applyProtection="0"/>
    <xf numFmtId="182" fontId="225" fillId="0" borderId="987" applyFill="0" applyProtection="0"/>
    <xf numFmtId="200" fontId="225" fillId="0" borderId="987" applyFill="0" applyProtection="0"/>
    <xf numFmtId="0" fontId="153" fillId="0" borderId="986">
      <alignment horizontal="left" vertical="center"/>
    </xf>
    <xf numFmtId="0" fontId="203" fillId="81" borderId="989" applyNumberFormat="0" applyFont="0" applyAlignment="0" applyProtection="0"/>
    <xf numFmtId="0" fontId="153" fillId="0" borderId="986">
      <alignment horizontal="left" vertical="center"/>
    </xf>
    <xf numFmtId="0" fontId="213" fillId="80" borderId="988" applyNumberFormat="0" applyAlignment="0" applyProtection="0"/>
    <xf numFmtId="0" fontId="8" fillId="81" borderId="989" applyNumberFormat="0" applyFont="0" applyAlignment="0" applyProtection="0"/>
    <xf numFmtId="182" fontId="225" fillId="0" borderId="987" applyFill="0" applyProtection="0"/>
    <xf numFmtId="200" fontId="225" fillId="0" borderId="987" applyFill="0" applyProtection="0"/>
    <xf numFmtId="182" fontId="225" fillId="0" borderId="987" applyFill="0" applyProtection="0"/>
    <xf numFmtId="200" fontId="225" fillId="0" borderId="987" applyFill="0" applyProtection="0"/>
    <xf numFmtId="0" fontId="153" fillId="0" borderId="986">
      <alignment horizontal="left" vertical="center"/>
    </xf>
    <xf numFmtId="182" fontId="225" fillId="0" borderId="987" applyFill="0" applyProtection="0"/>
    <xf numFmtId="200" fontId="225" fillId="0" borderId="987" applyFill="0" applyProtection="0"/>
    <xf numFmtId="0" fontId="176" fillId="81" borderId="989" applyNumberFormat="0" applyFont="0" applyAlignment="0" applyProtection="0"/>
    <xf numFmtId="0" fontId="203" fillId="81" borderId="989" applyNumberFormat="0" applyFont="0" applyAlignment="0" applyProtection="0"/>
    <xf numFmtId="0" fontId="213" fillId="65" borderId="988" applyNumberFormat="0" applyAlignment="0" applyProtection="0"/>
    <xf numFmtId="0" fontId="229" fillId="83" borderId="957" applyAlignment="0">
      <alignment horizontal="center"/>
    </xf>
    <xf numFmtId="0" fontId="203" fillId="81" borderId="971" applyNumberFormat="0" applyFont="0" applyAlignment="0" applyProtection="0"/>
    <xf numFmtId="0" fontId="229" fillId="83" borderId="1047" applyAlignment="0">
      <alignment horizontal="center"/>
    </xf>
    <xf numFmtId="0" fontId="203" fillId="81" borderId="1034" applyNumberFormat="0" applyFont="0" applyAlignment="0" applyProtection="0"/>
    <xf numFmtId="0" fontId="213" fillId="65" borderId="1042" applyNumberFormat="0" applyAlignment="0" applyProtection="0"/>
    <xf numFmtId="0" fontId="176" fillId="81" borderId="1043" applyNumberFormat="0" applyFont="0" applyAlignment="0" applyProtection="0"/>
    <xf numFmtId="0" fontId="238" fillId="59" borderId="1024" applyNumberFormat="0" applyAlignment="0" applyProtection="0"/>
    <xf numFmtId="0" fontId="229" fillId="83" borderId="1019" applyAlignment="0">
      <alignment horizontal="center"/>
    </xf>
    <xf numFmtId="0" fontId="213" fillId="65" borderId="1015" applyNumberFormat="0" applyAlignment="0" applyProtection="0"/>
    <xf numFmtId="0" fontId="238" fillId="59"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80" borderId="1015" applyNumberFormat="0" applyAlignment="0" applyProtection="0"/>
    <xf numFmtId="0" fontId="213" fillId="65" borderId="1015" applyNumberFormat="0" applyAlignment="0" applyProtection="0"/>
    <xf numFmtId="0" fontId="213" fillId="80" borderId="1015" applyNumberFormat="0" applyAlignment="0" applyProtection="0"/>
    <xf numFmtId="0" fontId="203" fillId="81" borderId="1043" applyNumberFormat="0" applyFont="0" applyAlignment="0" applyProtection="0"/>
    <xf numFmtId="182" fontId="225" fillId="0" borderId="1041" applyFill="0" applyProtection="0"/>
    <xf numFmtId="182" fontId="225" fillId="0" borderId="1041" applyFill="0" applyProtection="0"/>
    <xf numFmtId="0" fontId="8" fillId="81" borderId="1016" applyNumberFormat="0" applyFont="0" applyAlignment="0" applyProtection="0"/>
    <xf numFmtId="0" fontId="176"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176" fillId="81" borderId="1016" applyNumberFormat="0" applyFont="0" applyAlignment="0" applyProtection="0"/>
    <xf numFmtId="0" fontId="216" fillId="59" borderId="1017" applyNumberFormat="0" applyAlignment="0" applyProtection="0"/>
    <xf numFmtId="0" fontId="174" fillId="0" borderId="1018" applyNumberFormat="0" applyFill="0" applyAlignment="0" applyProtection="0"/>
    <xf numFmtId="0" fontId="216" fillId="78" borderId="1017" applyNumberFormat="0" applyAlignment="0" applyProtection="0"/>
    <xf numFmtId="0" fontId="174" fillId="0" borderId="1020" applyNumberFormat="0" applyFill="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153" fillId="0" borderId="1040">
      <alignment horizontal="left" vertical="center"/>
    </xf>
    <xf numFmtId="0" fontId="203" fillId="81" borderId="1016" applyNumberFormat="0" applyFont="0" applyAlignment="0" applyProtection="0"/>
    <xf numFmtId="0" fontId="206" fillId="78" borderId="1015" applyNumberFormat="0" applyAlignment="0" applyProtection="0"/>
    <xf numFmtId="0" fontId="176" fillId="81" borderId="1016" applyNumberFormat="0" applyFont="0" applyAlignment="0" applyProtection="0"/>
    <xf numFmtId="0" fontId="238" fillId="59" borderId="1015" applyNumberFormat="0" applyAlignment="0" applyProtection="0"/>
    <xf numFmtId="0" fontId="213" fillId="80" borderId="1015" applyNumberFormat="0" applyAlignment="0" applyProtection="0"/>
    <xf numFmtId="0" fontId="8" fillId="81" borderId="1016" applyNumberFormat="0" applyFont="0" applyAlignment="0" applyProtection="0"/>
    <xf numFmtId="0" fontId="216" fillId="59" borderId="1017" applyNumberFormat="0" applyAlignment="0" applyProtection="0"/>
    <xf numFmtId="0" fontId="213" fillId="80" borderId="1015" applyNumberFormat="0" applyAlignment="0" applyProtection="0"/>
    <xf numFmtId="0" fontId="176" fillId="81" borderId="1016" applyNumberFormat="0" applyFont="0" applyAlignment="0" applyProtection="0"/>
    <xf numFmtId="182" fontId="225" fillId="0" borderId="1041" applyFill="0" applyProtection="0"/>
    <xf numFmtId="0" fontId="203" fillId="81" borderId="1043" applyNumberFormat="0" applyFont="0" applyAlignment="0" applyProtection="0"/>
    <xf numFmtId="200" fontId="225" fillId="0" borderId="1041" applyFill="0" applyProtection="0"/>
    <xf numFmtId="182" fontId="225" fillId="0" borderId="1041" applyFill="0" applyProtection="0"/>
    <xf numFmtId="0" fontId="213" fillId="65" borderId="1042"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80" borderId="1024" applyNumberFormat="0" applyAlignment="0" applyProtection="0"/>
    <xf numFmtId="0" fontId="213" fillId="65" borderId="1024" applyNumberFormat="0" applyAlignment="0" applyProtection="0"/>
    <xf numFmtId="0" fontId="213" fillId="80" borderId="1024" applyNumberFormat="0" applyAlignment="0" applyProtection="0"/>
    <xf numFmtId="0" fontId="8" fillId="81" borderId="1025" applyNumberFormat="0" applyFont="0" applyAlignment="0" applyProtection="0"/>
    <xf numFmtId="0" fontId="176"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176" fillId="81" borderId="1025" applyNumberFormat="0" applyFont="0" applyAlignment="0" applyProtection="0"/>
    <xf numFmtId="0" fontId="216" fillId="59" borderId="1026" applyNumberFormat="0" applyAlignment="0" applyProtection="0"/>
    <xf numFmtId="0" fontId="174" fillId="0" borderId="1027" applyNumberFormat="0" applyFill="0" applyAlignment="0" applyProtection="0"/>
    <xf numFmtId="0" fontId="206" fillId="78" borderId="1024" applyNumberFormat="0" applyAlignment="0" applyProtection="0"/>
    <xf numFmtId="0" fontId="206" fillId="78" borderId="1024" applyNumberFormat="0" applyAlignment="0" applyProtection="0"/>
    <xf numFmtId="182" fontId="225" fillId="0" borderId="1023" applyFill="0" applyProtection="0"/>
    <xf numFmtId="182" fontId="225" fillId="0" borderId="1023" applyFill="0" applyProtection="0"/>
    <xf numFmtId="182" fontId="225" fillId="0" borderId="1023" applyFill="0" applyProtection="0"/>
    <xf numFmtId="200" fontId="225" fillId="0" borderId="1023" applyFill="0" applyProtection="0"/>
    <xf numFmtId="200" fontId="225" fillId="0" borderId="1023" applyFill="0" applyProtection="0"/>
    <xf numFmtId="200" fontId="225" fillId="0" borderId="1023" applyFill="0" applyProtection="0"/>
    <xf numFmtId="0" fontId="153" fillId="0" borderId="1022">
      <alignment horizontal="left" vertical="center"/>
    </xf>
    <xf numFmtId="0" fontId="229" fillId="83" borderId="1028" applyAlignment="0">
      <alignment horizontal="center"/>
    </xf>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29" fillId="83" borderId="1028" applyAlignment="0">
      <alignment horizontal="center"/>
    </xf>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16" fillId="78" borderId="1017" applyNumberFormat="0" applyAlignment="0" applyProtection="0"/>
    <xf numFmtId="0" fontId="174" fillId="0" borderId="1020" applyNumberFormat="0" applyFill="0" applyAlignment="0" applyProtection="0"/>
    <xf numFmtId="0" fontId="229" fillId="83" borderId="1028" applyAlignment="0">
      <alignment horizontal="center"/>
    </xf>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13" fillId="65" borderId="1015" applyNumberForma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6" fillId="78" borderId="1015" applyNumberFormat="0" applyAlignment="0" applyProtection="0"/>
    <xf numFmtId="0" fontId="176" fillId="81" borderId="1016" applyNumberFormat="0" applyFont="0" applyAlignment="0" applyProtection="0"/>
    <xf numFmtId="0" fontId="238" fillId="59" borderId="1015" applyNumberFormat="0" applyAlignment="0" applyProtection="0"/>
    <xf numFmtId="0" fontId="213" fillId="80" borderId="1015" applyNumberFormat="0" applyAlignment="0" applyProtection="0"/>
    <xf numFmtId="0" fontId="8" fillId="81" borderId="1016" applyNumberFormat="0" applyFont="0" applyAlignment="0" applyProtection="0"/>
    <xf numFmtId="0" fontId="216" fillId="59" borderId="1017" applyNumberFormat="0" applyAlignment="0" applyProtection="0"/>
    <xf numFmtId="0" fontId="174" fillId="0" borderId="1018" applyNumberFormat="0" applyFill="0" applyAlignment="0" applyProtection="0"/>
    <xf numFmtId="0" fontId="213" fillId="80" borderId="1015" applyNumberFormat="0" applyAlignment="0" applyProtection="0"/>
    <xf numFmtId="0" fontId="229" fillId="83" borderId="1028" applyAlignment="0">
      <alignment horizontal="center"/>
    </xf>
    <xf numFmtId="0" fontId="176" fillId="81" borderId="1016" applyNumberFormat="0" applyFont="0" applyAlignment="0" applyProtection="0"/>
    <xf numFmtId="0" fontId="213" fillId="65" borderId="1024" applyNumberFormat="0" applyAlignment="0" applyProtection="0"/>
    <xf numFmtId="0" fontId="216" fillId="78" borderId="1026" applyNumberFormat="0" applyAlignment="0" applyProtection="0"/>
    <xf numFmtId="0" fontId="174" fillId="0" borderId="1029" applyNumberFormat="0" applyFill="0" applyAlignment="0" applyProtection="0"/>
    <xf numFmtId="0" fontId="216" fillId="78" borderId="1026" applyNumberFormat="0" applyAlignment="0" applyProtection="0"/>
    <xf numFmtId="0" fontId="174" fillId="0" borderId="1029" applyNumberFormat="0" applyFill="0" applyAlignment="0" applyProtection="0"/>
    <xf numFmtId="182" fontId="225" fillId="0" borderId="1023" applyFill="0" applyProtection="0"/>
    <xf numFmtId="200" fontId="225" fillId="0" borderId="1023" applyFill="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03" fillId="81" borderId="1025" applyNumberFormat="0" applyFont="0" applyAlignment="0" applyProtection="0"/>
    <xf numFmtId="0" fontId="213" fillId="65" borderId="1024" applyNumberFormat="0" applyAlignment="0" applyProtection="0"/>
    <xf numFmtId="0" fontId="203" fillId="81" borderId="1025" applyNumberFormat="0" applyFont="0" applyAlignment="0" applyProtection="0"/>
    <xf numFmtId="0" fontId="216" fillId="78" borderId="1026" applyNumberFormat="0" applyAlignment="0" applyProtection="0"/>
    <xf numFmtId="0" fontId="174" fillId="0" borderId="1029" applyNumberFormat="0" applyFill="0" applyAlignment="0" applyProtection="0"/>
    <xf numFmtId="0" fontId="249" fillId="59" borderId="1024" applyNumberFormat="0" applyAlignment="0" applyProtection="0"/>
    <xf numFmtId="0" fontId="254" fillId="80" borderId="1024" applyNumberFormat="0" applyAlignment="0" applyProtection="0"/>
    <xf numFmtId="0" fontId="257" fillId="59" borderId="1026" applyNumberFormat="0" applyAlignment="0" applyProtection="0"/>
    <xf numFmtId="0" fontId="244" fillId="0" borderId="1023" applyNumberFormat="0" applyFont="0" applyFill="0" applyAlignment="0" applyProtection="0"/>
    <xf numFmtId="0" fontId="178" fillId="0" borderId="1030" applyProtection="0"/>
    <xf numFmtId="0" fontId="176" fillId="81" borderId="1025" applyNumberFormat="0" applyFont="0" applyAlignment="0" applyProtection="0"/>
    <xf numFmtId="0" fontId="8" fillId="81" borderId="1025" applyNumberFormat="0" applyFont="0" applyAlignment="0" applyProtection="0"/>
    <xf numFmtId="182" fontId="225" fillId="0" borderId="1023" applyFill="0" applyProtection="0"/>
    <xf numFmtId="200" fontId="225" fillId="0" borderId="1023" applyFill="0" applyProtection="0"/>
    <xf numFmtId="0" fontId="213" fillId="65" borderId="1024" applyNumberFormat="0" applyAlignment="0" applyProtection="0"/>
    <xf numFmtId="0" fontId="203" fillId="81" borderId="1025" applyNumberFormat="0" applyFont="0" applyAlignment="0" applyProtection="0"/>
    <xf numFmtId="0" fontId="203" fillId="81" borderId="1025" applyNumberFormat="0" applyFont="0" applyAlignment="0" applyProtection="0"/>
    <xf numFmtId="182" fontId="225" fillId="0" borderId="1023" applyFill="0" applyProtection="0"/>
    <xf numFmtId="200" fontId="225" fillId="0" borderId="1023" applyFill="0" applyProtection="0"/>
    <xf numFmtId="0" fontId="153" fillId="0" borderId="1022">
      <alignment horizontal="left" vertical="center"/>
    </xf>
    <xf numFmtId="0" fontId="203" fillId="81" borderId="1025" applyNumberFormat="0" applyFont="0" applyAlignment="0" applyProtection="0"/>
    <xf numFmtId="0" fontId="153" fillId="0" borderId="1022">
      <alignment horizontal="left" vertical="center"/>
    </xf>
    <xf numFmtId="0" fontId="213" fillId="80" borderId="1024" applyNumberFormat="0" applyAlignment="0" applyProtection="0"/>
    <xf numFmtId="0" fontId="8" fillId="81" borderId="1025" applyNumberFormat="0" applyFont="0" applyAlignment="0" applyProtection="0"/>
    <xf numFmtId="182" fontId="225" fillId="0" borderId="1023" applyFill="0" applyProtection="0"/>
    <xf numFmtId="200" fontId="225" fillId="0" borderId="1023" applyFill="0" applyProtection="0"/>
    <xf numFmtId="182" fontId="225" fillId="0" borderId="1023" applyFill="0" applyProtection="0"/>
    <xf numFmtId="200" fontId="225" fillId="0" borderId="1023" applyFill="0" applyProtection="0"/>
    <xf numFmtId="0" fontId="153" fillId="0" borderId="1022">
      <alignment horizontal="left" vertical="center"/>
    </xf>
    <xf numFmtId="0" fontId="203" fillId="81" borderId="1016" applyNumberFormat="0" applyFont="0" applyAlignment="0" applyProtection="0"/>
    <xf numFmtId="182" fontId="225" fillId="0" borderId="1023" applyFill="0" applyProtection="0"/>
    <xf numFmtId="200" fontId="225" fillId="0" borderId="1023" applyFill="0" applyProtection="0"/>
    <xf numFmtId="0" fontId="176" fillId="81" borderId="1025" applyNumberFormat="0" applyFont="0" applyAlignment="0" applyProtection="0"/>
    <xf numFmtId="0" fontId="203" fillId="81" borderId="1025"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03" fillId="81" borderId="1016" applyNumberFormat="0" applyFont="0" applyAlignment="0" applyProtection="0"/>
    <xf numFmtId="0" fontId="213" fillId="65" borderId="1024" applyNumberFormat="0" applyAlignment="0" applyProtection="0"/>
    <xf numFmtId="0" fontId="238" fillId="59" borderId="1033" applyNumberFormat="0" applyAlignment="0" applyProtection="0"/>
    <xf numFmtId="0" fontId="213" fillId="65" borderId="1024" applyNumberFormat="0" applyAlignment="0" applyProtection="0"/>
    <xf numFmtId="182" fontId="225" fillId="0" borderId="1041" applyFill="0" applyProtection="0"/>
    <xf numFmtId="200" fontId="225" fillId="0" borderId="1041" applyFill="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0" fontId="213" fillId="65" borderId="1024" applyNumberFormat="0" applyAlignment="0" applyProtection="0"/>
    <xf numFmtId="200" fontId="225" fillId="0" borderId="1041" applyFill="0" applyProtection="0"/>
    <xf numFmtId="0" fontId="206" fillId="78" borderId="1024" applyNumberFormat="0" applyAlignment="0" applyProtection="0"/>
    <xf numFmtId="0" fontId="238" fillId="59" borderId="1024" applyNumberFormat="0" applyAlignment="0" applyProtection="0"/>
    <xf numFmtId="0" fontId="213" fillId="80" borderId="1024" applyNumberFormat="0" applyAlignment="0" applyProtection="0"/>
    <xf numFmtId="0" fontId="213" fillId="80" borderId="1024" applyNumberFormat="0" applyAlignment="0" applyProtection="0"/>
    <xf numFmtId="0" fontId="174" fillId="0" borderId="1045" applyNumberFormat="0" applyFill="0" applyAlignment="0" applyProtection="0"/>
    <xf numFmtId="0" fontId="176" fillId="81" borderId="1043" applyNumberFormat="0" applyFont="0" applyAlignment="0" applyProtection="0"/>
    <xf numFmtId="0" fontId="213" fillId="65" borderId="1042" applyNumberFormat="0" applyAlignment="0" applyProtection="0"/>
    <xf numFmtId="0" fontId="213" fillId="65" borderId="1033" applyNumberFormat="0" applyAlignment="0" applyProtection="0"/>
    <xf numFmtId="0" fontId="206" fillId="78" borderId="1042"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80" borderId="1033" applyNumberFormat="0" applyAlignment="0" applyProtection="0"/>
    <xf numFmtId="0" fontId="213" fillId="65" borderId="1033" applyNumberFormat="0" applyAlignment="0" applyProtection="0"/>
    <xf numFmtId="0" fontId="213" fillId="80" borderId="1033" applyNumberFormat="0" applyAlignment="0" applyProtection="0"/>
    <xf numFmtId="0" fontId="8" fillId="81" borderId="1034" applyNumberFormat="0" applyFont="0" applyAlignment="0" applyProtection="0"/>
    <xf numFmtId="0" fontId="176"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176" fillId="81" borderId="1034" applyNumberFormat="0" applyFont="0" applyAlignment="0" applyProtection="0"/>
    <xf numFmtId="0" fontId="216" fillId="59" borderId="1035" applyNumberFormat="0" applyAlignment="0" applyProtection="0"/>
    <xf numFmtId="0" fontId="174" fillId="0" borderId="1036" applyNumberFormat="0" applyFill="0" applyAlignment="0" applyProtection="0"/>
    <xf numFmtId="0" fontId="206" fillId="78" borderId="1033" applyNumberFormat="0" applyAlignment="0" applyProtection="0"/>
    <xf numFmtId="0" fontId="206" fillId="78" borderId="1033" applyNumberFormat="0" applyAlignment="0" applyProtection="0"/>
    <xf numFmtId="182" fontId="225" fillId="0" borderId="1032" applyFill="0" applyProtection="0"/>
    <xf numFmtId="182" fontId="225" fillId="0" borderId="1032" applyFill="0" applyProtection="0"/>
    <xf numFmtId="182" fontId="225" fillId="0" borderId="1032" applyFill="0" applyProtection="0"/>
    <xf numFmtId="200" fontId="225" fillId="0" borderId="1032" applyFill="0" applyProtection="0"/>
    <xf numFmtId="200" fontId="225" fillId="0" borderId="1032" applyFill="0" applyProtection="0"/>
    <xf numFmtId="200" fontId="225" fillId="0" borderId="1032" applyFill="0" applyProtection="0"/>
    <xf numFmtId="0" fontId="153" fillId="0" borderId="1031">
      <alignment horizontal="left" vertical="center"/>
    </xf>
    <xf numFmtId="0" fontId="229" fillId="83" borderId="1037" applyAlignment="0">
      <alignment horizontal="center"/>
    </xf>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13" fillId="65" borderId="1033" applyNumberFormat="0" applyAlignment="0" applyProtection="0"/>
    <xf numFmtId="0" fontId="229" fillId="83" borderId="1037" applyAlignment="0">
      <alignment horizontal="center"/>
    </xf>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29" fillId="83" borderId="1037" applyAlignment="0">
      <alignment horizontal="center"/>
    </xf>
    <xf numFmtId="0" fontId="229" fillId="83" borderId="1037" applyAlignment="0">
      <alignment horizontal="center"/>
    </xf>
    <xf numFmtId="0" fontId="213" fillId="65" borderId="1033" applyNumberFormat="0" applyAlignment="0" applyProtection="0"/>
    <xf numFmtId="0" fontId="216" fillId="78" borderId="1035" applyNumberFormat="0" applyAlignment="0" applyProtection="0"/>
    <xf numFmtId="0" fontId="174" fillId="0" borderId="1038" applyNumberFormat="0" applyFill="0" applyAlignment="0" applyProtection="0"/>
    <xf numFmtId="0" fontId="216" fillId="78" borderId="1035" applyNumberFormat="0" applyAlignment="0" applyProtection="0"/>
    <xf numFmtId="0" fontId="174" fillId="0" borderId="1038" applyNumberFormat="0" applyFill="0" applyAlignment="0" applyProtection="0"/>
    <xf numFmtId="182" fontId="225" fillId="0" borderId="1032" applyFill="0" applyProtection="0"/>
    <xf numFmtId="200" fontId="225" fillId="0" borderId="1032" applyFill="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03" fillId="81" borderId="1034" applyNumberFormat="0" applyFont="0" applyAlignment="0" applyProtection="0"/>
    <xf numFmtId="0" fontId="213" fillId="65" borderId="1033" applyNumberFormat="0" applyAlignment="0" applyProtection="0"/>
    <xf numFmtId="0" fontId="203" fillId="81" borderId="1034" applyNumberFormat="0" applyFont="0" applyAlignment="0" applyProtection="0"/>
    <xf numFmtId="0" fontId="216" fillId="78" borderId="1035" applyNumberFormat="0" applyAlignment="0" applyProtection="0"/>
    <xf numFmtId="0" fontId="174" fillId="0" borderId="1038" applyNumberFormat="0" applyFill="0" applyAlignment="0" applyProtection="0"/>
    <xf numFmtId="0" fontId="249" fillId="59" borderId="1033" applyNumberFormat="0" applyAlignment="0" applyProtection="0"/>
    <xf numFmtId="0" fontId="254" fillId="80" borderId="1033" applyNumberFormat="0" applyAlignment="0" applyProtection="0"/>
    <xf numFmtId="0" fontId="257" fillId="59" borderId="1035" applyNumberFormat="0" applyAlignment="0" applyProtection="0"/>
    <xf numFmtId="0" fontId="244" fillId="0" borderId="1032" applyNumberFormat="0" applyFont="0" applyFill="0" applyAlignment="0" applyProtection="0"/>
    <xf numFmtId="0" fontId="178" fillId="0" borderId="1039" applyProtection="0"/>
    <xf numFmtId="0" fontId="176" fillId="81" borderId="1034" applyNumberFormat="0" applyFont="0" applyAlignment="0" applyProtection="0"/>
    <xf numFmtId="0" fontId="8" fillId="81" borderId="1034" applyNumberFormat="0" applyFont="0" applyAlignment="0" applyProtection="0"/>
    <xf numFmtId="182" fontId="225" fillId="0" borderId="1032" applyFill="0" applyProtection="0"/>
    <xf numFmtId="200" fontId="225" fillId="0" borderId="1032" applyFill="0" applyProtection="0"/>
    <xf numFmtId="0" fontId="213" fillId="65" borderId="1033" applyNumberFormat="0" applyAlignment="0" applyProtection="0"/>
    <xf numFmtId="0" fontId="203" fillId="81" borderId="1034" applyNumberFormat="0" applyFont="0" applyAlignment="0" applyProtection="0"/>
    <xf numFmtId="0" fontId="203" fillId="81" borderId="1034" applyNumberFormat="0" applyFont="0" applyAlignment="0" applyProtection="0"/>
    <xf numFmtId="182" fontId="225" fillId="0" borderId="1032" applyFill="0" applyProtection="0"/>
    <xf numFmtId="200" fontId="225" fillId="0" borderId="1032" applyFill="0" applyProtection="0"/>
    <xf numFmtId="0" fontId="153" fillId="0" borderId="1031">
      <alignment horizontal="left" vertical="center"/>
    </xf>
    <xf numFmtId="0" fontId="203" fillId="81" borderId="1034" applyNumberFormat="0" applyFont="0" applyAlignment="0" applyProtection="0"/>
    <xf numFmtId="0" fontId="153" fillId="0" borderId="1031">
      <alignment horizontal="left" vertical="center"/>
    </xf>
    <xf numFmtId="0" fontId="213" fillId="80" borderId="1033" applyNumberFormat="0" applyAlignment="0" applyProtection="0"/>
    <xf numFmtId="0" fontId="8" fillId="81" borderId="1034" applyNumberFormat="0" applyFont="0" applyAlignment="0" applyProtection="0"/>
    <xf numFmtId="182" fontId="225" fillId="0" borderId="1032" applyFill="0" applyProtection="0"/>
    <xf numFmtId="200" fontId="225" fillId="0" borderId="1032" applyFill="0" applyProtection="0"/>
    <xf numFmtId="182" fontId="225" fillId="0" borderId="1032" applyFill="0" applyProtection="0"/>
    <xf numFmtId="200" fontId="225" fillId="0" borderId="1032" applyFill="0" applyProtection="0"/>
    <xf numFmtId="0" fontId="153" fillId="0" borderId="1031">
      <alignment horizontal="left" vertical="center"/>
    </xf>
    <xf numFmtId="182" fontId="225" fillId="0" borderId="1032" applyFill="0" applyProtection="0"/>
    <xf numFmtId="200" fontId="225" fillId="0" borderId="1032" applyFill="0" applyProtection="0"/>
    <xf numFmtId="0" fontId="176" fillId="81" borderId="1034" applyNumberFormat="0" applyFont="0" applyAlignment="0" applyProtection="0"/>
    <xf numFmtId="0" fontId="203" fillId="81" borderId="1034" applyNumberFormat="0" applyFont="0" applyAlignment="0" applyProtection="0"/>
    <xf numFmtId="0" fontId="213" fillId="65" borderId="1033" applyNumberFormat="0" applyAlignment="0" applyProtection="0"/>
    <xf numFmtId="0" fontId="229" fillId="83" borderId="1002" applyAlignment="0">
      <alignment horizontal="center"/>
    </xf>
    <xf numFmtId="0" fontId="203" fillId="81" borderId="1016" applyNumberFormat="0" applyFont="0" applyAlignment="0" applyProtection="0"/>
    <xf numFmtId="0" fontId="176" fillId="81" borderId="1088" applyNumberFormat="0" applyFont="0" applyAlignment="0" applyProtection="0"/>
    <xf numFmtId="0" fontId="238" fillId="59" borderId="1069" applyNumberFormat="0" applyAlignment="0" applyProtection="0"/>
    <xf numFmtId="0" fontId="229" fillId="83" borderId="1064" applyAlignment="0">
      <alignment horizontal="center"/>
    </xf>
    <xf numFmtId="0" fontId="213" fillId="65" borderId="1060" applyNumberFormat="0" applyAlignment="0" applyProtection="0"/>
    <xf numFmtId="0" fontId="238" fillId="59"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80" borderId="1060" applyNumberFormat="0" applyAlignment="0" applyProtection="0"/>
    <xf numFmtId="0" fontId="213" fillId="65" borderId="1060" applyNumberFormat="0" applyAlignment="0" applyProtection="0"/>
    <xf numFmtId="0" fontId="213" fillId="80" borderId="1060" applyNumberFormat="0" applyAlignment="0" applyProtection="0"/>
    <xf numFmtId="0" fontId="203" fillId="81" borderId="1088" applyNumberFormat="0" applyFont="0" applyAlignment="0" applyProtection="0"/>
    <xf numFmtId="182" fontId="225" fillId="0" borderId="1086" applyFill="0" applyProtection="0"/>
    <xf numFmtId="0" fontId="8" fillId="81" borderId="1061" applyNumberFormat="0" applyFont="0" applyAlignment="0" applyProtection="0"/>
    <xf numFmtId="0" fontId="176"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176" fillId="81" borderId="1061" applyNumberFormat="0" applyFont="0" applyAlignment="0" applyProtection="0"/>
    <xf numFmtId="0" fontId="216" fillId="59" borderId="1062" applyNumberFormat="0" applyAlignment="0" applyProtection="0"/>
    <xf numFmtId="0" fontId="174" fillId="0" borderId="1063" applyNumberFormat="0" applyFill="0" applyAlignment="0" applyProtection="0"/>
    <xf numFmtId="0" fontId="216" fillId="78" borderId="1062" applyNumberFormat="0" applyAlignment="0" applyProtection="0"/>
    <xf numFmtId="0" fontId="174" fillId="0" borderId="1065" applyNumberFormat="0" applyFill="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153" fillId="0" borderId="1085">
      <alignment horizontal="left" vertical="center"/>
    </xf>
    <xf numFmtId="0" fontId="203" fillId="81" borderId="1061" applyNumberFormat="0" applyFont="0" applyAlignment="0" applyProtection="0"/>
    <xf numFmtId="0" fontId="206" fillId="78" borderId="1060" applyNumberFormat="0" applyAlignment="0" applyProtection="0"/>
    <xf numFmtId="0" fontId="176" fillId="81" borderId="1061" applyNumberFormat="0" applyFont="0" applyAlignment="0" applyProtection="0"/>
    <xf numFmtId="0" fontId="238" fillId="59" borderId="1060" applyNumberFormat="0" applyAlignment="0" applyProtection="0"/>
    <xf numFmtId="0" fontId="213" fillId="80" borderId="1060" applyNumberFormat="0" applyAlignment="0" applyProtection="0"/>
    <xf numFmtId="0" fontId="8" fillId="81" borderId="1061" applyNumberFormat="0" applyFont="0" applyAlignment="0" applyProtection="0"/>
    <xf numFmtId="0" fontId="216" fillId="59" borderId="1062" applyNumberFormat="0" applyAlignment="0" applyProtection="0"/>
    <xf numFmtId="0" fontId="213" fillId="80" borderId="1060" applyNumberFormat="0" applyAlignment="0" applyProtection="0"/>
    <xf numFmtId="0" fontId="176" fillId="81" borderId="1061" applyNumberFormat="0" applyFont="0" applyAlignment="0" applyProtection="0"/>
    <xf numFmtId="182" fontId="225" fillId="0" borderId="1086" applyFill="0" applyProtection="0"/>
    <xf numFmtId="0" fontId="203" fillId="81" borderId="1088" applyNumberFormat="0" applyFont="0" applyAlignment="0" applyProtection="0"/>
    <xf numFmtId="200" fontId="225" fillId="0" borderId="1086" applyFill="0" applyProtection="0"/>
    <xf numFmtId="182" fontId="225" fillId="0" borderId="1086" applyFill="0" applyProtection="0"/>
    <xf numFmtId="0" fontId="213" fillId="65" borderId="1087"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80" borderId="1069" applyNumberFormat="0" applyAlignment="0" applyProtection="0"/>
    <xf numFmtId="0" fontId="213" fillId="65" borderId="1069" applyNumberFormat="0" applyAlignment="0" applyProtection="0"/>
    <xf numFmtId="0" fontId="213" fillId="80" borderId="1069" applyNumberFormat="0" applyAlignment="0" applyProtection="0"/>
    <xf numFmtId="0" fontId="8" fillId="81" borderId="1070" applyNumberFormat="0" applyFont="0" applyAlignment="0" applyProtection="0"/>
    <xf numFmtId="0" fontId="176"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176" fillId="81" borderId="1070" applyNumberFormat="0" applyFont="0" applyAlignment="0" applyProtection="0"/>
    <xf numFmtId="0" fontId="216" fillId="59" borderId="1071" applyNumberFormat="0" applyAlignment="0" applyProtection="0"/>
    <xf numFmtId="0" fontId="174" fillId="0" borderId="1072" applyNumberFormat="0" applyFill="0" applyAlignment="0" applyProtection="0"/>
    <xf numFmtId="0" fontId="206" fillId="78" borderId="1069" applyNumberFormat="0" applyAlignment="0" applyProtection="0"/>
    <xf numFmtId="0" fontId="206" fillId="78" borderId="1069" applyNumberFormat="0" applyAlignment="0" applyProtection="0"/>
    <xf numFmtId="182" fontId="225" fillId="0" borderId="1068" applyFill="0" applyProtection="0"/>
    <xf numFmtId="182" fontId="225" fillId="0" borderId="1068" applyFill="0" applyProtection="0"/>
    <xf numFmtId="182" fontId="225" fillId="0" borderId="1068" applyFill="0" applyProtection="0"/>
    <xf numFmtId="200" fontId="225" fillId="0" borderId="1068" applyFill="0" applyProtection="0"/>
    <xf numFmtId="200" fontId="225" fillId="0" borderId="1068" applyFill="0" applyProtection="0"/>
    <xf numFmtId="200" fontId="225" fillId="0" borderId="1068" applyFill="0" applyProtection="0"/>
    <xf numFmtId="0" fontId="153" fillId="0" borderId="1067">
      <alignment horizontal="left" vertical="center"/>
    </xf>
    <xf numFmtId="0" fontId="229" fillId="83" borderId="1073" applyAlignment="0">
      <alignment horizontal="center"/>
    </xf>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29" fillId="83" borderId="1073" applyAlignment="0">
      <alignment horizontal="center"/>
    </xf>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16" fillId="78" borderId="1062" applyNumberFormat="0" applyAlignment="0" applyProtection="0"/>
    <xf numFmtId="0" fontId="174" fillId="0" borderId="1065" applyNumberFormat="0" applyFill="0" applyAlignment="0" applyProtection="0"/>
    <xf numFmtId="0" fontId="229" fillId="83" borderId="1073" applyAlignment="0">
      <alignment horizontal="center"/>
    </xf>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13" fillId="65" borderId="1060" applyNumberForma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6" fillId="78" borderId="1060" applyNumberFormat="0" applyAlignment="0" applyProtection="0"/>
    <xf numFmtId="0" fontId="176" fillId="81" borderId="1061" applyNumberFormat="0" applyFont="0" applyAlignment="0" applyProtection="0"/>
    <xf numFmtId="0" fontId="238" fillId="59" borderId="1060" applyNumberFormat="0" applyAlignment="0" applyProtection="0"/>
    <xf numFmtId="0" fontId="213" fillId="80" borderId="1060" applyNumberFormat="0" applyAlignment="0" applyProtection="0"/>
    <xf numFmtId="0" fontId="8" fillId="81" borderId="1061" applyNumberFormat="0" applyFont="0" applyAlignment="0" applyProtection="0"/>
    <xf numFmtId="0" fontId="216" fillId="59" borderId="1062" applyNumberFormat="0" applyAlignment="0" applyProtection="0"/>
    <xf numFmtId="0" fontId="174" fillId="0" borderId="1063" applyNumberFormat="0" applyFill="0" applyAlignment="0" applyProtection="0"/>
    <xf numFmtId="0" fontId="213" fillId="80" borderId="1060" applyNumberFormat="0" applyAlignment="0" applyProtection="0"/>
    <xf numFmtId="0" fontId="229" fillId="83" borderId="1073" applyAlignment="0">
      <alignment horizontal="center"/>
    </xf>
    <xf numFmtId="0" fontId="176" fillId="81" borderId="1061" applyNumberFormat="0" applyFont="0" applyAlignment="0" applyProtection="0"/>
    <xf numFmtId="0" fontId="213" fillId="65" borderId="1069" applyNumberFormat="0" applyAlignment="0" applyProtection="0"/>
    <xf numFmtId="0" fontId="216" fillId="78" borderId="1071" applyNumberFormat="0" applyAlignment="0" applyProtection="0"/>
    <xf numFmtId="0" fontId="174" fillId="0" borderId="1074" applyNumberFormat="0" applyFill="0" applyAlignment="0" applyProtection="0"/>
    <xf numFmtId="0" fontId="216" fillId="78" borderId="1071" applyNumberFormat="0" applyAlignment="0" applyProtection="0"/>
    <xf numFmtId="0" fontId="174" fillId="0" borderId="1074" applyNumberFormat="0" applyFill="0" applyAlignment="0" applyProtection="0"/>
    <xf numFmtId="182" fontId="225" fillId="0" borderId="1068" applyFill="0" applyProtection="0"/>
    <xf numFmtId="200" fontId="225" fillId="0" borderId="1068" applyFill="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03" fillId="81" borderId="1070" applyNumberFormat="0" applyFont="0" applyAlignment="0" applyProtection="0"/>
    <xf numFmtId="0" fontId="213" fillId="65" borderId="1069" applyNumberFormat="0" applyAlignment="0" applyProtection="0"/>
    <xf numFmtId="0" fontId="203" fillId="81" borderId="1070" applyNumberFormat="0" applyFont="0" applyAlignment="0" applyProtection="0"/>
    <xf numFmtId="0" fontId="216" fillId="78" borderId="1071" applyNumberFormat="0" applyAlignment="0" applyProtection="0"/>
    <xf numFmtId="0" fontId="174" fillId="0" borderId="1074" applyNumberFormat="0" applyFill="0" applyAlignment="0" applyProtection="0"/>
    <xf numFmtId="0" fontId="249" fillId="59" borderId="1069" applyNumberFormat="0" applyAlignment="0" applyProtection="0"/>
    <xf numFmtId="0" fontId="254" fillId="80" borderId="1069" applyNumberFormat="0" applyAlignment="0" applyProtection="0"/>
    <xf numFmtId="0" fontId="257" fillId="59" borderId="1071" applyNumberFormat="0" applyAlignment="0" applyProtection="0"/>
    <xf numFmtId="0" fontId="244" fillId="0" borderId="1068" applyNumberFormat="0" applyFont="0" applyFill="0" applyAlignment="0" applyProtection="0"/>
    <xf numFmtId="0" fontId="178" fillId="0" borderId="1075" applyProtection="0"/>
    <xf numFmtId="0" fontId="176" fillId="81" borderId="1070" applyNumberFormat="0" applyFont="0" applyAlignment="0" applyProtection="0"/>
    <xf numFmtId="0" fontId="8" fillId="81" borderId="1070" applyNumberFormat="0" applyFont="0" applyAlignment="0" applyProtection="0"/>
    <xf numFmtId="182" fontId="225" fillId="0" borderId="1068" applyFill="0" applyProtection="0"/>
    <xf numFmtId="200" fontId="225" fillId="0" borderId="1068" applyFill="0" applyProtection="0"/>
    <xf numFmtId="0" fontId="213" fillId="65" borderId="1069" applyNumberFormat="0" applyAlignment="0" applyProtection="0"/>
    <xf numFmtId="0" fontId="203" fillId="81" borderId="1070" applyNumberFormat="0" applyFont="0" applyAlignment="0" applyProtection="0"/>
    <xf numFmtId="0" fontId="203" fillId="81" borderId="1070" applyNumberFormat="0" applyFont="0" applyAlignment="0" applyProtection="0"/>
    <xf numFmtId="182" fontId="225" fillId="0" borderId="1068" applyFill="0" applyProtection="0"/>
    <xf numFmtId="200" fontId="225" fillId="0" borderId="1068" applyFill="0" applyProtection="0"/>
    <xf numFmtId="0" fontId="153" fillId="0" borderId="1067">
      <alignment horizontal="left" vertical="center"/>
    </xf>
    <xf numFmtId="0" fontId="203" fillId="81" borderId="1070" applyNumberFormat="0" applyFont="0" applyAlignment="0" applyProtection="0"/>
    <xf numFmtId="0" fontId="153" fillId="0" borderId="1067">
      <alignment horizontal="left" vertical="center"/>
    </xf>
    <xf numFmtId="0" fontId="213" fillId="80" borderId="1069" applyNumberFormat="0" applyAlignment="0" applyProtection="0"/>
    <xf numFmtId="0" fontId="8" fillId="81" borderId="1070" applyNumberFormat="0" applyFont="0" applyAlignment="0" applyProtection="0"/>
    <xf numFmtId="182" fontId="225" fillId="0" borderId="1068" applyFill="0" applyProtection="0"/>
    <xf numFmtId="200" fontId="225" fillId="0" borderId="1068" applyFill="0" applyProtection="0"/>
    <xf numFmtId="182" fontId="225" fillId="0" borderId="1068" applyFill="0" applyProtection="0"/>
    <xf numFmtId="200" fontId="225" fillId="0" borderId="1068" applyFill="0" applyProtection="0"/>
    <xf numFmtId="0" fontId="153" fillId="0" borderId="1067">
      <alignment horizontal="left" vertical="center"/>
    </xf>
    <xf numFmtId="0" fontId="203" fillId="81" borderId="1061" applyNumberFormat="0" applyFont="0" applyAlignment="0" applyProtection="0"/>
    <xf numFmtId="182" fontId="225" fillId="0" borderId="1068" applyFill="0" applyProtection="0"/>
    <xf numFmtId="200" fontId="225" fillId="0" borderId="1068" applyFill="0" applyProtection="0"/>
    <xf numFmtId="0" fontId="176" fillId="81" borderId="1070" applyNumberFormat="0" applyFont="0" applyAlignment="0" applyProtection="0"/>
    <xf numFmtId="0" fontId="203" fillId="81" borderId="1070"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03" fillId="81" borderId="1061" applyNumberFormat="0" applyFont="0" applyAlignment="0" applyProtection="0"/>
    <xf numFmtId="0" fontId="213" fillId="65" borderId="1069" applyNumberFormat="0" applyAlignment="0" applyProtection="0"/>
    <xf numFmtId="0" fontId="238" fillId="59" borderId="1078" applyNumberFormat="0" applyAlignment="0" applyProtection="0"/>
    <xf numFmtId="0" fontId="213" fillId="65" borderId="1069" applyNumberFormat="0" applyAlignment="0" applyProtection="0"/>
    <xf numFmtId="182" fontId="225" fillId="0" borderId="1086" applyFill="0" applyProtection="0"/>
    <xf numFmtId="200" fontId="225" fillId="0" borderId="1086" applyFill="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0" fontId="213" fillId="65" borderId="1069" applyNumberFormat="0" applyAlignment="0" applyProtection="0"/>
    <xf numFmtId="200" fontId="225" fillId="0" borderId="1086" applyFill="0" applyProtection="0"/>
    <xf numFmtId="0" fontId="206" fillId="78" borderId="1069" applyNumberFormat="0" applyAlignment="0" applyProtection="0"/>
    <xf numFmtId="0" fontId="238" fillId="59" borderId="1069" applyNumberFormat="0" applyAlignment="0" applyProtection="0"/>
    <xf numFmtId="0" fontId="213" fillId="80" borderId="1069" applyNumberFormat="0" applyAlignment="0" applyProtection="0"/>
    <xf numFmtId="0" fontId="213" fillId="80" borderId="1069" applyNumberFormat="0" applyAlignment="0" applyProtection="0"/>
    <xf numFmtId="0" fontId="174" fillId="0" borderId="1090" applyNumberFormat="0" applyFill="0" applyAlignment="0" applyProtection="0"/>
    <xf numFmtId="0" fontId="176" fillId="81" borderId="1088" applyNumberFormat="0" applyFont="0" applyAlignment="0" applyProtection="0"/>
    <xf numFmtId="0" fontId="213" fillId="65" borderId="1078" applyNumberFormat="0" applyAlignment="0" applyProtection="0"/>
    <xf numFmtId="0" fontId="206" fillId="78" borderId="1087"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80" borderId="1078" applyNumberFormat="0" applyAlignment="0" applyProtection="0"/>
    <xf numFmtId="0" fontId="213" fillId="65" borderId="1078" applyNumberFormat="0" applyAlignment="0" applyProtection="0"/>
    <xf numFmtId="0" fontId="213" fillId="80" borderId="1078" applyNumberFormat="0" applyAlignment="0" applyProtection="0"/>
    <xf numFmtId="0" fontId="8" fillId="81" borderId="1079" applyNumberFormat="0" applyFont="0" applyAlignment="0" applyProtection="0"/>
    <xf numFmtId="0" fontId="176"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176" fillId="81" borderId="1079" applyNumberFormat="0" applyFont="0" applyAlignment="0" applyProtection="0"/>
    <xf numFmtId="0" fontId="216" fillId="59" borderId="1080" applyNumberFormat="0" applyAlignment="0" applyProtection="0"/>
    <xf numFmtId="0" fontId="174" fillId="0" borderId="1081" applyNumberFormat="0" applyFill="0" applyAlignment="0" applyProtection="0"/>
    <xf numFmtId="0" fontId="206" fillId="78" borderId="1078" applyNumberFormat="0" applyAlignment="0" applyProtection="0"/>
    <xf numFmtId="0" fontId="206" fillId="78" borderId="1078" applyNumberFormat="0" applyAlignment="0" applyProtection="0"/>
    <xf numFmtId="182" fontId="225" fillId="0" borderId="1077" applyFill="0" applyProtection="0"/>
    <xf numFmtId="182" fontId="225" fillId="0" borderId="1077" applyFill="0" applyProtection="0"/>
    <xf numFmtId="182" fontId="225" fillId="0" borderId="1077" applyFill="0" applyProtection="0"/>
    <xf numFmtId="200" fontId="225" fillId="0" borderId="1077" applyFill="0" applyProtection="0"/>
    <xf numFmtId="200" fontId="225" fillId="0" borderId="1077" applyFill="0" applyProtection="0"/>
    <xf numFmtId="200" fontId="225" fillId="0" borderId="1077" applyFill="0" applyProtection="0"/>
    <xf numFmtId="0" fontId="153" fillId="0" borderId="1076">
      <alignment horizontal="left" vertical="center"/>
    </xf>
    <xf numFmtId="0" fontId="229" fillId="83" borderId="1082" applyAlignment="0">
      <alignment horizontal="center"/>
    </xf>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13" fillId="65" borderId="1078" applyNumberFormat="0" applyAlignment="0" applyProtection="0"/>
    <xf numFmtId="0" fontId="229" fillId="83" borderId="1082" applyAlignment="0">
      <alignment horizontal="center"/>
    </xf>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29" fillId="83" borderId="1082" applyAlignment="0">
      <alignment horizontal="center"/>
    </xf>
    <xf numFmtId="0" fontId="229" fillId="83" borderId="1082" applyAlignment="0">
      <alignment horizontal="center"/>
    </xf>
    <xf numFmtId="0" fontId="213" fillId="65" borderId="1078" applyNumberFormat="0" applyAlignment="0" applyProtection="0"/>
    <xf numFmtId="0" fontId="216" fillId="78" borderId="1080" applyNumberFormat="0" applyAlignment="0" applyProtection="0"/>
    <xf numFmtId="0" fontId="174" fillId="0" borderId="1083" applyNumberFormat="0" applyFill="0" applyAlignment="0" applyProtection="0"/>
    <xf numFmtId="0" fontId="216" fillId="78" borderId="1080" applyNumberFormat="0" applyAlignment="0" applyProtection="0"/>
    <xf numFmtId="0" fontId="174" fillId="0" borderId="1083" applyNumberFormat="0" applyFill="0" applyAlignment="0" applyProtection="0"/>
    <xf numFmtId="182" fontId="225" fillId="0" borderId="1077" applyFill="0" applyProtection="0"/>
    <xf numFmtId="200" fontId="225" fillId="0" borderId="1077" applyFill="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03" fillId="81" borderId="1079" applyNumberFormat="0" applyFont="0" applyAlignment="0" applyProtection="0"/>
    <xf numFmtId="0" fontId="213" fillId="65" borderId="1078" applyNumberFormat="0" applyAlignment="0" applyProtection="0"/>
    <xf numFmtId="0" fontId="203" fillId="81" borderId="1079" applyNumberFormat="0" applyFont="0" applyAlignment="0" applyProtection="0"/>
    <xf numFmtId="0" fontId="216" fillId="78" borderId="1080" applyNumberFormat="0" applyAlignment="0" applyProtection="0"/>
    <xf numFmtId="0" fontId="174" fillId="0" borderId="1083" applyNumberFormat="0" applyFill="0" applyAlignment="0" applyProtection="0"/>
    <xf numFmtId="0" fontId="249" fillId="59" borderId="1078" applyNumberFormat="0" applyAlignment="0" applyProtection="0"/>
    <xf numFmtId="0" fontId="254" fillId="80" borderId="1078" applyNumberFormat="0" applyAlignment="0" applyProtection="0"/>
    <xf numFmtId="0" fontId="257" fillId="59" borderId="1080" applyNumberFormat="0" applyAlignment="0" applyProtection="0"/>
    <xf numFmtId="0" fontId="244" fillId="0" borderId="1077" applyNumberFormat="0" applyFont="0" applyFill="0" applyAlignment="0" applyProtection="0"/>
    <xf numFmtId="0" fontId="178" fillId="0" borderId="1084" applyProtection="0"/>
    <xf numFmtId="0" fontId="176" fillId="81" borderId="1079" applyNumberFormat="0" applyFont="0" applyAlignment="0" applyProtection="0"/>
    <xf numFmtId="0" fontId="8" fillId="81" borderId="1079" applyNumberFormat="0" applyFont="0" applyAlignment="0" applyProtection="0"/>
    <xf numFmtId="182" fontId="225" fillId="0" borderId="1077" applyFill="0" applyProtection="0"/>
    <xf numFmtId="200" fontId="225" fillId="0" borderId="1077" applyFill="0" applyProtection="0"/>
    <xf numFmtId="0" fontId="213" fillId="65" borderId="1078" applyNumberFormat="0" applyAlignment="0" applyProtection="0"/>
    <xf numFmtId="0" fontId="203" fillId="81" borderId="1079" applyNumberFormat="0" applyFont="0" applyAlignment="0" applyProtection="0"/>
    <xf numFmtId="0" fontId="203" fillId="81" borderId="1079" applyNumberFormat="0" applyFont="0" applyAlignment="0" applyProtection="0"/>
    <xf numFmtId="182" fontId="225" fillId="0" borderId="1077" applyFill="0" applyProtection="0"/>
    <xf numFmtId="200" fontId="225" fillId="0" borderId="1077" applyFill="0" applyProtection="0"/>
    <xf numFmtId="0" fontId="153" fillId="0" borderId="1076">
      <alignment horizontal="left" vertical="center"/>
    </xf>
    <xf numFmtId="0" fontId="203" fillId="81" borderId="1079" applyNumberFormat="0" applyFont="0" applyAlignment="0" applyProtection="0"/>
    <xf numFmtId="0" fontId="153" fillId="0" borderId="1076">
      <alignment horizontal="left" vertical="center"/>
    </xf>
    <xf numFmtId="0" fontId="213" fillId="80" borderId="1078" applyNumberFormat="0" applyAlignment="0" applyProtection="0"/>
    <xf numFmtId="0" fontId="8" fillId="81" borderId="1079" applyNumberFormat="0" applyFont="0" applyAlignment="0" applyProtection="0"/>
    <xf numFmtId="182" fontId="225" fillId="0" borderId="1077" applyFill="0" applyProtection="0"/>
    <xf numFmtId="200" fontId="225" fillId="0" borderId="1077" applyFill="0" applyProtection="0"/>
    <xf numFmtId="182" fontId="225" fillId="0" borderId="1077" applyFill="0" applyProtection="0"/>
    <xf numFmtId="200" fontId="225" fillId="0" borderId="1077" applyFill="0" applyProtection="0"/>
    <xf numFmtId="0" fontId="153" fillId="0" borderId="1076">
      <alignment horizontal="left" vertical="center"/>
    </xf>
    <xf numFmtId="182" fontId="225" fillId="0" borderId="1077" applyFill="0" applyProtection="0"/>
    <xf numFmtId="200" fontId="225" fillId="0" borderId="1077" applyFill="0" applyProtection="0"/>
    <xf numFmtId="0" fontId="176" fillId="81" borderId="1079" applyNumberFormat="0" applyFont="0" applyAlignment="0" applyProtection="0"/>
    <xf numFmtId="0" fontId="203" fillId="81" borderId="1079" applyNumberFormat="0" applyFont="0" applyAlignment="0" applyProtection="0"/>
    <xf numFmtId="0" fontId="213" fillId="65" borderId="1078" applyNumberFormat="0" applyAlignment="0" applyProtection="0"/>
    <xf numFmtId="0" fontId="229" fillId="83" borderId="1047" applyAlignment="0">
      <alignment horizontal="center"/>
    </xf>
    <xf numFmtId="0" fontId="203" fillId="81" borderId="1061"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2" fillId="0" borderId="0"/>
    <xf numFmtId="0" fontId="164" fillId="31" borderId="167" applyNumberFormat="0" applyAlignment="0" applyProtection="0"/>
    <xf numFmtId="0" fontId="2" fillId="0" borderId="0"/>
    <xf numFmtId="0" fontId="203" fillId="0" borderId="0"/>
    <xf numFmtId="0" fontId="176" fillId="60" borderId="0" applyNumberFormat="0" applyBorder="0" applyAlignment="0" applyProtection="0"/>
    <xf numFmtId="0" fontId="176" fillId="61" borderId="0" applyNumberFormat="0" applyBorder="0" applyAlignment="0" applyProtection="0"/>
    <xf numFmtId="0" fontId="176" fillId="62" borderId="0" applyNumberFormat="0" applyBorder="0" applyAlignment="0" applyProtection="0"/>
    <xf numFmtId="0" fontId="176" fillId="63" borderId="0" applyNumberFormat="0" applyBorder="0" applyAlignment="0" applyProtection="0"/>
    <xf numFmtId="0" fontId="176" fillId="65" borderId="0" applyNumberFormat="0" applyBorder="0" applyAlignment="0" applyProtection="0"/>
    <xf numFmtId="0" fontId="176" fillId="66" borderId="0" applyNumberFormat="0" applyBorder="0" applyAlignment="0" applyProtection="0"/>
    <xf numFmtId="0" fontId="176" fillId="68" borderId="0" applyNumberFormat="0" applyBorder="0" applyAlignment="0" applyProtection="0"/>
    <xf numFmtId="0" fontId="176" fillId="63" borderId="0" applyNumberFormat="0" applyBorder="0" applyAlignment="0" applyProtection="0"/>
    <xf numFmtId="0" fontId="176" fillId="66" borderId="0" applyNumberFormat="0" applyBorder="0" applyAlignment="0" applyProtection="0"/>
    <xf numFmtId="0" fontId="176" fillId="69" borderId="0" applyNumberFormat="0" applyBorder="0" applyAlignment="0" applyProtection="0"/>
    <xf numFmtId="0" fontId="204" fillId="70" borderId="0" applyNumberFormat="0" applyBorder="0" applyAlignment="0" applyProtection="0"/>
    <xf numFmtId="0" fontId="204" fillId="67" borderId="0" applyNumberFormat="0" applyBorder="0" applyAlignment="0" applyProtection="0"/>
    <xf numFmtId="0" fontId="204" fillId="68" borderId="0" applyNumberFormat="0" applyBorder="0" applyAlignment="0" applyProtection="0"/>
    <xf numFmtId="0" fontId="204" fillId="71" borderId="0" applyNumberFormat="0" applyBorder="0" applyAlignment="0" applyProtection="0"/>
    <xf numFmtId="0" fontId="204" fillId="72" borderId="0" applyNumberFormat="0" applyBorder="0" applyAlignment="0" applyProtection="0"/>
    <xf numFmtId="0" fontId="204" fillId="73" borderId="0" applyNumberFormat="0" applyBorder="0" applyAlignment="0" applyProtection="0"/>
    <xf numFmtId="0" fontId="204" fillId="74" borderId="0" applyNumberFormat="0" applyBorder="0" applyAlignment="0" applyProtection="0"/>
    <xf numFmtId="0" fontId="204" fillId="75" borderId="0" applyNumberFormat="0" applyBorder="0" applyAlignment="0" applyProtection="0"/>
    <xf numFmtId="0" fontId="204" fillId="76" borderId="0" applyNumberFormat="0" applyBorder="0" applyAlignment="0" applyProtection="0"/>
    <xf numFmtId="0" fontId="204" fillId="71" borderId="0" applyNumberFormat="0" applyBorder="0" applyAlignment="0" applyProtection="0"/>
    <xf numFmtId="0" fontId="204" fillId="77" borderId="0" applyNumberFormat="0" applyBorder="0" applyAlignment="0" applyProtection="0"/>
    <xf numFmtId="0" fontId="205" fillId="61" borderId="0" applyNumberFormat="0" applyBorder="0" applyAlignment="0" applyProtection="0"/>
    <xf numFmtId="0" fontId="244" fillId="0" borderId="194" applyNumberFormat="0" applyFill="0" applyAlignment="0" applyProtection="0"/>
    <xf numFmtId="243" fontId="155" fillId="0" borderId="194" applyNumberFormat="0"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243" fontId="155" fillId="0" borderId="78" applyFill="0" applyAlignment="0" applyProtection="0">
      <alignment horizontal="center"/>
    </xf>
    <xf numFmtId="0" fontId="206" fillId="78"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49" fillId="59"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38" fillId="59" borderId="1087" applyNumberFormat="0" applyAlignment="0" applyProtection="0"/>
    <xf numFmtId="0" fontId="206" fillId="78" borderId="1087" applyNumberFormat="0" applyAlignment="0" applyProtection="0"/>
    <xf numFmtId="0" fontId="206" fillId="78" borderId="1087" applyNumberFormat="0" applyAlignment="0" applyProtection="0"/>
    <xf numFmtId="0" fontId="206" fillId="78" borderId="1087" applyNumberFormat="0" applyAlignment="0" applyProtection="0"/>
    <xf numFmtId="0" fontId="11" fillId="0" borderId="0" applyFill="0" applyBorder="0" applyProtection="0">
      <alignment horizontal="center"/>
      <protection locked="0"/>
    </xf>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41" fontId="8" fillId="0" borderId="78" applyNumberFormat="0" applyFont="0" applyFill="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0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81" fillId="0" borderId="0" applyFont="0" applyFill="0" applyBorder="0" applyAlignment="0" applyProtection="0"/>
    <xf numFmtId="3" fontId="181"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219" fillId="0" borderId="0" applyNumberFormat="0" applyFill="0" applyBorder="0" applyAlignment="0" applyProtection="0"/>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94" fontId="8" fillId="0" borderId="0">
      <alignment horizontal="center"/>
    </xf>
    <xf numFmtId="182" fontId="225" fillId="0" borderId="1068" applyFill="0" applyProtection="0"/>
    <xf numFmtId="182" fontId="225" fillId="0" borderId="1068"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182" fontId="225" fillId="0" borderId="175" applyFill="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8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0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5" fontId="8" fillId="0" borderId="0" applyFont="0" applyFill="0" applyBorder="0" applyAlignment="0" applyProtection="0"/>
    <xf numFmtId="14" fontId="11" fillId="9" borderId="177" applyFill="0" applyBorder="0">
      <alignment horizontal="center"/>
    </xf>
    <xf numFmtId="200" fontId="225" fillId="0" borderId="1068" applyFill="0" applyProtection="0"/>
    <xf numFmtId="200" fontId="225" fillId="0" borderId="1068"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0" fontId="225" fillId="0" borderId="175" applyFill="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209" fillId="62" borderId="0" applyNumberFormat="0" applyBorder="0" applyAlignment="0" applyProtection="0"/>
    <xf numFmtId="0" fontId="153" fillId="0" borderId="1067">
      <alignment horizontal="left" vertical="center"/>
    </xf>
    <xf numFmtId="0" fontId="235" fillId="0" borderId="0" applyNumberFormat="0" applyFill="0" applyBorder="0" applyAlignment="0" applyProtection="0"/>
    <xf numFmtId="0" fontId="210" fillId="0" borderId="180" applyNumberFormat="0" applyFill="0" applyAlignment="0" applyProtection="0"/>
    <xf numFmtId="0" fontId="210" fillId="0" borderId="180" applyNumberFormat="0" applyFill="0" applyAlignment="0" applyProtection="0"/>
    <xf numFmtId="0" fontId="182" fillId="0" borderId="0" applyNumberFormat="0" applyFill="0" applyBorder="0" applyAlignment="0" applyProtection="0"/>
    <xf numFmtId="0" fontId="211" fillId="0" borderId="181" applyNumberFormat="0" applyFill="0" applyAlignment="0" applyProtection="0"/>
    <xf numFmtId="0" fontId="211" fillId="0" borderId="181" applyNumberFormat="0" applyFill="0" applyAlignment="0" applyProtection="0"/>
    <xf numFmtId="0" fontId="253" fillId="0" borderId="189" applyNumberFormat="0" applyFill="0" applyAlignment="0" applyProtection="0"/>
    <xf numFmtId="0" fontId="212" fillId="0" borderId="182" applyNumberFormat="0" applyFill="0" applyAlignment="0" applyProtection="0"/>
    <xf numFmtId="0" fontId="212" fillId="0" borderId="182" applyNumberFormat="0" applyFill="0" applyAlignment="0" applyProtection="0"/>
    <xf numFmtId="0" fontId="241" fillId="0" borderId="189" applyNumberFormat="0" applyFill="0" applyAlignment="0" applyProtection="0"/>
    <xf numFmtId="0" fontId="212" fillId="0" borderId="182" applyNumberFormat="0" applyFill="0" applyAlignment="0" applyProtection="0"/>
    <xf numFmtId="0" fontId="212" fillId="0" borderId="0" applyNumberFormat="0" applyFill="0" applyBorder="0" applyAlignment="0" applyProtection="0"/>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82" borderId="176">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14" fontId="11" fillId="0" borderId="176" applyFill="0">
      <alignment horizontal="center" vertical="center" wrapText="1"/>
    </xf>
    <xf numFmtId="0" fontId="11" fillId="0" borderId="0"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8"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11" fillId="0" borderId="78" applyFill="0" applyAlignment="0" applyProtection="0">
      <protection locked="0"/>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0" fontId="229" fillId="83" borderId="1091" applyAlignment="0">
      <alignment horizontal="center"/>
    </xf>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10" fontId="9" fillId="2" borderId="77" applyNumberFormat="0" applyBorder="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54"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80"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3" fillId="65" borderId="1087" applyNumberFormat="0" applyAlignment="0" applyProtection="0"/>
    <xf numFmtId="0" fontId="214" fillId="0" borderId="183" applyNumberFormat="0" applyFill="0" applyAlignment="0" applyProtection="0"/>
    <xf numFmtId="0" fontId="215" fillId="80" borderId="0" applyNumberFormat="0" applyBorder="0" applyAlignment="0" applyProtection="0"/>
    <xf numFmtId="0" fontId="8" fillId="0" borderId="0"/>
    <xf numFmtId="0" fontId="2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03" fillId="0" borderId="0"/>
    <xf numFmtId="0" fontId="8" fillId="0" borderId="0"/>
    <xf numFmtId="0" fontId="2" fillId="0" borderId="0"/>
    <xf numFmtId="0" fontId="8" fillId="0" borderId="0"/>
    <xf numFmtId="0" fontId="2" fillId="0" borderId="0"/>
    <xf numFmtId="0" fontId="203" fillId="0" borderId="0"/>
    <xf numFmtId="0" fontId="2" fillId="0" borderId="0"/>
    <xf numFmtId="0" fontId="203"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 fillId="0" borderId="0"/>
    <xf numFmtId="0" fontId="8" fillId="0" borderId="0"/>
    <xf numFmtId="0" fontId="203" fillId="0" borderId="0"/>
    <xf numFmtId="0" fontId="203" fillId="0" borderId="0"/>
    <xf numFmtId="0" fontId="203"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8" fillId="0" borderId="0"/>
    <xf numFmtId="0" fontId="8" fillId="0" borderId="0"/>
    <xf numFmtId="0" fontId="203"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2" fillId="0" borderId="0"/>
    <xf numFmtId="0" fontId="8" fillId="0" borderId="0"/>
    <xf numFmtId="0" fontId="203" fillId="0" borderId="0"/>
    <xf numFmtId="0" fontId="8" fillId="0" borderId="0"/>
    <xf numFmtId="0" fontId="8" fillId="0" borderId="0"/>
    <xf numFmtId="0" fontId="8" fillId="0" borderId="0"/>
    <xf numFmtId="0" fontId="8" fillId="0" borderId="0"/>
    <xf numFmtId="0" fontId="2" fillId="0" borderId="0"/>
    <xf numFmtId="0" fontId="2" fillId="0" borderId="0"/>
    <xf numFmtId="0" fontId="181" fillId="0" borderId="0"/>
    <xf numFmtId="0" fontId="8" fillId="0" borderId="0"/>
    <xf numFmtId="0" fontId="98" fillId="0" borderId="0"/>
    <xf numFmtId="0" fontId="8" fillId="0" borderId="0"/>
    <xf numFmtId="0" fontId="2" fillId="0" borderId="0"/>
    <xf numFmtId="0" fontId="8" fillId="0" borderId="0"/>
    <xf numFmtId="0" fontId="203" fillId="0" borderId="0"/>
    <xf numFmtId="0" fontId="2" fillId="0" borderId="0"/>
    <xf numFmtId="0" fontId="8" fillId="0" borderId="0"/>
    <xf numFmtId="0" fontId="203" fillId="0" borderId="0"/>
    <xf numFmtId="0" fontId="8" fillId="0" borderId="0"/>
    <xf numFmtId="0" fontId="8" fillId="0" borderId="0"/>
    <xf numFmtId="0" fontId="8" fillId="0" borderId="0"/>
    <xf numFmtId="0" fontId="2" fillId="0" borderId="0"/>
    <xf numFmtId="0" fontId="8" fillId="0" borderId="0"/>
    <xf numFmtId="0" fontId="203" fillId="0" borderId="0"/>
    <xf numFmtId="0" fontId="8" fillId="0" borderId="0"/>
    <xf numFmtId="0" fontId="8" fillId="0" borderId="0"/>
    <xf numFmtId="0" fontId="8" fillId="0" borderId="0"/>
    <xf numFmtId="0" fontId="2" fillId="0" borderId="0"/>
    <xf numFmtId="0" fontId="8" fillId="0" borderId="0"/>
    <xf numFmtId="0" fontId="203" fillId="0" borderId="0"/>
    <xf numFmtId="0" fontId="8" fillId="0" borderId="0"/>
    <xf numFmtId="0" fontId="8" fillId="0" borderId="0"/>
    <xf numFmtId="0" fontId="203"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03" fillId="0" borderId="0"/>
    <xf numFmtId="0" fontId="2" fillId="0" borderId="0"/>
    <xf numFmtId="0" fontId="8"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2" fillId="0" borderId="0"/>
    <xf numFmtId="0" fontId="8" fillId="0" borderId="0"/>
    <xf numFmtId="0" fontId="8" fillId="0" borderId="0"/>
    <xf numFmtId="0" fontId="1" fillId="0" borderId="0"/>
    <xf numFmtId="0" fontId="1" fillId="0" borderId="0"/>
    <xf numFmtId="0" fontId="203"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5" fillId="0" borderId="0"/>
    <xf numFmtId="0" fontId="8" fillId="0" borderId="0"/>
    <xf numFmtId="0" fontId="155" fillId="0" borderId="0"/>
    <xf numFmtId="0" fontId="8" fillId="0" borderId="0"/>
    <xf numFmtId="0" fontId="1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2"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8" fillId="0" borderId="0"/>
    <xf numFmtId="0" fontId="203" fillId="0" borderId="0"/>
    <xf numFmtId="0" fontId="8" fillId="0" borderId="0"/>
    <xf numFmtId="0" fontId="203" fillId="0" borderId="0"/>
    <xf numFmtId="0" fontId="8" fillId="0" borderId="0"/>
    <xf numFmtId="0" fontId="8" fillId="0" borderId="0"/>
    <xf numFmtId="0" fontId="8" fillId="0" borderId="0"/>
    <xf numFmtId="0" fontId="8" fillId="0" borderId="0"/>
    <xf numFmtId="0" fontId="8" fillId="0" borderId="0"/>
    <xf numFmtId="0" fontId="203" fillId="0" borderId="0"/>
    <xf numFmtId="0" fontId="8" fillId="0" borderId="0"/>
    <xf numFmtId="0" fontId="203" fillId="0" borderId="0"/>
    <xf numFmtId="0" fontId="8" fillId="0" borderId="0"/>
    <xf numFmtId="0" fontId="203" fillId="0" borderId="0"/>
    <xf numFmtId="0" fontId="8" fillId="0" borderId="0"/>
    <xf numFmtId="0" fontId="203" fillId="0" borderId="0"/>
    <xf numFmtId="0" fontId="176"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8"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03"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176" fillId="81" borderId="1088" applyNumberFormat="0" applyFont="0" applyAlignment="0" applyProtection="0"/>
    <xf numFmtId="0" fontId="216" fillId="78" borderId="1080" applyNumberFormat="0" applyAlignment="0" applyProtection="0"/>
    <xf numFmtId="0" fontId="216" fillId="59" borderId="1080" applyNumberFormat="0" applyAlignment="0" applyProtection="0"/>
    <xf numFmtId="0" fontId="216" fillId="78" borderId="1080" applyNumberFormat="0" applyAlignment="0" applyProtection="0"/>
    <xf numFmtId="0" fontId="216" fillId="78" borderId="1080" applyNumberFormat="0" applyAlignment="0" applyProtection="0"/>
    <xf numFmtId="0" fontId="216" fillId="78" borderId="1080" applyNumberFormat="0" applyAlignment="0" applyProtection="0"/>
    <xf numFmtId="0" fontId="216" fillId="59" borderId="1080" applyNumberFormat="0" applyAlignment="0" applyProtection="0"/>
    <xf numFmtId="175" fontId="225"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3" fillId="0" borderId="0" applyFont="0" applyFill="0" applyBorder="0" applyAlignment="0" applyProtection="0"/>
    <xf numFmtId="9" fontId="8" fillId="0" borderId="0" applyFont="0" applyFill="0" applyBorder="0" applyAlignment="0" applyProtection="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38" fontId="8" fillId="0" borderId="0"/>
    <xf numFmtId="0" fontId="155" fillId="0" borderId="78" applyNumberFormat="0" applyFill="0" applyAlignment="0" applyProtection="0"/>
    <xf numFmtId="0" fontId="155" fillId="0" borderId="78" applyNumberFormat="0" applyFill="0" applyAlignment="0" applyProtection="0"/>
    <xf numFmtId="0" fontId="155" fillId="0" borderId="78" applyNumberFormat="0" applyFill="0" applyAlignment="0" applyProtection="0"/>
    <xf numFmtId="0" fontId="217" fillId="0" borderId="0" applyNumberFormat="0" applyFill="0" applyBorder="0" applyAlignment="0" applyProtection="0"/>
    <xf numFmtId="0" fontId="174" fillId="0" borderId="1090" applyNumberFormat="0" applyFill="0" applyAlignment="0" applyProtection="0"/>
    <xf numFmtId="0" fontId="178" fillId="0" borderId="1092" applyProtection="0"/>
    <xf numFmtId="0" fontId="174" fillId="0" borderId="1090" applyNumberFormat="0" applyFill="0" applyAlignment="0" applyProtection="0"/>
    <xf numFmtId="0" fontId="174" fillId="0" borderId="1093"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0" fontId="174" fillId="0" borderId="1090" applyNumberFormat="0" applyFill="0" applyAlignment="0" applyProtection="0"/>
    <xf numFmtId="43" fontId="203" fillId="0" borderId="0" applyFont="0" applyFill="0" applyBorder="0" applyAlignment="0" applyProtection="0"/>
    <xf numFmtId="9" fontId="203" fillId="0" borderId="0" applyFont="0" applyFill="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0" fontId="244" fillId="0" borderId="176" applyNumberFormat="0" applyFill="0" applyAlignment="0" applyProtection="0"/>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243" fontId="155" fillId="0" borderId="176" applyNumberFormat="0" applyFill="0" applyAlignment="0" applyProtection="0">
      <alignment horizont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203" fillId="0" borderId="0" applyFont="0" applyFill="0" applyBorder="0" applyAlignment="0" applyProtection="0"/>
    <xf numFmtId="9" fontId="20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157" fillId="0" borderId="0" applyNumberFormat="0" applyFill="0" applyBorder="0" applyAlignment="0" applyProtection="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2" fillId="0" borderId="0" applyNumberFormat="0" applyFont="0" applyFill="0" applyBorder="0" applyProtection="0">
      <alignment horizontal="left"/>
    </xf>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43" fontId="2" fillId="0" borderId="0" applyFont="0" applyFill="0" applyBorder="0" applyAlignment="0" applyProtection="0"/>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 fillId="0" borderId="0"/>
    <xf numFmtId="0" fontId="2" fillId="0" borderId="0"/>
    <xf numFmtId="43" fontId="176" fillId="0" borderId="0" applyFont="0" applyFill="0" applyBorder="0" applyAlignment="0" applyProtection="0"/>
    <xf numFmtId="42" fontId="203" fillId="0" borderId="0" applyFont="0" applyFill="0" applyBorder="0" applyAlignment="0" applyProtection="0"/>
    <xf numFmtId="0" fontId="2" fillId="0" borderId="0"/>
    <xf numFmtId="0" fontId="2" fillId="0" borderId="0"/>
    <xf numFmtId="0" fontId="2" fillId="0" borderId="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0" fontId="26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155" fillId="0" borderId="0"/>
    <xf numFmtId="0" fontId="31" fillId="0" borderId="0" applyNumberFormat="0" applyFill="0" applyBorder="0" applyAlignment="0" applyProtection="0">
      <alignment vertical="top"/>
      <protection locked="0"/>
    </xf>
    <xf numFmtId="43" fontId="155"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260" fillId="0" borderId="0" applyFont="0" applyFill="0" applyBorder="0" applyAlignment="0" applyProtection="0"/>
    <xf numFmtId="0" fontId="261" fillId="0" borderId="0" applyNumberFormat="0" applyFill="0" applyBorder="0" applyAlignment="0" applyProtection="0"/>
    <xf numFmtId="0" fontId="260" fillId="0" borderId="0"/>
    <xf numFmtId="43" fontId="2" fillId="0" borderId="0" applyFont="0" applyFill="0" applyBorder="0" applyAlignment="0" applyProtection="0"/>
    <xf numFmtId="44" fontId="155" fillId="0" borderId="0" applyFont="0" applyFill="0" applyBorder="0" applyAlignment="0" applyProtection="0"/>
    <xf numFmtId="43" fontId="155" fillId="0" borderId="0" applyFont="0" applyFill="0" applyBorder="0" applyAlignment="0" applyProtection="0"/>
    <xf numFmtId="0" fontId="203" fillId="0" borderId="0"/>
    <xf numFmtId="0" fontId="221" fillId="0" borderId="0">
      <alignment vertical="top"/>
    </xf>
    <xf numFmtId="0" fontId="169" fillId="0" borderId="0" applyNumberFormat="0" applyFill="0" applyBorder="0" applyAlignment="0" applyProtection="0"/>
    <xf numFmtId="0" fontId="123" fillId="0" borderId="172" applyNumberFormat="0" applyFill="0" applyAlignment="0" applyProtection="0"/>
    <xf numFmtId="0" fontId="157" fillId="0" borderId="0" applyNumberFormat="0" applyFill="0" applyBorder="0" applyAlignment="0" applyProtection="0"/>
    <xf numFmtId="0" fontId="165" fillId="32" borderId="168" applyNumberFormat="0" applyAlignment="0" applyProtection="0"/>
    <xf numFmtId="0" fontId="163" fillId="30" borderId="0" applyNumberFormat="0" applyBorder="0" applyAlignment="0" applyProtection="0"/>
    <xf numFmtId="0" fontId="167" fillId="0" borderId="169" applyNumberFormat="0" applyFill="0" applyAlignment="0" applyProtection="0"/>
    <xf numFmtId="0" fontId="164" fillId="31" borderId="167" applyNumberFormat="0" applyAlignment="0" applyProtection="0"/>
    <xf numFmtId="0" fontId="160" fillId="0" borderId="0" applyNumberFormat="0" applyFill="0" applyBorder="0" applyAlignment="0" applyProtection="0"/>
    <xf numFmtId="0" fontId="160" fillId="0" borderId="166" applyNumberFormat="0" applyFill="0" applyAlignment="0" applyProtection="0"/>
    <xf numFmtId="0" fontId="159" fillId="0" borderId="165" applyNumberFormat="0" applyFill="0" applyAlignment="0" applyProtection="0"/>
    <xf numFmtId="0" fontId="158" fillId="0" borderId="164" applyNumberFormat="0" applyFill="0" applyAlignment="0" applyProtection="0"/>
    <xf numFmtId="0" fontId="161" fillId="28" borderId="0" applyNumberFormat="0" applyBorder="0" applyAlignment="0" applyProtection="0"/>
    <xf numFmtId="0" fontId="170" fillId="0" borderId="0" applyNumberFormat="0" applyFill="0" applyBorder="0" applyAlignment="0" applyProtection="0"/>
    <xf numFmtId="0" fontId="168" fillId="33" borderId="170" applyNumberFormat="0" applyAlignment="0" applyProtection="0"/>
    <xf numFmtId="0" fontId="166" fillId="32" borderId="167" applyNumberFormat="0" applyAlignment="0" applyProtection="0"/>
    <xf numFmtId="0" fontId="162" fillId="29" borderId="0" applyNumberFormat="0" applyBorder="0" applyAlignment="0" applyProtection="0"/>
    <xf numFmtId="0" fontId="132" fillId="55" borderId="0" applyNumberFormat="0" applyBorder="0" applyAlignment="0" applyProtection="0"/>
    <xf numFmtId="0" fontId="132" fillId="51" borderId="0" applyNumberFormat="0" applyBorder="0" applyAlignment="0" applyProtection="0"/>
    <xf numFmtId="0" fontId="132" fillId="47" borderId="0" applyNumberFormat="0" applyBorder="0" applyAlignment="0" applyProtection="0"/>
    <xf numFmtId="0" fontId="132" fillId="43" borderId="0" applyNumberFormat="0" applyBorder="0" applyAlignment="0" applyProtection="0"/>
    <xf numFmtId="0" fontId="132" fillId="39" borderId="0" applyNumberFormat="0" applyBorder="0" applyAlignment="0" applyProtection="0"/>
    <xf numFmtId="0" fontId="132" fillId="35" borderId="0" applyNumberFormat="0" applyBorder="0" applyAlignment="0" applyProtection="0"/>
    <xf numFmtId="0" fontId="132" fillId="58" borderId="0" applyNumberFormat="0" applyBorder="0" applyAlignment="0" applyProtection="0"/>
    <xf numFmtId="0" fontId="132" fillId="54" borderId="0" applyNumberFormat="0" applyBorder="0" applyAlignment="0" applyProtection="0"/>
    <xf numFmtId="0" fontId="132" fillId="50" borderId="0" applyNumberFormat="0" applyBorder="0" applyAlignment="0" applyProtection="0"/>
    <xf numFmtId="0" fontId="132" fillId="46" borderId="0" applyNumberFormat="0" applyBorder="0" applyAlignment="0" applyProtection="0"/>
    <xf numFmtId="0" fontId="132" fillId="42" borderId="0" applyNumberFormat="0" applyBorder="0" applyAlignment="0" applyProtection="0"/>
    <xf numFmtId="0" fontId="132" fillId="38" borderId="0" applyNumberFormat="0" applyBorder="0" applyAlignment="0" applyProtection="0"/>
    <xf numFmtId="0" fontId="2" fillId="57" borderId="0" applyNumberFormat="0" applyBorder="0" applyAlignment="0" applyProtection="0"/>
    <xf numFmtId="0" fontId="2" fillId="53" borderId="0" applyNumberFormat="0" applyBorder="0" applyAlignment="0" applyProtection="0"/>
    <xf numFmtId="0" fontId="2" fillId="49" borderId="0" applyNumberFormat="0" applyBorder="0" applyAlignment="0" applyProtection="0"/>
    <xf numFmtId="0" fontId="2" fillId="45"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155" fillId="0" borderId="0"/>
    <xf numFmtId="43" fontId="203" fillId="0" borderId="0" applyFont="0" applyFill="0" applyBorder="0" applyAlignment="0" applyProtection="0"/>
    <xf numFmtId="0" fontId="2" fillId="0" borderId="0" applyNumberFormat="0" applyFont="0" applyFill="0" applyBorder="0" applyProtection="0">
      <alignment horizontal="left"/>
    </xf>
    <xf numFmtId="0" fontId="164" fillId="31" borderId="167" applyNumberFormat="0" applyAlignment="0" applyProtection="0"/>
    <xf numFmtId="0" fontId="164" fillId="31" borderId="167" applyNumberFormat="0" applyAlignment="0" applyProtection="0"/>
    <xf numFmtId="0" fontId="2" fillId="0" borderId="0" applyNumberFormat="0" applyFont="0" applyFill="0" applyBorder="0" applyProtection="0">
      <alignment horizontal="left"/>
    </xf>
    <xf numFmtId="0" fontId="155" fillId="0" borderId="0"/>
    <xf numFmtId="0" fontId="155"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42" fillId="30" borderId="0" applyNumberFormat="0" applyBorder="0" applyAlignment="0" applyProtection="0"/>
    <xf numFmtId="0" fontId="151" fillId="38" borderId="0" applyNumberFormat="0" applyBorder="0" applyAlignment="0" applyProtection="0"/>
    <xf numFmtId="0" fontId="151" fillId="42" borderId="0" applyNumberFormat="0" applyBorder="0" applyAlignment="0" applyProtection="0"/>
    <xf numFmtId="0" fontId="151" fillId="46" borderId="0" applyNumberFormat="0" applyBorder="0" applyAlignment="0" applyProtection="0"/>
    <xf numFmtId="0" fontId="155" fillId="0" borderId="0"/>
    <xf numFmtId="0" fontId="151" fillId="50" borderId="0" applyNumberFormat="0" applyBorder="0" applyAlignment="0" applyProtection="0"/>
    <xf numFmtId="43" fontId="155" fillId="0" borderId="0" applyFont="0" applyFill="0" applyBorder="0" applyAlignment="0" applyProtection="0"/>
    <xf numFmtId="0" fontId="151" fillId="54" borderId="0" applyNumberFormat="0" applyBorder="0" applyAlignment="0" applyProtection="0"/>
    <xf numFmtId="0" fontId="151" fillId="58" borderId="0" applyNumberFormat="0" applyBorder="0" applyAlignment="0" applyProtection="0"/>
    <xf numFmtId="0" fontId="1" fillId="0" borderId="0" applyNumberFormat="0" applyFont="0" applyFill="0" applyBorder="0" applyProtection="0">
      <alignment horizontal="left"/>
    </xf>
    <xf numFmtId="0" fontId="136" fillId="0" borderId="0" applyNumberFormat="0" applyFill="0" applyBorder="0" applyAlignment="0" applyProtection="0"/>
    <xf numFmtId="0" fontId="1" fillId="34" borderId="171" applyNumberFormat="0" applyFont="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0" borderId="0" applyNumberFormat="0" applyFont="0" applyFill="0" applyBorder="0" applyProtection="0">
      <alignment horizontal="left"/>
    </xf>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43" fontId="176"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34" borderId="171" applyNumberFormat="0" applyFont="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3" fontId="1" fillId="0" borderId="0" applyFont="0" applyFill="0" applyBorder="0" applyAlignment="0" applyProtection="0"/>
    <xf numFmtId="43" fontId="176" fillId="0" borderId="0" applyFont="0" applyFill="0" applyBorder="0" applyAlignment="0" applyProtection="0"/>
    <xf numFmtId="9" fontId="2" fillId="0" borderId="0" applyFont="0" applyFill="0" applyBorder="0" applyAlignment="0" applyProtection="0"/>
    <xf numFmtId="0" fontId="2" fillId="34" borderId="171" applyNumberFormat="0" applyFont="0" applyAlignment="0" applyProtection="0"/>
    <xf numFmtId="44" fontId="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applyNumberFormat="0" applyFont="0" applyFill="0" applyBorder="0" applyProtection="0">
      <alignment horizontal="left"/>
    </xf>
    <xf numFmtId="0" fontId="1" fillId="0" borderId="0"/>
    <xf numFmtId="43" fontId="155" fillId="0" borderId="0" applyFont="0" applyFill="0" applyBorder="0" applyAlignment="0" applyProtection="0"/>
    <xf numFmtId="0" fontId="203" fillId="0" borderId="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182"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200" fontId="225" fillId="0" borderId="628" applyFill="0" applyProtection="0"/>
    <xf numFmtId="0" fontId="153" fillId="0" borderId="627">
      <alignment horizontal="left" vertical="center"/>
    </xf>
    <xf numFmtId="0" fontId="153" fillId="0" borderId="627">
      <alignment horizontal="left" vertical="center"/>
    </xf>
    <xf numFmtId="0" fontId="153" fillId="0" borderId="627">
      <alignment horizontal="left" vertical="center"/>
    </xf>
    <xf numFmtId="0" fontId="153" fillId="0" borderId="627">
      <alignment horizontal="left" vertical="center"/>
    </xf>
    <xf numFmtId="0" fontId="153" fillId="0" borderId="627">
      <alignment horizontal="left" vertical="center"/>
    </xf>
    <xf numFmtId="0" fontId="216" fillId="78" borderId="595" applyNumberFormat="0" applyAlignment="0" applyProtection="0"/>
    <xf numFmtId="0" fontId="216" fillId="59" borderId="595" applyNumberFormat="0" applyAlignment="0" applyProtection="0"/>
    <xf numFmtId="0" fontId="216" fillId="78" borderId="595" applyNumberFormat="0" applyAlignment="0" applyProtection="0"/>
    <xf numFmtId="0" fontId="216" fillId="78" borderId="595" applyNumberFormat="0" applyAlignment="0" applyProtection="0"/>
    <xf numFmtId="0" fontId="216" fillId="78" borderId="595" applyNumberFormat="0" applyAlignment="0" applyProtection="0"/>
    <xf numFmtId="0" fontId="216" fillId="59" borderId="595" applyNumberFormat="0" applyAlignment="0" applyProtection="0"/>
    <xf numFmtId="0" fontId="244" fillId="0" borderId="628" applyNumberFormat="0" applyFont="0" applyFill="0" applyAlignment="0" applyProtection="0"/>
    <xf numFmtId="0" fontId="174" fillId="0" borderId="607" applyNumberFormat="0" applyFill="0" applyAlignment="0" applyProtection="0"/>
    <xf numFmtId="0" fontId="174" fillId="0" borderId="607" applyNumberFormat="0" applyFill="0" applyAlignment="0" applyProtection="0"/>
    <xf numFmtId="0" fontId="174" fillId="0" borderId="607" applyNumberFormat="0" applyFill="0" applyAlignment="0" applyProtection="0"/>
    <xf numFmtId="43" fontId="203" fillId="0" borderId="0" applyFont="0" applyFill="0" applyBorder="0" applyAlignment="0" applyProtection="0"/>
    <xf numFmtId="9" fontId="203" fillId="0" borderId="0" applyFont="0" applyFill="0" applyBorder="0" applyAlignment="0" applyProtection="0"/>
    <xf numFmtId="0" fontId="2" fillId="0" borderId="0"/>
    <xf numFmtId="43" fontId="2"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0" fontId="203" fillId="0" borderId="0"/>
    <xf numFmtId="9" fontId="203" fillId="0" borderId="0" applyFont="0" applyFill="0" applyBorder="0" applyAlignment="0" applyProtection="0"/>
    <xf numFmtId="43" fontId="203" fillId="0" borderId="0" applyFont="0" applyFill="0" applyBorder="0" applyAlignment="0" applyProtection="0"/>
    <xf numFmtId="0" fontId="174" fillId="0" borderId="589" applyNumberFormat="0" applyFill="0" applyAlignment="0" applyProtection="0"/>
    <xf numFmtId="0" fontId="174" fillId="0" borderId="589" applyNumberFormat="0" applyFill="0" applyAlignment="0" applyProtection="0"/>
    <xf numFmtId="0" fontId="174" fillId="0" borderId="589" applyNumberFormat="0" applyFill="0" applyAlignment="0" applyProtection="0"/>
    <xf numFmtId="182" fontId="225" fillId="0" borderId="1050" applyFill="0" applyProtection="0"/>
    <xf numFmtId="182" fontId="225" fillId="0" borderId="1050" applyFill="0" applyProtection="0"/>
    <xf numFmtId="0" fontId="216" fillId="59" borderId="586" applyNumberFormat="0" applyAlignment="0" applyProtection="0"/>
    <xf numFmtId="0" fontId="216" fillId="78" borderId="586" applyNumberFormat="0" applyAlignment="0" applyProtection="0"/>
    <xf numFmtId="0" fontId="216" fillId="78" borderId="586" applyNumberFormat="0" applyAlignment="0" applyProtection="0"/>
    <xf numFmtId="0" fontId="216" fillId="78" borderId="586" applyNumberFormat="0" applyAlignment="0" applyProtection="0"/>
    <xf numFmtId="0" fontId="216" fillId="59" borderId="586" applyNumberFormat="0" applyAlignment="0" applyProtection="0"/>
    <xf numFmtId="0" fontId="216" fillId="78" borderId="586" applyNumberFormat="0" applyAlignment="0" applyProtection="0"/>
    <xf numFmtId="0" fontId="176"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203" fillId="81" borderId="585" applyNumberFormat="0" applyFont="0" applyAlignment="0" applyProtection="0"/>
    <xf numFmtId="0" fontId="203" fillId="81" borderId="585" applyNumberFormat="0" applyFont="0" applyAlignment="0" applyProtection="0"/>
    <xf numFmtId="0" fontId="8" fillId="81" borderId="585" applyNumberFormat="0" applyFont="0" applyAlignment="0" applyProtection="0"/>
    <xf numFmtId="0" fontId="176" fillId="81" borderId="585" applyNumberFormat="0" applyFont="0" applyAlignment="0" applyProtection="0"/>
    <xf numFmtId="200" fontId="225" fillId="0" borderId="1050" applyFill="0" applyProtection="0"/>
    <xf numFmtId="200" fontId="225" fillId="0" borderId="1050" applyFill="0" applyProtection="0"/>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153" fillId="0" borderId="636">
      <alignment horizontal="left" vertic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29" fillId="83" borderId="633" applyAlignment="0">
      <alignment horizontal="center"/>
    </xf>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54" fillId="80" borderId="629" applyNumberFormat="0" applyAlignment="0" applyProtection="0"/>
    <xf numFmtId="0" fontId="254" fillId="80"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13" fillId="65" borderId="629" applyNumberFormat="0" applyAlignment="0" applyProtection="0"/>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229" fillId="83" borderId="588" applyAlignment="0">
      <alignment horizontal="center"/>
    </xf>
    <xf numFmtId="0" fontId="153" fillId="0" borderId="600">
      <alignment horizontal="left" vertical="center"/>
    </xf>
    <xf numFmtId="200" fontId="225" fillId="0" borderId="601" applyFill="0" applyProtection="0"/>
    <xf numFmtId="200" fontId="225" fillId="0" borderId="601" applyFill="0" applyProtection="0"/>
    <xf numFmtId="0" fontId="176"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203" fillId="81" borderId="630" applyNumberFormat="0" applyFont="0" applyAlignment="0" applyProtection="0"/>
    <xf numFmtId="0" fontId="8" fillId="81" borderId="630" applyNumberFormat="0" applyFont="0" applyAlignment="0" applyProtection="0"/>
    <xf numFmtId="0" fontId="8"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203" fillId="81" borderId="630" applyNumberFormat="0" applyFont="0" applyAlignment="0" applyProtection="0"/>
    <xf numFmtId="0" fontId="176" fillId="81" borderId="630" applyNumberFormat="0" applyFont="0" applyAlignment="0" applyProtection="0"/>
    <xf numFmtId="0" fontId="176" fillId="81" borderId="630" applyNumberFormat="0" applyFont="0" applyAlignment="0" applyProtection="0"/>
    <xf numFmtId="0" fontId="216" fillId="78" borderId="631" applyNumberFormat="0" applyAlignment="0" applyProtection="0"/>
    <xf numFmtId="0" fontId="216" fillId="59" borderId="631" applyNumberFormat="0" applyAlignment="0" applyProtection="0"/>
    <xf numFmtId="0" fontId="216" fillId="78" borderId="631" applyNumberFormat="0" applyAlignment="0" applyProtection="0"/>
    <xf numFmtId="0" fontId="216" fillId="78" borderId="631" applyNumberFormat="0" applyAlignment="0" applyProtection="0"/>
    <xf numFmtId="0" fontId="216" fillId="78" borderId="631" applyNumberFormat="0" applyAlignment="0" applyProtection="0"/>
    <xf numFmtId="0" fontId="216" fillId="59" borderId="631" applyNumberFormat="0" applyAlignment="0" applyProtection="0"/>
    <xf numFmtId="182" fontId="225" fillId="0" borderId="601" applyFill="0" applyProtection="0"/>
    <xf numFmtId="182" fontId="225" fillId="0" borderId="601" applyFill="0" applyProtection="0"/>
    <xf numFmtId="0" fontId="174" fillId="0" borderId="634" applyNumberFormat="0" applyFill="0" applyAlignment="0" applyProtection="0"/>
    <xf numFmtId="0" fontId="174" fillId="0" borderId="634" applyNumberFormat="0" applyFill="0" applyAlignment="0" applyProtection="0"/>
    <xf numFmtId="0" fontId="174" fillId="0" borderId="634" applyNumberFormat="0" applyFill="0" applyAlignment="0" applyProtection="0"/>
    <xf numFmtId="0" fontId="174" fillId="0" borderId="634" applyNumberFormat="0" applyFill="0" applyAlignment="0" applyProtection="0"/>
    <xf numFmtId="0" fontId="206" fillId="78" borderId="629" applyNumberFormat="0" applyAlignment="0" applyProtection="0"/>
    <xf numFmtId="0" fontId="206" fillId="78" borderId="629" applyNumberFormat="0" applyAlignment="0" applyProtection="0"/>
    <xf numFmtId="0" fontId="206" fillId="78" borderId="629" applyNumberFormat="0" applyAlignment="0" applyProtection="0"/>
    <xf numFmtId="0" fontId="206" fillId="78" borderId="629" applyNumberFormat="0" applyAlignment="0" applyProtection="0"/>
    <xf numFmtId="0" fontId="238" fillId="59" borderId="629" applyNumberFormat="0" applyAlignment="0" applyProtection="0"/>
    <xf numFmtId="0" fontId="238" fillId="59" borderId="629" applyNumberFormat="0" applyAlignment="0" applyProtection="0"/>
    <xf numFmtId="0" fontId="206" fillId="78" borderId="629" applyNumberFormat="0" applyAlignment="0" applyProtection="0"/>
    <xf numFmtId="0" fontId="206" fillId="78" borderId="629" applyNumberFormat="0" applyAlignment="0" applyProtection="0"/>
    <xf numFmtId="0" fontId="249" fillId="59" borderId="629" applyNumberFormat="0" applyAlignment="0" applyProtection="0"/>
    <xf numFmtId="0" fontId="249" fillId="59" borderId="629" applyNumberFormat="0" applyAlignment="0" applyProtection="0"/>
    <xf numFmtId="0" fontId="203" fillId="0" borderId="0"/>
    <xf numFmtId="43" fontId="203" fillId="0" borderId="0" applyFont="0" applyFill="0" applyBorder="0" applyAlignment="0" applyProtection="0"/>
    <xf numFmtId="9" fontId="203" fillId="0" borderId="0" applyFont="0" applyFill="0" applyBorder="0" applyAlignment="0" applyProtection="0"/>
    <xf numFmtId="0" fontId="213" fillId="80" borderId="629" applyNumberFormat="0" applyAlignment="0" applyProtection="0"/>
    <xf numFmtId="0" fontId="213" fillId="80" borderId="629" applyNumberFormat="0" applyAlignment="0" applyProtection="0"/>
    <xf numFmtId="0" fontId="213" fillId="65" borderId="629" applyNumberFormat="0" applyAlignment="0" applyProtection="0"/>
    <xf numFmtId="0" fontId="203" fillId="81" borderId="585" applyNumberFormat="0" applyFont="0" applyAlignment="0" applyProtection="0"/>
    <xf numFmtId="0" fontId="213" fillId="65" borderId="629" applyNumberFormat="0" applyAlignment="0" applyProtection="0"/>
    <xf numFmtId="0" fontId="213" fillId="65"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81" borderId="585"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81" borderId="585" applyNumberFormat="0" applyFont="0" applyAlignment="0" applyProtection="0"/>
    <xf numFmtId="0" fontId="8" fillId="81" borderId="585" applyNumberFormat="0" applyFont="0" applyAlignment="0" applyProtection="0"/>
    <xf numFmtId="0" fontId="203" fillId="81" borderId="585" applyNumberFormat="0" applyFont="0" applyAlignment="0" applyProtection="0"/>
    <xf numFmtId="0" fontId="176" fillId="81" borderId="585" applyNumberFormat="0" applyFont="0" applyAlignment="0" applyProtection="0"/>
    <xf numFmtId="0" fontId="8" fillId="81" borderId="585" applyNumberFormat="0" applyFont="0" applyAlignment="0" applyProtection="0"/>
    <xf numFmtId="0" fontId="8" fillId="81" borderId="585" applyNumberFormat="0" applyFont="0" applyAlignment="0" applyProtection="0"/>
    <xf numFmtId="0" fontId="213" fillId="65" borderId="629" applyNumberFormat="0" applyAlignment="0" applyProtection="0"/>
    <xf numFmtId="43" fontId="1" fillId="0" borderId="0" applyFont="0" applyFill="0" applyBorder="0" applyAlignment="0" applyProtection="0"/>
    <xf numFmtId="9" fontId="1" fillId="0" borderId="0" applyFont="0" applyFill="0" applyBorder="0" applyAlignment="0" applyProtection="0"/>
    <xf numFmtId="0" fontId="203" fillId="81" borderId="585" applyNumberFormat="0" applyFont="0" applyAlignment="0" applyProtection="0"/>
    <xf numFmtId="0" fontId="213" fillId="80"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3" fillId="80" borderId="6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3" fillId="65" borderId="629" applyNumberFormat="0" applyAlignment="0" applyProtection="0"/>
    <xf numFmtId="0" fontId="8" fillId="81" borderId="585" applyNumberFormat="0" applyFont="0" applyAlignment="0" applyProtection="0"/>
    <xf numFmtId="0" fontId="176" fillId="81" borderId="585" applyNumberFormat="0" applyFont="0" applyAlignment="0" applyProtection="0"/>
    <xf numFmtId="0" fontId="213" fillId="65" borderId="629" applyNumberFormat="0" applyAlignment="0" applyProtection="0"/>
    <xf numFmtId="0" fontId="8" fillId="0" borderId="0"/>
    <xf numFmtId="0" fontId="203" fillId="0" borderId="0"/>
    <xf numFmtId="9" fontId="203" fillId="0" borderId="0" applyFont="0" applyFill="0" applyBorder="0" applyAlignment="0" applyProtection="0"/>
    <xf numFmtId="200" fontId="225" fillId="0" borderId="556" applyFill="0" applyProtection="0"/>
    <xf numFmtId="0" fontId="153" fillId="0" borderId="555">
      <alignment horizontal="left" vertical="center"/>
    </xf>
    <xf numFmtId="9" fontId="203" fillId="0" borderId="0" applyFont="0" applyFill="0" applyBorder="0" applyAlignment="0" applyProtection="0"/>
    <xf numFmtId="43" fontId="203" fillId="0" borderId="0" applyFont="0" applyFill="0" applyBorder="0" applyAlignment="0" applyProtection="0"/>
    <xf numFmtId="0" fontId="203" fillId="0" borderId="0"/>
    <xf numFmtId="182" fontId="225" fillId="0" borderId="556" applyFill="0" applyProtection="0"/>
    <xf numFmtId="182" fontId="225" fillId="0" borderId="556" applyFill="0" applyProtection="0"/>
    <xf numFmtId="200" fontId="225" fillId="0" borderId="556" applyFill="0" applyProtection="0"/>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29" fillId="83" borderId="543" applyAlignment="0">
      <alignment horizontal="center"/>
    </xf>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54" fillId="80" borderId="584" applyNumberFormat="0" applyAlignment="0" applyProtection="0"/>
    <xf numFmtId="0" fontId="254"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80"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213" fillId="65" borderId="584" applyNumberFormat="0" applyAlignment="0" applyProtection="0"/>
    <xf numFmtId="0" fontId="176" fillId="81" borderId="540" applyNumberFormat="0" applyFont="0" applyAlignment="0" applyProtection="0"/>
    <xf numFmtId="0" fontId="8" fillId="81" borderId="540" applyNumberFormat="0" applyFont="0" applyAlignment="0" applyProtection="0"/>
    <xf numFmtId="0" fontId="174" fillId="0" borderId="544" applyNumberFormat="0" applyFill="0" applyAlignment="0" applyProtection="0"/>
    <xf numFmtId="0" fontId="174" fillId="0" borderId="544" applyNumberFormat="0" applyFill="0" applyAlignment="0" applyProtection="0"/>
    <xf numFmtId="0" fontId="174" fillId="0" borderId="544" applyNumberFormat="0" applyFill="0" applyAlignment="0" applyProtection="0"/>
    <xf numFmtId="0" fontId="203" fillId="0" borderId="0"/>
    <xf numFmtId="43" fontId="203" fillId="0" borderId="0" applyFont="0" applyFill="0" applyBorder="0" applyAlignment="0" applyProtection="0"/>
    <xf numFmtId="9" fontId="203" fillId="0" borderId="0" applyFont="0" applyFill="0" applyBorder="0" applyAlignment="0" applyProtection="0"/>
    <xf numFmtId="0" fontId="1" fillId="0" borderId="0"/>
    <xf numFmtId="0" fontId="203" fillId="81" borderId="540" applyNumberFormat="0" applyFont="0" applyAlignment="0" applyProtection="0"/>
    <xf numFmtId="0" fontId="176" fillId="81" borderId="54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81" borderId="540" applyNumberFormat="0" applyFont="0" applyAlignment="0" applyProtection="0"/>
    <xf numFmtId="0" fontId="206" fillId="78" borderId="584" applyNumberFormat="0" applyAlignment="0" applyProtection="0"/>
    <xf numFmtId="0" fontId="216" fillId="59" borderId="541" applyNumberFormat="0" applyAlignment="0" applyProtection="0"/>
    <xf numFmtId="0" fontId="206" fillId="78" borderId="584" applyNumberFormat="0" applyAlignment="0" applyProtection="0"/>
    <xf numFmtId="0" fontId="8" fillId="81" borderId="540" applyNumberFormat="0" applyFont="0" applyAlignment="0" applyProtection="0"/>
    <xf numFmtId="0" fontId="216" fillId="78" borderId="541" applyNumberFormat="0" applyAlignment="0" applyProtection="0"/>
    <xf numFmtId="0" fontId="206" fillId="78" borderId="584" applyNumberFormat="0" applyAlignment="0" applyProtection="0"/>
    <xf numFmtId="0" fontId="203" fillId="81" borderId="540" applyNumberFormat="0" applyFont="0" applyAlignment="0" applyProtection="0"/>
    <xf numFmtId="0" fontId="8" fillId="81" borderId="540" applyNumberFormat="0" applyFont="0" applyAlignment="0" applyProtection="0"/>
    <xf numFmtId="0" fontId="206" fillId="78" borderId="584" applyNumberFormat="0" applyAlignment="0" applyProtection="0"/>
    <xf numFmtId="0" fontId="249" fillId="59" borderId="584" applyNumberFormat="0" applyAlignment="0" applyProtection="0"/>
    <xf numFmtId="0" fontId="176" fillId="81" borderId="540" applyNumberFormat="0" applyFont="0" applyAlignment="0" applyProtection="0"/>
    <xf numFmtId="0" fontId="216" fillId="78" borderId="541" applyNumberFormat="0" applyAlignment="0" applyProtection="0"/>
    <xf numFmtId="0" fontId="238" fillId="59" borderId="584" applyNumberFormat="0" applyAlignment="0" applyProtection="0"/>
    <xf numFmtId="0" fontId="8" fillId="81" borderId="540" applyNumberFormat="0" applyFont="0" applyAlignment="0" applyProtection="0"/>
    <xf numFmtId="0" fontId="203" fillId="81" borderId="540" applyNumberFormat="0" applyFont="0" applyAlignment="0" applyProtection="0"/>
    <xf numFmtId="0" fontId="203" fillId="81" borderId="540" applyNumberFormat="0" applyFont="0" applyAlignment="0" applyProtection="0"/>
    <xf numFmtId="0" fontId="206" fillId="78" borderId="584" applyNumberFormat="0" applyAlignment="0" applyProtection="0"/>
    <xf numFmtId="0" fontId="8" fillId="81" borderId="540" applyNumberFormat="0" applyFont="0" applyAlignment="0" applyProtection="0"/>
    <xf numFmtId="0" fontId="8" fillId="81" borderId="540" applyNumberFormat="0" applyFont="0" applyAlignment="0" applyProtection="0"/>
    <xf numFmtId="0" fontId="176" fillId="81" borderId="540" applyNumberFormat="0" applyFont="0" applyAlignment="0" applyProtection="0"/>
    <xf numFmtId="0" fontId="216" fillId="78" borderId="541" applyNumberFormat="0" applyAlignment="0" applyProtection="0"/>
    <xf numFmtId="0" fontId="249" fillId="59" borderId="584" applyNumberFormat="0" applyAlignment="0" applyProtection="0"/>
    <xf numFmtId="0" fontId="216" fillId="78" borderId="541" applyNumberFormat="0" applyAlignment="0" applyProtection="0"/>
    <xf numFmtId="0" fontId="176" fillId="81" borderId="540" applyNumberFormat="0" applyFont="0" applyAlignment="0" applyProtection="0"/>
    <xf numFmtId="0" fontId="203" fillId="81" borderId="540" applyNumberFormat="0" applyFont="0" applyAlignment="0" applyProtection="0"/>
    <xf numFmtId="0" fontId="216" fillId="59" borderId="541" applyNumberFormat="0" applyAlignment="0" applyProtection="0"/>
    <xf numFmtId="0" fontId="176" fillId="81" borderId="540" applyNumberFormat="0" applyFont="0" applyAlignment="0" applyProtection="0"/>
    <xf numFmtId="0" fontId="206" fillId="78" borderId="584" applyNumberFormat="0" applyAlignment="0" applyProtection="0"/>
    <xf numFmtId="0" fontId="203" fillId="81" borderId="540" applyNumberFormat="0" applyFont="0" applyAlignment="0" applyProtection="0"/>
    <xf numFmtId="0" fontId="238" fillId="59" borderId="584" applyNumberFormat="0" applyAlignment="0" applyProtection="0"/>
    <xf numFmtId="0" fontId="8" fillId="0" borderId="0"/>
    <xf numFmtId="43" fontId="203"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0" fontId="155" fillId="0" borderId="0"/>
    <xf numFmtId="0" fontId="1" fillId="0" borderId="0"/>
    <xf numFmtId="0" fontId="1" fillId="0" borderId="0"/>
    <xf numFmtId="0" fontId="155" fillId="0" borderId="0"/>
    <xf numFmtId="43" fontId="155" fillId="0" borderId="0" applyFont="0" applyFill="0" applyBorder="0" applyAlignment="0" applyProtection="0"/>
    <xf numFmtId="0" fontId="1" fillId="0" borderId="0"/>
    <xf numFmtId="43" fontId="155" fillId="0" borderId="0" applyFont="0" applyFill="0" applyBorder="0" applyAlignment="0" applyProtection="0"/>
    <xf numFmtId="0" fontId="1" fillId="0" borderId="0"/>
    <xf numFmtId="0" fontId="1" fillId="0" borderId="0"/>
    <xf numFmtId="43" fontId="155" fillId="0" borderId="0" applyFont="0" applyFill="0" applyBorder="0" applyAlignment="0" applyProtection="0"/>
    <xf numFmtId="0" fontId="1"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43" fillId="0" borderId="0"/>
    <xf numFmtId="43" fontId="43" fillId="0" borderId="0" applyFont="0" applyFill="0" applyBorder="0" applyAlignment="0" applyProtection="0"/>
    <xf numFmtId="3" fontId="8" fillId="0" borderId="0" applyFont="0" applyFill="0" applyBorder="0" applyAlignment="0" applyProtection="0"/>
    <xf numFmtId="0" fontId="245" fillId="0" borderId="0" applyProtection="0"/>
    <xf numFmtId="0" fontId="263" fillId="0" borderId="0"/>
    <xf numFmtId="0" fontId="8"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8" fillId="0" borderId="164" applyNumberFormat="0" applyFill="0" applyAlignment="0" applyProtection="0"/>
    <xf numFmtId="0" fontId="159" fillId="0" borderId="165" applyNumberFormat="0" applyFill="0" applyAlignment="0" applyProtection="0"/>
    <xf numFmtId="0" fontId="160" fillId="0" borderId="166" applyNumberFormat="0" applyFill="0" applyAlignment="0" applyProtection="0"/>
    <xf numFmtId="0" fontId="160" fillId="0" borderId="0" applyNumberFormat="0" applyFill="0" applyBorder="0" applyAlignment="0" applyProtection="0"/>
    <xf numFmtId="0" fontId="161" fillId="28" borderId="0" applyNumberFormat="0" applyBorder="0" applyAlignment="0" applyProtection="0"/>
    <xf numFmtId="0" fontId="162" fillId="29" borderId="0" applyNumberFormat="0" applyBorder="0" applyAlignment="0" applyProtection="0"/>
    <xf numFmtId="0" fontId="163" fillId="30" borderId="0" applyNumberFormat="0" applyBorder="0" applyAlignment="0" applyProtection="0"/>
    <xf numFmtId="0" fontId="164" fillId="31" borderId="167" applyNumberFormat="0" applyAlignment="0" applyProtection="0"/>
    <xf numFmtId="0" fontId="165" fillId="32" borderId="168" applyNumberFormat="0" applyAlignment="0" applyProtection="0"/>
    <xf numFmtId="0" fontId="166" fillId="32" borderId="167" applyNumberFormat="0" applyAlignment="0" applyProtection="0"/>
    <xf numFmtId="0" fontId="167" fillId="0" borderId="169" applyNumberFormat="0" applyFill="0" applyAlignment="0" applyProtection="0"/>
    <xf numFmtId="0" fontId="168" fillId="33" borderId="170" applyNumberFormat="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23" fillId="0" borderId="172" applyNumberFormat="0" applyFill="0" applyAlignment="0" applyProtection="0"/>
    <xf numFmtId="0" fontId="13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32" fillId="46" borderId="0" applyNumberFormat="0" applyBorder="0" applyAlignment="0" applyProtection="0"/>
    <xf numFmtId="0" fontId="13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32" fillId="50" borderId="0" applyNumberFormat="0" applyBorder="0" applyAlignment="0" applyProtection="0"/>
    <xf numFmtId="0" fontId="13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32" fillId="54" borderId="0" applyNumberFormat="0" applyBorder="0" applyAlignment="0" applyProtection="0"/>
    <xf numFmtId="0" fontId="13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32" fillId="58"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57" fillId="0" borderId="0" applyNumberFormat="0" applyFill="0" applyBorder="0" applyAlignment="0" applyProtection="0"/>
    <xf numFmtId="0" fontId="8"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37" fillId="0" borderId="164" applyNumberFormat="0" applyFill="0" applyAlignment="0" applyProtection="0"/>
    <xf numFmtId="0" fontId="138" fillId="0" borderId="165" applyNumberFormat="0" applyFill="0" applyAlignment="0" applyProtection="0"/>
    <xf numFmtId="0" fontId="139" fillId="0" borderId="166" applyNumberFormat="0" applyFill="0" applyAlignment="0" applyProtection="0"/>
    <xf numFmtId="0" fontId="139" fillId="0" borderId="0" applyNumberFormat="0" applyFill="0" applyBorder="0" applyAlignment="0" applyProtection="0"/>
    <xf numFmtId="0" fontId="140" fillId="28" borderId="0" applyNumberFormat="0" applyBorder="0" applyAlignment="0" applyProtection="0"/>
    <xf numFmtId="0" fontId="141" fillId="29" borderId="0" applyNumberFormat="0" applyBorder="0" applyAlignment="0" applyProtection="0"/>
    <xf numFmtId="0" fontId="142" fillId="30" borderId="0" applyNumberFormat="0" applyBorder="0" applyAlignment="0" applyProtection="0"/>
    <xf numFmtId="0" fontId="143" fillId="31" borderId="167" applyNumberFormat="0" applyAlignment="0" applyProtection="0"/>
    <xf numFmtId="0" fontId="144" fillId="32" borderId="168" applyNumberFormat="0" applyAlignment="0" applyProtection="0"/>
    <xf numFmtId="0" fontId="145" fillId="32" borderId="167" applyNumberFormat="0" applyAlignment="0" applyProtection="0"/>
    <xf numFmtId="0" fontId="146" fillId="0" borderId="169" applyNumberFormat="0" applyFill="0" applyAlignment="0" applyProtection="0"/>
    <xf numFmtId="0" fontId="147" fillId="33" borderId="170" applyNumberFormat="0" applyAlignment="0" applyProtection="0"/>
    <xf numFmtId="0" fontId="148" fillId="0" borderId="0" applyNumberFormat="0" applyFill="0" applyBorder="0" applyAlignment="0" applyProtection="0"/>
    <xf numFmtId="0" fontId="1" fillId="34" borderId="171" applyNumberFormat="0" applyFont="0" applyAlignment="0" applyProtection="0"/>
    <xf numFmtId="0" fontId="149" fillId="0" borderId="0" applyNumberFormat="0" applyFill="0" applyBorder="0" applyAlignment="0" applyProtection="0"/>
    <xf numFmtId="0" fontId="150" fillId="0" borderId="172" applyNumberFormat="0" applyFill="0" applyAlignment="0" applyProtection="0"/>
    <xf numFmtId="0" fontId="15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51" fillId="38" borderId="0" applyNumberFormat="0" applyBorder="0" applyAlignment="0" applyProtection="0"/>
    <xf numFmtId="0" fontId="15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51" fillId="42" borderId="0" applyNumberFormat="0" applyBorder="0" applyAlignment="0" applyProtection="0"/>
    <xf numFmtId="0" fontId="15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51" fillId="46" borderId="0" applyNumberFormat="0" applyBorder="0" applyAlignment="0" applyProtection="0"/>
    <xf numFmtId="0" fontId="15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1" fillId="50" borderId="0" applyNumberFormat="0" applyBorder="0" applyAlignment="0" applyProtection="0"/>
    <xf numFmtId="0" fontId="15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1" fillId="54" borderId="0" applyNumberFormat="0" applyBorder="0" applyAlignment="0" applyProtection="0"/>
    <xf numFmtId="0" fontId="15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51" fillId="58" borderId="0" applyNumberFormat="0" applyBorder="0" applyAlignment="0" applyProtection="0"/>
    <xf numFmtId="43" fontId="2" fillId="0" borderId="0" applyFont="0" applyFill="0" applyBorder="0" applyAlignment="0" applyProtection="0"/>
    <xf numFmtId="0" fontId="1" fillId="0" borderId="0"/>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34" borderId="171"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55" fillId="0" borderId="0"/>
    <xf numFmtId="0" fontId="1" fillId="0" borderId="0"/>
    <xf numFmtId="43" fontId="1" fillId="0" borderId="0" applyFont="0" applyFill="0" applyBorder="0" applyAlignment="0" applyProtection="0"/>
    <xf numFmtId="43" fontId="155" fillId="0" borderId="0" applyFont="0" applyFill="0" applyBorder="0" applyAlignment="0" applyProtection="0"/>
    <xf numFmtId="44" fontId="155" fillId="0" borderId="0" applyFont="0" applyFill="0" applyBorder="0" applyAlignment="0" applyProtection="0"/>
    <xf numFmtId="0" fontId="171" fillId="0" borderId="0" applyNumberFormat="0" applyFill="0" applyBorder="0" applyAlignment="0" applyProtection="0">
      <alignment vertical="top"/>
      <protection locked="0"/>
    </xf>
    <xf numFmtId="0" fontId="1" fillId="0" borderId="0"/>
    <xf numFmtId="0" fontId="1" fillId="0" borderId="0"/>
    <xf numFmtId="0" fontId="155"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55" fillId="0" borderId="0"/>
    <xf numFmtId="0" fontId="155" fillId="0" borderId="0"/>
  </cellStyleXfs>
  <cellXfs count="252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3" fontId="9" fillId="0" borderId="22" xfId="3" applyNumberFormat="1" applyFont="1" applyBorder="1" applyAlignment="1" applyProtection="1">
      <alignment horizontal="left" vertical="center" wrapText="1"/>
      <protection locked="0"/>
    </xf>
    <xf numFmtId="49" fontId="2" fillId="0" borderId="155" xfId="17" applyNumberFormat="1" applyFont="1" applyBorder="1" applyAlignment="1" applyProtection="1">
      <alignment horizontal="center" vertical="top"/>
      <protection locked="0"/>
    </xf>
    <xf numFmtId="0" fontId="52" fillId="0" borderId="0" xfId="3" applyFont="1" applyAlignment="1" applyProtection="1">
      <alignment horizontal="center" vertical="center"/>
    </xf>
    <xf numFmtId="0" fontId="55" fillId="0" borderId="0" xfId="3" applyFont="1" applyAlignment="1" applyProtection="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0" xfId="3" applyFont="1" applyAlignment="1" applyProtection="1">
      <alignment horizontal="justify"/>
      <protection locked="0"/>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justify"/>
      <protection locked="0"/>
    </xf>
  </cellXfs>
  <cellStyles count="44300">
    <cellStyle name="1" xfId="923"/>
    <cellStyle name="10" xfId="924"/>
    <cellStyle name="2" xfId="925"/>
    <cellStyle name="20% - Accent1" xfId="34" builtinId="30" customBuiltin="1"/>
    <cellStyle name="20% - Accent1 2" xfId="99"/>
    <cellStyle name="20% - Accent1 2 2" xfId="926"/>
    <cellStyle name="20% - Accent1 2 2 2" xfId="44246"/>
    <cellStyle name="20% - Accent1 2 3" xfId="43118"/>
    <cellStyle name="20% - Accent1 2 4" xfId="44220"/>
    <cellStyle name="20% - Accent1 2 5" xfId="246"/>
    <cellStyle name="20% - Accent1 3" xfId="882"/>
    <cellStyle name="20% - Accent1 3 2" xfId="3200"/>
    <cellStyle name="20% - Accent1 3 2 2" xfId="41223"/>
    <cellStyle name="20% - Accent1 3 2 3" xfId="44259"/>
    <cellStyle name="20% - Accent1 3 3" xfId="6010"/>
    <cellStyle name="20% - Accent1 3 3 2" xfId="43145"/>
    <cellStyle name="20% - Accent1 3 4" xfId="44157"/>
    <cellStyle name="20% - Accent1 4" xfId="9569"/>
    <cellStyle name="20% - Accent1 4 2" xfId="43159"/>
    <cellStyle name="20% - Accent1 5" xfId="42983"/>
    <cellStyle name="20% - Accent1 5 2" xfId="43173"/>
    <cellStyle name="20% - Accent1 6" xfId="43187"/>
    <cellStyle name="20% - Accent2" xfId="37" builtinId="34" customBuiltin="1"/>
    <cellStyle name="20% - Accent2 2" xfId="103"/>
    <cellStyle name="20% - Accent2 2 2" xfId="927"/>
    <cellStyle name="20% - Accent2 2 2 2" xfId="44248"/>
    <cellStyle name="20% - Accent2 2 3" xfId="43117"/>
    <cellStyle name="20% - Accent2 2 4" xfId="44224"/>
    <cellStyle name="20% - Accent2 2 5" xfId="247"/>
    <cellStyle name="20% - Accent2 3" xfId="883"/>
    <cellStyle name="20% - Accent2 3 2" xfId="3201"/>
    <cellStyle name="20% - Accent2 3 2 2" xfId="41224"/>
    <cellStyle name="20% - Accent2 3 2 3" xfId="44261"/>
    <cellStyle name="20% - Accent2 3 3" xfId="6011"/>
    <cellStyle name="20% - Accent2 3 3 2" xfId="43147"/>
    <cellStyle name="20% - Accent2 3 4" xfId="44161"/>
    <cellStyle name="20% - Accent2 4" xfId="9570"/>
    <cellStyle name="20% - Accent2 4 2" xfId="43161"/>
    <cellStyle name="20% - Accent2 5" xfId="42987"/>
    <cellStyle name="20% - Accent2 5 2" xfId="43175"/>
    <cellStyle name="20% - Accent2 6" xfId="43189"/>
    <cellStyle name="20% - Accent3" xfId="40" builtinId="38" customBuiltin="1"/>
    <cellStyle name="20% - Accent3 2" xfId="107"/>
    <cellStyle name="20% - Accent3 2 2" xfId="928"/>
    <cellStyle name="20% - Accent3 2 2 2" xfId="44250"/>
    <cellStyle name="20% - Accent3 2 3" xfId="43116"/>
    <cellStyle name="20% - Accent3 2 4" xfId="44228"/>
    <cellStyle name="20% - Accent3 2 5" xfId="248"/>
    <cellStyle name="20% - Accent3 3" xfId="884"/>
    <cellStyle name="20% - Accent3 3 2" xfId="3202"/>
    <cellStyle name="20% - Accent3 3 2 2" xfId="41225"/>
    <cellStyle name="20% - Accent3 3 2 3" xfId="44262"/>
    <cellStyle name="20% - Accent3 3 3" xfId="6012"/>
    <cellStyle name="20% - Accent3 3 3 2" xfId="43149"/>
    <cellStyle name="20% - Accent3 3 4" xfId="44165"/>
    <cellStyle name="20% - Accent3 4" xfId="9571"/>
    <cellStyle name="20% - Accent3 4 2" xfId="43163"/>
    <cellStyle name="20% - Accent3 5" xfId="42991"/>
    <cellStyle name="20% - Accent3 5 2" xfId="43177"/>
    <cellStyle name="20% - Accent3 6" xfId="43191"/>
    <cellStyle name="20% - Accent4" xfId="43" builtinId="42" customBuiltin="1"/>
    <cellStyle name="20% - Accent4 2" xfId="111"/>
    <cellStyle name="20% - Accent4 2 2" xfId="929"/>
    <cellStyle name="20% - Accent4 2 2 2" xfId="44252"/>
    <cellStyle name="20% - Accent4 2 3" xfId="43115"/>
    <cellStyle name="20% - Accent4 2 4" xfId="44232"/>
    <cellStyle name="20% - Accent4 2 5" xfId="249"/>
    <cellStyle name="20% - Accent4 3" xfId="885"/>
    <cellStyle name="20% - Accent4 3 2" xfId="3203"/>
    <cellStyle name="20% - Accent4 3 2 2" xfId="41226"/>
    <cellStyle name="20% - Accent4 3 2 3" xfId="44264"/>
    <cellStyle name="20% - Accent4 3 3" xfId="6013"/>
    <cellStyle name="20% - Accent4 3 3 2" xfId="43151"/>
    <cellStyle name="20% - Accent4 3 4" xfId="44169"/>
    <cellStyle name="20% - Accent4 4" xfId="9572"/>
    <cellStyle name="20% - Accent4 4 2" xfId="43165"/>
    <cellStyle name="20% - Accent4 5" xfId="42995"/>
    <cellStyle name="20% - Accent4 5 2" xfId="43179"/>
    <cellStyle name="20% - Accent4 6" xfId="43193"/>
    <cellStyle name="20% - Accent5" xfId="46" builtinId="46" customBuiltin="1"/>
    <cellStyle name="20% - Accent5 2" xfId="115"/>
    <cellStyle name="20% - Accent5 2 2" xfId="930"/>
    <cellStyle name="20% - Accent5 2 2 2" xfId="2811"/>
    <cellStyle name="20% - Accent5 2 2 3" xfId="23812"/>
    <cellStyle name="20% - Accent5 2 2 4" xfId="2091"/>
    <cellStyle name="20% - Accent5 2 2 5" xfId="44254"/>
    <cellStyle name="20% - Accent5 2 3" xfId="3204"/>
    <cellStyle name="20% - Accent5 2 3 2" xfId="43114"/>
    <cellStyle name="20% - Accent5 2 4" xfId="44236"/>
    <cellStyle name="20% - Accent5 2 5" xfId="250"/>
    <cellStyle name="20% - Accent5 3" xfId="3205"/>
    <cellStyle name="20% - Accent5 3 2" xfId="43153"/>
    <cellStyle name="20% - Accent5 3 3" xfId="44173"/>
    <cellStyle name="20% - Accent5 4" xfId="42999"/>
    <cellStyle name="20% - Accent5 4 2" xfId="43167"/>
    <cellStyle name="20% - Accent5 5" xfId="43181"/>
    <cellStyle name="20% - Accent5 6" xfId="43195"/>
    <cellStyle name="20% - Accent6" xfId="49" builtinId="50" customBuiltin="1"/>
    <cellStyle name="20% - Accent6 2" xfId="119"/>
    <cellStyle name="20% - Accent6 2 2" xfId="931"/>
    <cellStyle name="20% - Accent6 2 2 2" xfId="44256"/>
    <cellStyle name="20% - Accent6 2 3" xfId="43113"/>
    <cellStyle name="20% - Accent6 2 4" xfId="44240"/>
    <cellStyle name="20% - Accent6 2 5" xfId="251"/>
    <cellStyle name="20% - Accent6 3" xfId="886"/>
    <cellStyle name="20% - Accent6 3 2" xfId="3206"/>
    <cellStyle name="20% - Accent6 3 2 2" xfId="41227"/>
    <cellStyle name="20% - Accent6 3 2 3" xfId="44267"/>
    <cellStyle name="20% - Accent6 3 3" xfId="6014"/>
    <cellStyle name="20% - Accent6 3 3 2" xfId="43155"/>
    <cellStyle name="20% - Accent6 3 4" xfId="44177"/>
    <cellStyle name="20% - Accent6 4" xfId="9573"/>
    <cellStyle name="20% - Accent6 4 2" xfId="43169"/>
    <cellStyle name="20% - Accent6 5" xfId="43003"/>
    <cellStyle name="20% - Accent6 5 2" xfId="43183"/>
    <cellStyle name="20% - Accent6 6" xfId="43197"/>
    <cellStyle name="3" xfId="932"/>
    <cellStyle name="4" xfId="933"/>
    <cellStyle name="40% - Accent1" xfId="35" builtinId="31" customBuiltin="1"/>
    <cellStyle name="40% - Accent1 2" xfId="100"/>
    <cellStyle name="40% - Accent1 2 2" xfId="934"/>
    <cellStyle name="40% - Accent1 2 2 2" xfId="44247"/>
    <cellStyle name="40% - Accent1 2 3" xfId="43112"/>
    <cellStyle name="40% - Accent1 2 4" xfId="44221"/>
    <cellStyle name="40% - Accent1 2 5" xfId="252"/>
    <cellStyle name="40% - Accent1 3" xfId="887"/>
    <cellStyle name="40% - Accent1 3 2" xfId="3207"/>
    <cellStyle name="40% - Accent1 3 2 2" xfId="41228"/>
    <cellStyle name="40% - Accent1 3 2 3" xfId="44260"/>
    <cellStyle name="40% - Accent1 3 3" xfId="6015"/>
    <cellStyle name="40% - Accent1 3 3 2" xfId="43146"/>
    <cellStyle name="40% - Accent1 3 4" xfId="44158"/>
    <cellStyle name="40% - Accent1 4" xfId="9574"/>
    <cellStyle name="40% - Accent1 4 2" xfId="43160"/>
    <cellStyle name="40% - Accent1 5" xfId="42984"/>
    <cellStyle name="40% - Accent1 5 2" xfId="43174"/>
    <cellStyle name="40% - Accent1 6" xfId="43188"/>
    <cellStyle name="40% - Accent2" xfId="38" builtinId="35" customBuiltin="1"/>
    <cellStyle name="40% - Accent2 2" xfId="104"/>
    <cellStyle name="40% - Accent2 2 2" xfId="935"/>
    <cellStyle name="40% - Accent2 2 2 2" xfId="2812"/>
    <cellStyle name="40% - Accent2 2 2 3" xfId="23813"/>
    <cellStyle name="40% - Accent2 2 2 4" xfId="2092"/>
    <cellStyle name="40% - Accent2 2 2 5" xfId="44249"/>
    <cellStyle name="40% - Accent2 2 3" xfId="3208"/>
    <cellStyle name="40% - Accent2 2 3 2" xfId="43111"/>
    <cellStyle name="40% - Accent2 2 4" xfId="44225"/>
    <cellStyle name="40% - Accent2 2 5" xfId="253"/>
    <cellStyle name="40% - Accent2 3" xfId="3209"/>
    <cellStyle name="40% - Accent2 3 2" xfId="43148"/>
    <cellStyle name="40% - Accent2 3 3" xfId="44162"/>
    <cellStyle name="40% - Accent2 4" xfId="42988"/>
    <cellStyle name="40% - Accent2 4 2" xfId="43162"/>
    <cellStyle name="40% - Accent2 5" xfId="43176"/>
    <cellStyle name="40% - Accent2 6" xfId="43190"/>
    <cellStyle name="40% - Accent3" xfId="41" builtinId="39" customBuiltin="1"/>
    <cellStyle name="40% - Accent3 2" xfId="108"/>
    <cellStyle name="40% - Accent3 2 2" xfId="936"/>
    <cellStyle name="40% - Accent3 2 2 2" xfId="44251"/>
    <cellStyle name="40% - Accent3 2 3" xfId="43110"/>
    <cellStyle name="40% - Accent3 2 4" xfId="44229"/>
    <cellStyle name="40% - Accent3 2 5" xfId="254"/>
    <cellStyle name="40% - Accent3 3" xfId="888"/>
    <cellStyle name="40% - Accent3 3 2" xfId="3210"/>
    <cellStyle name="40% - Accent3 3 2 2" xfId="41229"/>
    <cellStyle name="40% - Accent3 3 2 3" xfId="44263"/>
    <cellStyle name="40% - Accent3 3 3" xfId="6016"/>
    <cellStyle name="40% - Accent3 3 3 2" xfId="43150"/>
    <cellStyle name="40% - Accent3 3 4" xfId="44166"/>
    <cellStyle name="40% - Accent3 4" xfId="9575"/>
    <cellStyle name="40% - Accent3 4 2" xfId="43164"/>
    <cellStyle name="40% - Accent3 5" xfId="42992"/>
    <cellStyle name="40% - Accent3 5 2" xfId="43178"/>
    <cellStyle name="40% - Accent3 6" xfId="43192"/>
    <cellStyle name="40% - Accent4" xfId="44" builtinId="43" customBuiltin="1"/>
    <cellStyle name="40% - Accent4 2" xfId="112"/>
    <cellStyle name="40% - Accent4 2 2" xfId="937"/>
    <cellStyle name="40% - Accent4 2 2 2" xfId="44253"/>
    <cellStyle name="40% - Accent4 2 3" xfId="43109"/>
    <cellStyle name="40% - Accent4 2 4" xfId="44233"/>
    <cellStyle name="40% - Accent4 2 5" xfId="255"/>
    <cellStyle name="40% - Accent4 3" xfId="889"/>
    <cellStyle name="40% - Accent4 3 2" xfId="3211"/>
    <cellStyle name="40% - Accent4 3 2 2" xfId="41230"/>
    <cellStyle name="40% - Accent4 3 2 3" xfId="44265"/>
    <cellStyle name="40% - Accent4 3 3" xfId="6017"/>
    <cellStyle name="40% - Accent4 3 3 2" xfId="43152"/>
    <cellStyle name="40% - Accent4 3 4" xfId="44170"/>
    <cellStyle name="40% - Accent4 4" xfId="9576"/>
    <cellStyle name="40% - Accent4 4 2" xfId="43166"/>
    <cellStyle name="40% - Accent4 5" xfId="42996"/>
    <cellStyle name="40% - Accent4 5 2" xfId="43180"/>
    <cellStyle name="40% - Accent4 6" xfId="43194"/>
    <cellStyle name="40% - Accent5" xfId="47" builtinId="47" customBuiltin="1"/>
    <cellStyle name="40% - Accent5 2" xfId="116"/>
    <cellStyle name="40% - Accent5 2 2" xfId="938"/>
    <cellStyle name="40% - Accent5 2 2 2" xfId="44255"/>
    <cellStyle name="40% - Accent5 2 3" xfId="43108"/>
    <cellStyle name="40% - Accent5 2 4" xfId="44237"/>
    <cellStyle name="40% - Accent5 2 5" xfId="256"/>
    <cellStyle name="40% - Accent5 3" xfId="890"/>
    <cellStyle name="40% - Accent5 3 2" xfId="3212"/>
    <cellStyle name="40% - Accent5 3 2 2" xfId="41231"/>
    <cellStyle name="40% - Accent5 3 2 3" xfId="44266"/>
    <cellStyle name="40% - Accent5 3 3" xfId="6018"/>
    <cellStyle name="40% - Accent5 3 3 2" xfId="43154"/>
    <cellStyle name="40% - Accent5 3 4" xfId="44174"/>
    <cellStyle name="40% - Accent5 4" xfId="9577"/>
    <cellStyle name="40% - Accent5 4 2" xfId="43168"/>
    <cellStyle name="40% - Accent5 5" xfId="43000"/>
    <cellStyle name="40% - Accent5 5 2" xfId="43182"/>
    <cellStyle name="40% - Accent5 6" xfId="43196"/>
    <cellStyle name="40% - Accent6" xfId="50" builtinId="51" customBuiltin="1"/>
    <cellStyle name="40% - Accent6 2" xfId="120"/>
    <cellStyle name="40% - Accent6 2 2" xfId="939"/>
    <cellStyle name="40% - Accent6 2 2 2" xfId="44257"/>
    <cellStyle name="40% - Accent6 2 3" xfId="43107"/>
    <cellStyle name="40% - Accent6 2 4" xfId="44241"/>
    <cellStyle name="40% - Accent6 2 5" xfId="257"/>
    <cellStyle name="40% - Accent6 3" xfId="891"/>
    <cellStyle name="40% - Accent6 3 2" xfId="3213"/>
    <cellStyle name="40% - Accent6 3 2 2" xfId="41232"/>
    <cellStyle name="40% - Accent6 3 2 3" xfId="44268"/>
    <cellStyle name="40% - Accent6 3 3" xfId="6019"/>
    <cellStyle name="40% - Accent6 3 3 2" xfId="43156"/>
    <cellStyle name="40% - Accent6 3 4" xfId="44178"/>
    <cellStyle name="40% - Accent6 4" xfId="9578"/>
    <cellStyle name="40% - Accent6 4 2" xfId="43170"/>
    <cellStyle name="40% - Accent6 5" xfId="43004"/>
    <cellStyle name="40% - Accent6 5 2" xfId="43184"/>
    <cellStyle name="40% - Accent6 6" xfId="43198"/>
    <cellStyle name="5" xfId="940"/>
    <cellStyle name="6" xfId="941"/>
    <cellStyle name="6-0" xfId="291"/>
    <cellStyle name="60% - Accent1 2" xfId="101"/>
    <cellStyle name="60% - Accent1 2 2" xfId="942"/>
    <cellStyle name="60% - Accent1 2 3" xfId="43106"/>
    <cellStyle name="60% - Accent1 2 4" xfId="44222"/>
    <cellStyle name="60% - Accent1 2 5" xfId="258"/>
    <cellStyle name="60% - Accent1 3" xfId="892"/>
    <cellStyle name="60% - Accent1 3 2" xfId="3214"/>
    <cellStyle name="60% - Accent1 3 2 2" xfId="41233"/>
    <cellStyle name="60% - Accent1 3 3" xfId="6020"/>
    <cellStyle name="60% - Accent1 3 4" xfId="44159"/>
    <cellStyle name="60% - Accent1 4" xfId="9579"/>
    <cellStyle name="60% - Accent1 5" xfId="42985"/>
    <cellStyle name="60% - Accent1 6" xfId="43132"/>
    <cellStyle name="60% - Accent2 2" xfId="105"/>
    <cellStyle name="60% - Accent2 2 2" xfId="943"/>
    <cellStyle name="60% - Accent2 2 3" xfId="43105"/>
    <cellStyle name="60% - Accent2 2 4" xfId="44226"/>
    <cellStyle name="60% - Accent2 2 5" xfId="259"/>
    <cellStyle name="60% - Accent2 3" xfId="893"/>
    <cellStyle name="60% - Accent2 3 2" xfId="3215"/>
    <cellStyle name="60% - Accent2 3 2 2" xfId="41234"/>
    <cellStyle name="60% - Accent2 3 3" xfId="6021"/>
    <cellStyle name="60% - Accent2 3 4" xfId="44163"/>
    <cellStyle name="60% - Accent2 4" xfId="9580"/>
    <cellStyle name="60% - Accent2 5" xfId="42989"/>
    <cellStyle name="60% - Accent2 6" xfId="43133"/>
    <cellStyle name="60% - Accent3 2" xfId="109"/>
    <cellStyle name="60% - Accent3 2 2" xfId="944"/>
    <cellStyle name="60% - Accent3 2 3" xfId="43104"/>
    <cellStyle name="60% - Accent3 2 4" xfId="44230"/>
    <cellStyle name="60% - Accent3 2 5" xfId="260"/>
    <cellStyle name="60% - Accent3 3" xfId="894"/>
    <cellStyle name="60% - Accent3 3 2" xfId="3216"/>
    <cellStyle name="60% - Accent3 3 2 2" xfId="41235"/>
    <cellStyle name="60% - Accent3 3 3" xfId="6022"/>
    <cellStyle name="60% - Accent3 3 4" xfId="44167"/>
    <cellStyle name="60% - Accent3 4" xfId="9581"/>
    <cellStyle name="60% - Accent3 5" xfId="42993"/>
    <cellStyle name="60% - Accent3 6" xfId="43134"/>
    <cellStyle name="60% - Accent4 2" xfId="113"/>
    <cellStyle name="60% - Accent4 2 2" xfId="945"/>
    <cellStyle name="60% - Accent4 2 3" xfId="43103"/>
    <cellStyle name="60% - Accent4 2 4" xfId="44234"/>
    <cellStyle name="60% - Accent4 2 5" xfId="261"/>
    <cellStyle name="60% - Accent4 3" xfId="895"/>
    <cellStyle name="60% - Accent4 3 2" xfId="3217"/>
    <cellStyle name="60% - Accent4 3 2 2" xfId="41236"/>
    <cellStyle name="60% - Accent4 3 3" xfId="6023"/>
    <cellStyle name="60% - Accent4 3 4" xfId="44171"/>
    <cellStyle name="60% - Accent4 4" xfId="9582"/>
    <cellStyle name="60% - Accent4 5" xfId="42997"/>
    <cellStyle name="60% - Accent4 6" xfId="43136"/>
    <cellStyle name="60% - Accent5 2" xfId="117"/>
    <cellStyle name="60% - Accent5 2 2" xfId="946"/>
    <cellStyle name="60% - Accent5 2 3" xfId="43102"/>
    <cellStyle name="60% - Accent5 2 4" xfId="44238"/>
    <cellStyle name="60% - Accent5 2 5" xfId="262"/>
    <cellStyle name="60% - Accent5 3" xfId="896"/>
    <cellStyle name="60% - Accent5 3 2" xfId="3218"/>
    <cellStyle name="60% - Accent5 3 2 2" xfId="41237"/>
    <cellStyle name="60% - Accent5 3 3" xfId="6024"/>
    <cellStyle name="60% - Accent5 3 4" xfId="44175"/>
    <cellStyle name="60% - Accent5 4" xfId="9583"/>
    <cellStyle name="60% - Accent5 5" xfId="43001"/>
    <cellStyle name="60% - Accent5 6" xfId="43138"/>
    <cellStyle name="60% - Accent6 2" xfId="121"/>
    <cellStyle name="60% - Accent6 2 2" xfId="947"/>
    <cellStyle name="60% - Accent6 2 3" xfId="43101"/>
    <cellStyle name="60% - Accent6 2 4" xfId="44242"/>
    <cellStyle name="60% - Accent6 2 5" xfId="263"/>
    <cellStyle name="60% - Accent6 3" xfId="897"/>
    <cellStyle name="60% - Accent6 3 2" xfId="3219"/>
    <cellStyle name="60% - Accent6 3 2 2" xfId="41238"/>
    <cellStyle name="60% - Accent6 3 3" xfId="6025"/>
    <cellStyle name="60% - Accent6 3 4" xfId="44179"/>
    <cellStyle name="60% - Accent6 4" xfId="9584"/>
    <cellStyle name="60% - Accent6 5" xfId="43005"/>
    <cellStyle name="60% - Accent6 6" xfId="43139"/>
    <cellStyle name="7" xfId="948"/>
    <cellStyle name="8" xfId="949"/>
    <cellStyle name="9" xfId="950"/>
    <cellStyle name="Accent1" xfId="33" builtinId="29" customBuiltin="1"/>
    <cellStyle name="Accent1 2" xfId="98"/>
    <cellStyle name="Accent1 2 2" xfId="951"/>
    <cellStyle name="Accent1 2 3" xfId="43100"/>
    <cellStyle name="Accent1 2 4" xfId="44219"/>
    <cellStyle name="Accent1 2 5" xfId="264"/>
    <cellStyle name="Accent1 3" xfId="898"/>
    <cellStyle name="Accent1 3 2" xfId="3220"/>
    <cellStyle name="Accent1 3 2 2" xfId="41239"/>
    <cellStyle name="Accent1 3 3" xfId="6026"/>
    <cellStyle name="Accent1 3 4" xfId="44156"/>
    <cellStyle name="Accent1 4" xfId="9585"/>
    <cellStyle name="Accent1 5" xfId="42982"/>
    <cellStyle name="Accent2" xfId="36" builtinId="33" customBuiltin="1"/>
    <cellStyle name="Accent2 2" xfId="102"/>
    <cellStyle name="Accent2 2 2" xfId="952"/>
    <cellStyle name="Accent2 2 3" xfId="43099"/>
    <cellStyle name="Accent2 2 4" xfId="44223"/>
    <cellStyle name="Accent2 2 5" xfId="265"/>
    <cellStyle name="Accent2 3" xfId="899"/>
    <cellStyle name="Accent2 3 2" xfId="3221"/>
    <cellStyle name="Accent2 3 2 2" xfId="41240"/>
    <cellStyle name="Accent2 3 3" xfId="6027"/>
    <cellStyle name="Accent2 3 4" xfId="44160"/>
    <cellStyle name="Accent2 4" xfId="9586"/>
    <cellStyle name="Accent2 5" xfId="42986"/>
    <cellStyle name="Accent3" xfId="39" builtinId="37" customBuiltin="1"/>
    <cellStyle name="Accent3 2" xfId="106"/>
    <cellStyle name="Accent3 2 2" xfId="953"/>
    <cellStyle name="Accent3 2 3" xfId="43098"/>
    <cellStyle name="Accent3 2 4" xfId="44227"/>
    <cellStyle name="Accent3 2 5" xfId="266"/>
    <cellStyle name="Accent3 3" xfId="900"/>
    <cellStyle name="Accent3 3 2" xfId="3222"/>
    <cellStyle name="Accent3 3 2 2" xfId="41241"/>
    <cellStyle name="Accent3 3 3" xfId="6028"/>
    <cellStyle name="Accent3 3 4" xfId="44164"/>
    <cellStyle name="Accent3 4" xfId="9587"/>
    <cellStyle name="Accent3 5" xfId="42990"/>
    <cellStyle name="Accent4" xfId="42" builtinId="41" customBuiltin="1"/>
    <cellStyle name="Accent4 2" xfId="110"/>
    <cellStyle name="Accent4 2 2" xfId="954"/>
    <cellStyle name="Accent4 2 3" xfId="43097"/>
    <cellStyle name="Accent4 2 4" xfId="44231"/>
    <cellStyle name="Accent4 2 5" xfId="267"/>
    <cellStyle name="Accent4 3" xfId="901"/>
    <cellStyle name="Accent4 3 2" xfId="3223"/>
    <cellStyle name="Accent4 3 2 2" xfId="41242"/>
    <cellStyle name="Accent4 3 3" xfId="6029"/>
    <cellStyle name="Accent4 3 4" xfId="44168"/>
    <cellStyle name="Accent4 4" xfId="9588"/>
    <cellStyle name="Accent4 5" xfId="42994"/>
    <cellStyle name="Accent5" xfId="45" builtinId="45" customBuiltin="1"/>
    <cellStyle name="Accent5 2" xfId="114"/>
    <cellStyle name="Accent5 2 2" xfId="955"/>
    <cellStyle name="Accent5 2 2 2" xfId="2813"/>
    <cellStyle name="Accent5 2 2 3" xfId="23814"/>
    <cellStyle name="Accent5 2 2 4" xfId="2093"/>
    <cellStyle name="Accent5 2 3" xfId="3224"/>
    <cellStyle name="Accent5 2 3 2" xfId="43096"/>
    <cellStyle name="Accent5 2 4" xfId="44235"/>
    <cellStyle name="Accent5 2 5" xfId="268"/>
    <cellStyle name="Accent5 3" xfId="3225"/>
    <cellStyle name="Accent5 3 2" xfId="44172"/>
    <cellStyle name="Accent5 4" xfId="42998"/>
    <cellStyle name="Accent6" xfId="48" builtinId="49" customBuiltin="1"/>
    <cellStyle name="Accent6 2" xfId="118"/>
    <cellStyle name="Accent6 2 2" xfId="956"/>
    <cellStyle name="Accent6 2 3" xfId="43095"/>
    <cellStyle name="Accent6 2 4" xfId="44239"/>
    <cellStyle name="Accent6 2 5" xfId="269"/>
    <cellStyle name="Accent6 3" xfId="902"/>
    <cellStyle name="Accent6 3 2" xfId="3226"/>
    <cellStyle name="Accent6 3 2 2" xfId="41243"/>
    <cellStyle name="Accent6 3 3" xfId="6030"/>
    <cellStyle name="Accent6 3 4" xfId="44176"/>
    <cellStyle name="Accent6 4" xfId="9589"/>
    <cellStyle name="Accent6 5" xfId="43002"/>
    <cellStyle name="Bad" xfId="24" builtinId="27" customBuiltin="1"/>
    <cellStyle name="Bad 2" xfId="87"/>
    <cellStyle name="Bad 2 2" xfId="957"/>
    <cellStyle name="Bad 2 3" xfId="43094"/>
    <cellStyle name="Bad 2 4" xfId="44208"/>
    <cellStyle name="Bad 2 5" xfId="270"/>
    <cellStyle name="Bad 3" xfId="903"/>
    <cellStyle name="Bad 3 2" xfId="3227"/>
    <cellStyle name="Bad 3 2 2" xfId="41244"/>
    <cellStyle name="Bad 3 3" xfId="6031"/>
    <cellStyle name="Bad 3 4" xfId="44146"/>
    <cellStyle name="Bad 4" xfId="9590"/>
    <cellStyle name="Bad 5" xfId="42971"/>
    <cellStyle name="Bold Border" xfId="958"/>
    <cellStyle name="Bold Border 2" xfId="1034"/>
    <cellStyle name="Bold Border 2 2" xfId="3147"/>
    <cellStyle name="Bold Border 2 2 2" xfId="3228"/>
    <cellStyle name="Bold Border 2 2 2 2" xfId="41245"/>
    <cellStyle name="Bold Border 2 2 2 2 2" xfId="42473"/>
    <cellStyle name="Bold Border 2 2 2 3" xfId="42472"/>
    <cellStyle name="Bold Border 2 2 3" xfId="12951"/>
    <cellStyle name="Bold Border 2 2 3 2" xfId="42471"/>
    <cellStyle name="Bold Border 2 3" xfId="42470"/>
    <cellStyle name="Bold Border 3" xfId="42469"/>
    <cellStyle name="Bottom bold border" xfId="959"/>
    <cellStyle name="Bottom bold border 2" xfId="1035"/>
    <cellStyle name="Bottom bold border 2 2" xfId="3146"/>
    <cellStyle name="Bottom bold border 2 2 2" xfId="3229"/>
    <cellStyle name="Bottom bold border 2 2 2 2" xfId="41246"/>
    <cellStyle name="Bottom bold border 2 2 2 2 2" xfId="42478"/>
    <cellStyle name="Bottom bold border 2 2 2 3" xfId="42477"/>
    <cellStyle name="Bottom bold border 2 2 3" xfId="12950"/>
    <cellStyle name="Bottom bold border 2 2 3 2" xfId="42476"/>
    <cellStyle name="Bottom bold border 2 3" xfId="42475"/>
    <cellStyle name="Bottom bold border 3" xfId="42474"/>
    <cellStyle name="Bottom single border" xfId="960"/>
    <cellStyle name="Bottom single border 2" xfId="1036"/>
    <cellStyle name="Bottom single border 2 2" xfId="1485"/>
    <cellStyle name="Bottom single border 2 2 2" xfId="1617"/>
    <cellStyle name="Bottom single border 2 2 2 2" xfId="3230"/>
    <cellStyle name="Bottom single border 2 2 3" xfId="41247"/>
    <cellStyle name="Bottom single border 2 3" xfId="1307"/>
    <cellStyle name="Bottom single border 2 3 2" xfId="1611"/>
    <cellStyle name="Bottom single border 2 3 2 2" xfId="3231"/>
    <cellStyle name="Bottom single border 2 3 3" xfId="41248"/>
    <cellStyle name="Bottom single border 2 4" xfId="3032"/>
    <cellStyle name="Bottom single border 2 4 2" xfId="3232"/>
    <cellStyle name="Bottom single border 2 5" xfId="3233"/>
    <cellStyle name="Bottom single border 3" xfId="1300"/>
    <cellStyle name="Bottom single border 3 2" xfId="1605"/>
    <cellStyle name="Bottom single border 4" xfId="3027"/>
    <cellStyle name="Bottom single border 4 2" xfId="3234"/>
    <cellStyle name="Bottom single border 5" xfId="41249"/>
    <cellStyle name="Calc Currency (0)" xfId="292"/>
    <cellStyle name="Calc Currency (2)" xfId="293"/>
    <cellStyle name="Calc Percent (0)" xfId="294"/>
    <cellStyle name="Calc Percent (1)" xfId="295"/>
    <cellStyle name="Calc Percent (2)" xfId="296"/>
    <cellStyle name="Calc Units (0)" xfId="297"/>
    <cellStyle name="Calc Units (1)" xfId="298"/>
    <cellStyle name="Calc Units (2)" xfId="299"/>
    <cellStyle name="Calculation" xfId="27" builtinId="22" customBuiltin="1"/>
    <cellStyle name="Calculation 2" xfId="91"/>
    <cellStyle name="Calculation 2 10" xfId="26104"/>
    <cellStyle name="Calculation 2 10 2" xfId="34870"/>
    <cellStyle name="Calculation 2 11" xfId="26046"/>
    <cellStyle name="Calculation 2 11 2" xfId="34812"/>
    <cellStyle name="Calculation 2 12" xfId="25194"/>
    <cellStyle name="Calculation 2 12 2" xfId="33965"/>
    <cellStyle name="Calculation 2 13" xfId="41250"/>
    <cellStyle name="Calculation 2 14" xfId="44212"/>
    <cellStyle name="Calculation 2 15" xfId="271"/>
    <cellStyle name="Calculation 2 2" xfId="961"/>
    <cellStyle name="Calculation 2 2 10" xfId="26656"/>
    <cellStyle name="Calculation 2 2 10 2" xfId="35421"/>
    <cellStyle name="Calculation 2 2 11" xfId="27322"/>
    <cellStyle name="Calculation 2 2 11 2" xfId="36082"/>
    <cellStyle name="Calculation 2 2 12" xfId="41251"/>
    <cellStyle name="Calculation 2 2 2" xfId="9310"/>
    <cellStyle name="Calculation 2 2 2 10" xfId="28336"/>
    <cellStyle name="Calculation 2 2 2 10 2" xfId="37095"/>
    <cellStyle name="Calculation 2 2 2 11" xfId="26671"/>
    <cellStyle name="Calculation 2 2 2 11 2" xfId="35435"/>
    <cellStyle name="Calculation 2 2 2 12" xfId="32781"/>
    <cellStyle name="Calculation 2 2 2 13" xfId="41252"/>
    <cellStyle name="Calculation 2 2 2 2" xfId="18262"/>
    <cellStyle name="Calculation 2 2 2 2 10" xfId="29742"/>
    <cellStyle name="Calculation 2 2 2 2 10 2" xfId="38496"/>
    <cellStyle name="Calculation 2 2 2 2 11" xfId="30158"/>
    <cellStyle name="Calculation 2 2 2 2 11 2" xfId="38912"/>
    <cellStyle name="Calculation 2 2 2 2 12" xfId="33006"/>
    <cellStyle name="Calculation 2 2 2 2 13" xfId="41253"/>
    <cellStyle name="Calculation 2 2 2 2 14" xfId="43428"/>
    <cellStyle name="Calculation 2 2 2 2 15" xfId="44067"/>
    <cellStyle name="Calculation 2 2 2 2 2" xfId="24532"/>
    <cellStyle name="Calculation 2 2 2 2 2 10" xfId="32285"/>
    <cellStyle name="Calculation 2 2 2 2 2 10 2" xfId="41039"/>
    <cellStyle name="Calculation 2 2 2 2 2 11" xfId="33360"/>
    <cellStyle name="Calculation 2 2 2 2 2 12" xfId="41254"/>
    <cellStyle name="Calculation 2 2 2 2 2 13" xfId="43427"/>
    <cellStyle name="Calculation 2 2 2 2 2 14" xfId="44079"/>
    <cellStyle name="Calculation 2 2 2 2 2 2" xfId="29140"/>
    <cellStyle name="Calculation 2 2 2 2 2 2 2" xfId="37894"/>
    <cellStyle name="Calculation 2 2 2 2 2 3" xfId="29553"/>
    <cellStyle name="Calculation 2 2 2 2 2 3 2" xfId="38307"/>
    <cellStyle name="Calculation 2 2 2 2 2 4" xfId="29973"/>
    <cellStyle name="Calculation 2 2 2 2 2 4 2" xfId="38727"/>
    <cellStyle name="Calculation 2 2 2 2 2 5" xfId="30392"/>
    <cellStyle name="Calculation 2 2 2 2 2 5 2" xfId="39146"/>
    <cellStyle name="Calculation 2 2 2 2 2 6" xfId="30793"/>
    <cellStyle name="Calculation 2 2 2 2 2 6 2" xfId="39547"/>
    <cellStyle name="Calculation 2 2 2 2 2 7" xfId="31179"/>
    <cellStyle name="Calculation 2 2 2 2 2 7 2" xfId="39933"/>
    <cellStyle name="Calculation 2 2 2 2 2 8" xfId="31557"/>
    <cellStyle name="Calculation 2 2 2 2 2 8 2" xfId="40311"/>
    <cellStyle name="Calculation 2 2 2 2 2 9" xfId="31923"/>
    <cellStyle name="Calculation 2 2 2 2 2 9 2" xfId="40677"/>
    <cellStyle name="Calculation 2 2 2 2 3" xfId="27752"/>
    <cellStyle name="Calculation 2 2 2 2 3 2" xfId="36512"/>
    <cellStyle name="Calculation 2 2 2 2 4" xfId="25801"/>
    <cellStyle name="Calculation 2 2 2 2 4 2" xfId="34568"/>
    <cellStyle name="Calculation 2 2 2 2 5" xfId="27172"/>
    <cellStyle name="Calculation 2 2 2 2 5 2" xfId="35932"/>
    <cellStyle name="Calculation 2 2 2 2 6" xfId="26462"/>
    <cellStyle name="Calculation 2 2 2 2 6 2" xfId="35227"/>
    <cellStyle name="Calculation 2 2 2 2 7" xfId="28313"/>
    <cellStyle name="Calculation 2 2 2 2 7 2" xfId="37072"/>
    <cellStyle name="Calculation 2 2 2 2 8" xfId="28392"/>
    <cellStyle name="Calculation 2 2 2 2 8 2" xfId="37149"/>
    <cellStyle name="Calculation 2 2 2 2 9" xfId="24919"/>
    <cellStyle name="Calculation 2 2 2 2 9 2" xfId="33693"/>
    <cellStyle name="Calculation 2 2 2 3" xfId="23673"/>
    <cellStyle name="Calculation 2 2 2 3 10" xfId="31060"/>
    <cellStyle name="Calculation 2 2 2 3 10 2" xfId="39814"/>
    <cellStyle name="Calculation 2 2 2 3 11" xfId="31438"/>
    <cellStyle name="Calculation 2 2 2 3 11 2" xfId="40192"/>
    <cellStyle name="Calculation 2 2 2 3 12" xfId="33143"/>
    <cellStyle name="Calculation 2 2 2 3 2" xfId="24728"/>
    <cellStyle name="Calculation 2 2 2 3 2 10" xfId="32429"/>
    <cellStyle name="Calculation 2 2 2 3 2 10 2" xfId="41183"/>
    <cellStyle name="Calculation 2 2 2 3 2 11" xfId="33504"/>
    <cellStyle name="Calculation 2 2 2 3 2 2" xfId="29293"/>
    <cellStyle name="Calculation 2 2 2 3 2 2 2" xfId="38047"/>
    <cellStyle name="Calculation 2 2 2 3 2 3" xfId="29703"/>
    <cellStyle name="Calculation 2 2 2 3 2 3 2" xfId="38457"/>
    <cellStyle name="Calculation 2 2 2 3 2 4" xfId="30123"/>
    <cellStyle name="Calculation 2 2 2 3 2 4 2" xfId="38877"/>
    <cellStyle name="Calculation 2 2 2 3 2 5" xfId="30539"/>
    <cellStyle name="Calculation 2 2 2 3 2 5 2" xfId="39293"/>
    <cellStyle name="Calculation 2 2 2 3 2 6" xfId="30940"/>
    <cellStyle name="Calculation 2 2 2 3 2 6 2" xfId="39694"/>
    <cellStyle name="Calculation 2 2 2 3 2 7" xfId="31326"/>
    <cellStyle name="Calculation 2 2 2 3 2 7 2" xfId="40080"/>
    <cellStyle name="Calculation 2 2 2 3 2 8" xfId="31702"/>
    <cellStyle name="Calculation 2 2 2 3 2 8 2" xfId="40456"/>
    <cellStyle name="Calculation 2 2 2 3 2 9" xfId="32068"/>
    <cellStyle name="Calculation 2 2 2 3 2 9 2" xfId="40822"/>
    <cellStyle name="Calculation 2 2 2 3 3" xfId="28789"/>
    <cellStyle name="Calculation 2 2 2 3 3 2" xfId="37545"/>
    <cellStyle name="Calculation 2 2 2 3 4" xfId="25057"/>
    <cellStyle name="Calculation 2 2 2 3 4 2" xfId="33831"/>
    <cellStyle name="Calculation 2 2 2 3 5" xfId="25505"/>
    <cellStyle name="Calculation 2 2 2 3 5 2" xfId="34274"/>
    <cellStyle name="Calculation 2 2 2 3 6" xfId="27877"/>
    <cellStyle name="Calculation 2 2 2 3 6 2" xfId="36637"/>
    <cellStyle name="Calculation 2 2 2 3 7" xfId="29766"/>
    <cellStyle name="Calculation 2 2 2 3 7 2" xfId="38520"/>
    <cellStyle name="Calculation 2 2 2 3 8" xfId="30273"/>
    <cellStyle name="Calculation 2 2 2 3 8 2" xfId="39027"/>
    <cellStyle name="Calculation 2 2 2 3 9" xfId="30674"/>
    <cellStyle name="Calculation 2 2 2 3 9 2" xfId="39428"/>
    <cellStyle name="Calculation 2 2 2 4" xfId="27465"/>
    <cellStyle name="Calculation 2 2 2 4 2" xfId="36225"/>
    <cellStyle name="Calculation 2 2 2 5" xfId="28233"/>
    <cellStyle name="Calculation 2 2 2 5 2" xfId="36992"/>
    <cellStyle name="Calculation 2 2 2 6" xfId="26236"/>
    <cellStyle name="Calculation 2 2 2 6 2" xfId="35002"/>
    <cellStyle name="Calculation 2 2 2 7" xfId="26065"/>
    <cellStyle name="Calculation 2 2 2 7 2" xfId="34831"/>
    <cellStyle name="Calculation 2 2 2 8" xfId="26905"/>
    <cellStyle name="Calculation 2 2 2 8 2" xfId="35665"/>
    <cellStyle name="Calculation 2 2 2 9" xfId="28173"/>
    <cellStyle name="Calculation 2 2 2 9 2" xfId="36932"/>
    <cellStyle name="Calculation 2 2 3" xfId="1739"/>
    <cellStyle name="Calculation 2 2 3 2" xfId="32549"/>
    <cellStyle name="Calculation 2 2 4" xfId="24760"/>
    <cellStyle name="Calculation 2 2 4 2" xfId="33536"/>
    <cellStyle name="Calculation 2 2 5" xfId="25540"/>
    <cellStyle name="Calculation 2 2 5 2" xfId="34307"/>
    <cellStyle name="Calculation 2 2 6" xfId="28858"/>
    <cellStyle name="Calculation 2 2 6 2" xfId="37614"/>
    <cellStyle name="Calculation 2 2 7" xfId="24980"/>
    <cellStyle name="Calculation 2 2 7 2" xfId="33754"/>
    <cellStyle name="Calculation 2 2 8" xfId="24957"/>
    <cellStyle name="Calculation 2 2 8 2" xfId="33731"/>
    <cellStyle name="Calculation 2 2 9" xfId="25491"/>
    <cellStyle name="Calculation 2 2 9 2" xfId="34260"/>
    <cellStyle name="Calculation 2 3" xfId="6032"/>
    <cellStyle name="Calculation 2 3 10" xfId="29768"/>
    <cellStyle name="Calculation 2 3 10 2" xfId="38522"/>
    <cellStyle name="Calculation 2 3 11" xfId="25708"/>
    <cellStyle name="Calculation 2 3 11 2" xfId="34475"/>
    <cellStyle name="Calculation 2 3 12" xfId="32713"/>
    <cellStyle name="Calculation 2 3 13" xfId="41255"/>
    <cellStyle name="Calculation 2 3 2" xfId="18173"/>
    <cellStyle name="Calculation 2 3 2 10" xfId="28562"/>
    <cellStyle name="Calculation 2 3 2 10 2" xfId="37318"/>
    <cellStyle name="Calculation 2 3 2 11" xfId="26621"/>
    <cellStyle name="Calculation 2 3 2 11 2" xfId="35386"/>
    <cellStyle name="Calculation 2 3 2 12" xfId="32917"/>
    <cellStyle name="Calculation 2 3 2 13" xfId="41256"/>
    <cellStyle name="Calculation 2 3 2 14" xfId="43426"/>
    <cellStyle name="Calculation 2 3 2 15" xfId="44085"/>
    <cellStyle name="Calculation 2 3 2 2" xfId="24443"/>
    <cellStyle name="Calculation 2 3 2 2 10" xfId="32196"/>
    <cellStyle name="Calculation 2 3 2 2 10 2" xfId="40950"/>
    <cellStyle name="Calculation 2 3 2 2 11" xfId="33271"/>
    <cellStyle name="Calculation 2 3 2 2 12" xfId="41257"/>
    <cellStyle name="Calculation 2 3 2 2 13" xfId="43425"/>
    <cellStyle name="Calculation 2 3 2 2 14" xfId="44060"/>
    <cellStyle name="Calculation 2 3 2 2 2" xfId="29051"/>
    <cellStyle name="Calculation 2 3 2 2 2 2" xfId="37805"/>
    <cellStyle name="Calculation 2 3 2 2 3" xfId="29464"/>
    <cellStyle name="Calculation 2 3 2 2 3 2" xfId="38218"/>
    <cellStyle name="Calculation 2 3 2 2 4" xfId="29884"/>
    <cellStyle name="Calculation 2 3 2 2 4 2" xfId="38638"/>
    <cellStyle name="Calculation 2 3 2 2 5" xfId="30303"/>
    <cellStyle name="Calculation 2 3 2 2 5 2" xfId="39057"/>
    <cellStyle name="Calculation 2 3 2 2 6" xfId="30704"/>
    <cellStyle name="Calculation 2 3 2 2 6 2" xfId="39458"/>
    <cellStyle name="Calculation 2 3 2 2 7" xfId="31090"/>
    <cellStyle name="Calculation 2 3 2 2 7 2" xfId="39844"/>
    <cellStyle name="Calculation 2 3 2 2 8" xfId="31468"/>
    <cellStyle name="Calculation 2 3 2 2 8 2" xfId="40222"/>
    <cellStyle name="Calculation 2 3 2 2 9" xfId="31834"/>
    <cellStyle name="Calculation 2 3 2 2 9 2" xfId="40588"/>
    <cellStyle name="Calculation 2 3 2 3" xfId="27663"/>
    <cellStyle name="Calculation 2 3 2 3 2" xfId="36423"/>
    <cellStyle name="Calculation 2 3 2 4" xfId="26509"/>
    <cellStyle name="Calculation 2 3 2 4 2" xfId="35274"/>
    <cellStyle name="Calculation 2 3 2 5" xfId="26309"/>
    <cellStyle name="Calculation 2 3 2 5 2" xfId="35075"/>
    <cellStyle name="Calculation 2 3 2 6" xfId="27070"/>
    <cellStyle name="Calculation 2 3 2 6 2" xfId="35830"/>
    <cellStyle name="Calculation 2 3 2 7" xfId="26068"/>
    <cellStyle name="Calculation 2 3 2 7 2" xfId="34834"/>
    <cellStyle name="Calculation 2 3 2 8" xfId="26212"/>
    <cellStyle name="Calculation 2 3 2 8 2" xfId="34978"/>
    <cellStyle name="Calculation 2 3 2 9" xfId="24853"/>
    <cellStyle name="Calculation 2 3 2 9 2" xfId="33627"/>
    <cellStyle name="Calculation 2 3 3" xfId="23615"/>
    <cellStyle name="Calculation 2 3 3 10" xfId="28470"/>
    <cellStyle name="Calculation 2 3 3 10 2" xfId="37227"/>
    <cellStyle name="Calculation 2 3 3 11" xfId="26560"/>
    <cellStyle name="Calculation 2 3 3 11 2" xfId="35325"/>
    <cellStyle name="Calculation 2 3 3 12" xfId="33085"/>
    <cellStyle name="Calculation 2 3 3 2" xfId="24670"/>
    <cellStyle name="Calculation 2 3 3 2 10" xfId="32371"/>
    <cellStyle name="Calculation 2 3 3 2 10 2" xfId="41125"/>
    <cellStyle name="Calculation 2 3 3 2 11" xfId="33446"/>
    <cellStyle name="Calculation 2 3 3 2 2" xfId="29235"/>
    <cellStyle name="Calculation 2 3 3 2 2 2" xfId="37989"/>
    <cellStyle name="Calculation 2 3 3 2 3" xfId="29645"/>
    <cellStyle name="Calculation 2 3 3 2 3 2" xfId="38399"/>
    <cellStyle name="Calculation 2 3 3 2 4" xfId="30065"/>
    <cellStyle name="Calculation 2 3 3 2 4 2" xfId="38819"/>
    <cellStyle name="Calculation 2 3 3 2 5" xfId="30481"/>
    <cellStyle name="Calculation 2 3 3 2 5 2" xfId="39235"/>
    <cellStyle name="Calculation 2 3 3 2 6" xfId="30882"/>
    <cellStyle name="Calculation 2 3 3 2 6 2" xfId="39636"/>
    <cellStyle name="Calculation 2 3 3 2 7" xfId="31268"/>
    <cellStyle name="Calculation 2 3 3 2 7 2" xfId="40022"/>
    <cellStyle name="Calculation 2 3 3 2 8" xfId="31644"/>
    <cellStyle name="Calculation 2 3 3 2 8 2" xfId="40398"/>
    <cellStyle name="Calculation 2 3 3 2 9" xfId="32010"/>
    <cellStyle name="Calculation 2 3 3 2 9 2" xfId="40764"/>
    <cellStyle name="Calculation 2 3 3 3" xfId="28731"/>
    <cellStyle name="Calculation 2 3 3 3 2" xfId="37487"/>
    <cellStyle name="Calculation 2 3 3 4" xfId="28885"/>
    <cellStyle name="Calculation 2 3 3 4 2" xfId="37641"/>
    <cellStyle name="Calculation 2 3 3 5" xfId="26361"/>
    <cellStyle name="Calculation 2 3 3 5 2" xfId="35127"/>
    <cellStyle name="Calculation 2 3 3 6" xfId="27263"/>
    <cellStyle name="Calculation 2 3 3 6 2" xfId="36023"/>
    <cellStyle name="Calculation 2 3 3 7" xfId="25227"/>
    <cellStyle name="Calculation 2 3 3 7 2" xfId="33998"/>
    <cellStyle name="Calculation 2 3 3 8" xfId="25772"/>
    <cellStyle name="Calculation 2 3 3 8 2" xfId="34539"/>
    <cellStyle name="Calculation 2 3 3 9" xfId="28930"/>
    <cellStyle name="Calculation 2 3 3 9 2" xfId="37685"/>
    <cellStyle name="Calculation 2 3 4" xfId="27508"/>
    <cellStyle name="Calculation 2 3 4 2" xfId="36268"/>
    <cellStyle name="Calculation 2 3 5" xfId="28654"/>
    <cellStyle name="Calculation 2 3 5 2" xfId="37410"/>
    <cellStyle name="Calculation 2 3 6" xfId="27999"/>
    <cellStyle name="Calculation 2 3 6 2" xfId="36758"/>
    <cellStyle name="Calculation 2 3 7" xfId="27613"/>
    <cellStyle name="Calculation 2 3 7 2" xfId="36373"/>
    <cellStyle name="Calculation 2 3 8" xfId="26444"/>
    <cellStyle name="Calculation 2 3 8 2" xfId="35209"/>
    <cellStyle name="Calculation 2 3 9" xfId="25732"/>
    <cellStyle name="Calculation 2 3 9 2" xfId="34499"/>
    <cellStyle name="Calculation 2 4" xfId="2198"/>
    <cellStyle name="Calculation 2 4 2" xfId="32633"/>
    <cellStyle name="Calculation 2 4 3" xfId="43093"/>
    <cellStyle name="Calculation 2 5" xfId="25671"/>
    <cellStyle name="Calculation 2 5 2" xfId="34438"/>
    <cellStyle name="Calculation 2 6" xfId="27803"/>
    <cellStyle name="Calculation 2 6 2" xfId="36563"/>
    <cellStyle name="Calculation 2 7" xfId="27856"/>
    <cellStyle name="Calculation 2 7 2" xfId="36616"/>
    <cellStyle name="Calculation 2 8" xfId="28349"/>
    <cellStyle name="Calculation 2 8 2" xfId="37108"/>
    <cellStyle name="Calculation 2 9" xfId="1711"/>
    <cellStyle name="Calculation 2 9 2" xfId="32523"/>
    <cellStyle name="Calculation 3" xfId="904"/>
    <cellStyle name="Calculation 3 10" xfId="2924"/>
    <cellStyle name="Calculation 3 10 2" xfId="32681"/>
    <cellStyle name="Calculation 3 11" xfId="27388"/>
    <cellStyle name="Calculation 3 11 2" xfId="36148"/>
    <cellStyle name="Calculation 3 12" xfId="27990"/>
    <cellStyle name="Calculation 3 12 2" xfId="36750"/>
    <cellStyle name="Calculation 3 13" xfId="28582"/>
    <cellStyle name="Calculation 3 13 2" xfId="37338"/>
    <cellStyle name="Calculation 3 14" xfId="41258"/>
    <cellStyle name="Calculation 3 15" xfId="44150"/>
    <cellStyle name="Calculation 3 2" xfId="3235"/>
    <cellStyle name="Calculation 3 2 10" xfId="25013"/>
    <cellStyle name="Calculation 3 2 10 2" xfId="33787"/>
    <cellStyle name="Calculation 3 2 11" xfId="28346"/>
    <cellStyle name="Calculation 3 2 11 2" xfId="37105"/>
    <cellStyle name="Calculation 3 2 12" xfId="27849"/>
    <cellStyle name="Calculation 3 2 12 2" xfId="36609"/>
    <cellStyle name="Calculation 3 2 13" xfId="28204"/>
    <cellStyle name="Calculation 3 2 13 2" xfId="36963"/>
    <cellStyle name="Calculation 3 2 14" xfId="32687"/>
    <cellStyle name="Calculation 3 2 15" xfId="41259"/>
    <cellStyle name="Calculation 3 2 2" xfId="6745"/>
    <cellStyle name="Calculation 3 2 2 10" xfId="28845"/>
    <cellStyle name="Calculation 3 2 2 10 2" xfId="37601"/>
    <cellStyle name="Calculation 3 2 2 11" xfId="25728"/>
    <cellStyle name="Calculation 3 2 2 11 2" xfId="34495"/>
    <cellStyle name="Calculation 3 2 2 12" xfId="27474"/>
    <cellStyle name="Calculation 3 2 2 12 2" xfId="36234"/>
    <cellStyle name="Calculation 3 2 2 13" xfId="27911"/>
    <cellStyle name="Calculation 3 2 2 13 2" xfId="36671"/>
    <cellStyle name="Calculation 3 2 2 14" xfId="28111"/>
    <cellStyle name="Calculation 3 2 2 14 2" xfId="36870"/>
    <cellStyle name="Calculation 3 2 2 15" xfId="41260"/>
    <cellStyle name="Calculation 3 2 2 16" xfId="43424"/>
    <cellStyle name="Calculation 3 2 2 17" xfId="44070"/>
    <cellStyle name="Calculation 3 2 2 2" xfId="18236"/>
    <cellStyle name="Calculation 3 2 2 2 10" xfId="30198"/>
    <cellStyle name="Calculation 3 2 2 2 10 2" xfId="38952"/>
    <cellStyle name="Calculation 3 2 2 2 11" xfId="30599"/>
    <cellStyle name="Calculation 3 2 2 2 11 2" xfId="39353"/>
    <cellStyle name="Calculation 3 2 2 2 12" xfId="32980"/>
    <cellStyle name="Calculation 3 2 2 2 13" xfId="41261"/>
    <cellStyle name="Calculation 3 2 2 2 14" xfId="43423"/>
    <cellStyle name="Calculation 3 2 2 2 15" xfId="44087"/>
    <cellStyle name="Calculation 3 2 2 2 2" xfId="24506"/>
    <cellStyle name="Calculation 3 2 2 2 2 10" xfId="32259"/>
    <cellStyle name="Calculation 3 2 2 2 2 10 2" xfId="41013"/>
    <cellStyle name="Calculation 3 2 2 2 2 11" xfId="33334"/>
    <cellStyle name="Calculation 3 2 2 2 2 2" xfId="29114"/>
    <cellStyle name="Calculation 3 2 2 2 2 2 2" xfId="37868"/>
    <cellStyle name="Calculation 3 2 2 2 2 3" xfId="29527"/>
    <cellStyle name="Calculation 3 2 2 2 2 3 2" xfId="38281"/>
    <cellStyle name="Calculation 3 2 2 2 2 4" xfId="29947"/>
    <cellStyle name="Calculation 3 2 2 2 2 4 2" xfId="38701"/>
    <cellStyle name="Calculation 3 2 2 2 2 5" xfId="30366"/>
    <cellStyle name="Calculation 3 2 2 2 2 5 2" xfId="39120"/>
    <cellStyle name="Calculation 3 2 2 2 2 6" xfId="30767"/>
    <cellStyle name="Calculation 3 2 2 2 2 6 2" xfId="39521"/>
    <cellStyle name="Calculation 3 2 2 2 2 7" xfId="31153"/>
    <cellStyle name="Calculation 3 2 2 2 2 7 2" xfId="39907"/>
    <cellStyle name="Calculation 3 2 2 2 2 8" xfId="31531"/>
    <cellStyle name="Calculation 3 2 2 2 2 8 2" xfId="40285"/>
    <cellStyle name="Calculation 3 2 2 2 2 9" xfId="31897"/>
    <cellStyle name="Calculation 3 2 2 2 2 9 2" xfId="40651"/>
    <cellStyle name="Calculation 3 2 2 2 3" xfId="27726"/>
    <cellStyle name="Calculation 3 2 2 2 3 2" xfId="36486"/>
    <cellStyle name="Calculation 3 2 2 2 4" xfId="28205"/>
    <cellStyle name="Calculation 3 2 2 2 4 2" xfId="36964"/>
    <cellStyle name="Calculation 3 2 2 2 5" xfId="27529"/>
    <cellStyle name="Calculation 3 2 2 2 5 2" xfId="36289"/>
    <cellStyle name="Calculation 3 2 2 2 6" xfId="27842"/>
    <cellStyle name="Calculation 3 2 2 2 6 2" xfId="36602"/>
    <cellStyle name="Calculation 3 2 2 2 7" xfId="29333"/>
    <cellStyle name="Calculation 3 2 2 2 7 2" xfId="38087"/>
    <cellStyle name="Calculation 3 2 2 2 8" xfId="26792"/>
    <cellStyle name="Calculation 3 2 2 2 8 2" xfId="35554"/>
    <cellStyle name="Calculation 3 2 2 2 9" xfId="28840"/>
    <cellStyle name="Calculation 3 2 2 2 9 2" xfId="37596"/>
    <cellStyle name="Calculation 3 2 2 3" xfId="20908"/>
    <cellStyle name="Calculation 3 2 2 3 10" xfId="26328"/>
    <cellStyle name="Calculation 3 2 2 3 10 2" xfId="35094"/>
    <cellStyle name="Calculation 3 2 2 3 11" xfId="26542"/>
    <cellStyle name="Calculation 3 2 2 3 11 2" xfId="35307"/>
    <cellStyle name="Calculation 3 2 2 3 12" xfId="33057"/>
    <cellStyle name="Calculation 3 2 2 3 2" xfId="24609"/>
    <cellStyle name="Calculation 3 2 2 3 2 10" xfId="32339"/>
    <cellStyle name="Calculation 3 2 2 3 2 10 2" xfId="41093"/>
    <cellStyle name="Calculation 3 2 2 3 2 11" xfId="33414"/>
    <cellStyle name="Calculation 3 2 2 3 2 2" xfId="29198"/>
    <cellStyle name="Calculation 3 2 2 3 2 2 2" xfId="37952"/>
    <cellStyle name="Calculation 3 2 2 3 2 3" xfId="29609"/>
    <cellStyle name="Calculation 3 2 2 3 2 3 2" xfId="38363"/>
    <cellStyle name="Calculation 3 2 2 3 2 4" xfId="30030"/>
    <cellStyle name="Calculation 3 2 2 3 2 4 2" xfId="38784"/>
    <cellStyle name="Calculation 3 2 2 3 2 5" xfId="30447"/>
    <cellStyle name="Calculation 3 2 2 3 2 5 2" xfId="39201"/>
    <cellStyle name="Calculation 3 2 2 3 2 6" xfId="30848"/>
    <cellStyle name="Calculation 3 2 2 3 2 6 2" xfId="39602"/>
    <cellStyle name="Calculation 3 2 2 3 2 7" xfId="31234"/>
    <cellStyle name="Calculation 3 2 2 3 2 7 2" xfId="39988"/>
    <cellStyle name="Calculation 3 2 2 3 2 8" xfId="31611"/>
    <cellStyle name="Calculation 3 2 2 3 2 8 2" xfId="40365"/>
    <cellStyle name="Calculation 3 2 2 3 2 9" xfId="31977"/>
    <cellStyle name="Calculation 3 2 2 3 2 9 2" xfId="40731"/>
    <cellStyle name="Calculation 3 2 2 3 3" xfId="28252"/>
    <cellStyle name="Calculation 3 2 2 3 3 2" xfId="37011"/>
    <cellStyle name="Calculation 3 2 2 3 4" xfId="26380"/>
    <cellStyle name="Calculation 3 2 2 3 4 2" xfId="35146"/>
    <cellStyle name="Calculation 3 2 2 3 5" xfId="28828"/>
    <cellStyle name="Calculation 3 2 2 3 5 2" xfId="37584"/>
    <cellStyle name="Calculation 3 2 2 3 6" xfId="1931"/>
    <cellStyle name="Calculation 3 2 2 3 6 2" xfId="32618"/>
    <cellStyle name="Calculation 3 2 2 3 7" xfId="27483"/>
    <cellStyle name="Calculation 3 2 2 3 7 2" xfId="36243"/>
    <cellStyle name="Calculation 3 2 2 3 8" xfId="25378"/>
    <cellStyle name="Calculation 3 2 2 3 8 2" xfId="34147"/>
    <cellStyle name="Calculation 3 2 2 3 9" xfId="27995"/>
    <cellStyle name="Calculation 3 2 2 3 9 2" xfId="36755"/>
    <cellStyle name="Calculation 3 2 2 4" xfId="15431"/>
    <cellStyle name="Calculation 3 2 2 4 10" xfId="26953"/>
    <cellStyle name="Calculation 3 2 2 4 10 2" xfId="35713"/>
    <cellStyle name="Calculation 3 2 2 4 11" xfId="32881"/>
    <cellStyle name="Calculation 3 2 2 4 2" xfId="27196"/>
    <cellStyle name="Calculation 3 2 2 4 2 2" xfId="35956"/>
    <cellStyle name="Calculation 3 2 2 4 3" xfId="25242"/>
    <cellStyle name="Calculation 3 2 2 4 3 2" xfId="34012"/>
    <cellStyle name="Calculation 3 2 2 4 4" xfId="27556"/>
    <cellStyle name="Calculation 3 2 2 4 4 2" xfId="36316"/>
    <cellStyle name="Calculation 3 2 2 4 5" xfId="25812"/>
    <cellStyle name="Calculation 3 2 2 4 5 2" xfId="34579"/>
    <cellStyle name="Calculation 3 2 2 4 6" xfId="28040"/>
    <cellStyle name="Calculation 3 2 2 4 6 2" xfId="36799"/>
    <cellStyle name="Calculation 3 2 2 4 7" xfId="28216"/>
    <cellStyle name="Calculation 3 2 2 4 7 2" xfId="36975"/>
    <cellStyle name="Calculation 3 2 2 4 8" xfId="28361"/>
    <cellStyle name="Calculation 3 2 2 4 8 2" xfId="37120"/>
    <cellStyle name="Calculation 3 2 2 4 9" xfId="25880"/>
    <cellStyle name="Calculation 3 2 2 4 9 2" xfId="34646"/>
    <cellStyle name="Calculation 3 2 2 5" xfId="24377"/>
    <cellStyle name="Calculation 3 2 2 5 10" xfId="32156"/>
    <cellStyle name="Calculation 3 2 2 5 10 2" xfId="40910"/>
    <cellStyle name="Calculation 3 2 2 5 11" xfId="33231"/>
    <cellStyle name="Calculation 3 2 2 5 2" xfId="29008"/>
    <cellStyle name="Calculation 3 2 2 5 2 2" xfId="37762"/>
    <cellStyle name="Calculation 3 2 2 5 3" xfId="29421"/>
    <cellStyle name="Calculation 3 2 2 5 3 2" xfId="38175"/>
    <cellStyle name="Calculation 3 2 2 5 4" xfId="29844"/>
    <cellStyle name="Calculation 3 2 2 5 4 2" xfId="38598"/>
    <cellStyle name="Calculation 3 2 2 5 5" xfId="30259"/>
    <cellStyle name="Calculation 3 2 2 5 5 2" xfId="39013"/>
    <cellStyle name="Calculation 3 2 2 5 6" xfId="30660"/>
    <cellStyle name="Calculation 3 2 2 5 6 2" xfId="39414"/>
    <cellStyle name="Calculation 3 2 2 5 7" xfId="31047"/>
    <cellStyle name="Calculation 3 2 2 5 7 2" xfId="39801"/>
    <cellStyle name="Calculation 3 2 2 5 8" xfId="31426"/>
    <cellStyle name="Calculation 3 2 2 5 8 2" xfId="40180"/>
    <cellStyle name="Calculation 3 2 2 5 9" xfId="31794"/>
    <cellStyle name="Calculation 3 2 2 5 9 2" xfId="40548"/>
    <cellStyle name="Calculation 3 2 2 6" xfId="25682"/>
    <cellStyle name="Calculation 3 2 2 6 2" xfId="34449"/>
    <cellStyle name="Calculation 3 2 2 7" xfId="28924"/>
    <cellStyle name="Calculation 3 2 2 7 2" xfId="37679"/>
    <cellStyle name="Calculation 3 2 2 8" xfId="25233"/>
    <cellStyle name="Calculation 3 2 2 8 2" xfId="34003"/>
    <cellStyle name="Calculation 3 2 2 9" xfId="26433"/>
    <cellStyle name="Calculation 3 2 2 9 2" xfId="35198"/>
    <cellStyle name="Calculation 3 2 3" xfId="12992"/>
    <cellStyle name="Calculation 3 2 3 10" xfId="1771"/>
    <cellStyle name="Calculation 3 2 3 10 2" xfId="32579"/>
    <cellStyle name="Calculation 3 2 3 11" xfId="25135"/>
    <cellStyle name="Calculation 3 2 3 11 2" xfId="33906"/>
    <cellStyle name="Calculation 3 2 3 12" xfId="32831"/>
    <cellStyle name="Calculation 3 2 3 2" xfId="24299"/>
    <cellStyle name="Calculation 3 2 3 2 10" xfId="32103"/>
    <cellStyle name="Calculation 3 2 3 2 10 2" xfId="40857"/>
    <cellStyle name="Calculation 3 2 3 2 11" xfId="33178"/>
    <cellStyle name="Calculation 3 2 3 2 2" xfId="28951"/>
    <cellStyle name="Calculation 3 2 3 2 2 2" xfId="37705"/>
    <cellStyle name="Calculation 3 2 3 2 3" xfId="29364"/>
    <cellStyle name="Calculation 3 2 3 2 3 2" xfId="38118"/>
    <cellStyle name="Calculation 3 2 3 2 4" xfId="29789"/>
    <cellStyle name="Calculation 3 2 3 2 4 2" xfId="38543"/>
    <cellStyle name="Calculation 3 2 3 2 5" xfId="30204"/>
    <cellStyle name="Calculation 3 2 3 2 5 2" xfId="38958"/>
    <cellStyle name="Calculation 3 2 3 2 6" xfId="30605"/>
    <cellStyle name="Calculation 3 2 3 2 6 2" xfId="39359"/>
    <cellStyle name="Calculation 3 2 3 2 7" xfId="30992"/>
    <cellStyle name="Calculation 3 2 3 2 7 2" xfId="39746"/>
    <cellStyle name="Calculation 3 2 3 2 8" xfId="31372"/>
    <cellStyle name="Calculation 3 2 3 2 8 2" xfId="40126"/>
    <cellStyle name="Calculation 3 2 3 2 9" xfId="31740"/>
    <cellStyle name="Calculation 3 2 3 2 9 2" xfId="40494"/>
    <cellStyle name="Calculation 3 2 3 3" xfId="26727"/>
    <cellStyle name="Calculation 3 2 3 3 2" xfId="35490"/>
    <cellStyle name="Calculation 3 2 3 4" xfId="25290"/>
    <cellStyle name="Calculation 3 2 3 4 2" xfId="34060"/>
    <cellStyle name="Calculation 3 2 3 5" xfId="27985"/>
    <cellStyle name="Calculation 3 2 3 5 2" xfId="36745"/>
    <cellStyle name="Calculation 3 2 3 6" xfId="28365"/>
    <cellStyle name="Calculation 3 2 3 6 2" xfId="37123"/>
    <cellStyle name="Calculation 3 2 3 7" xfId="28566"/>
    <cellStyle name="Calculation 3 2 3 7 2" xfId="37322"/>
    <cellStyle name="Calculation 3 2 3 8" xfId="27808"/>
    <cellStyle name="Calculation 3 2 3 8 2" xfId="36568"/>
    <cellStyle name="Calculation 3 2 3 9" xfId="26405"/>
    <cellStyle name="Calculation 3 2 3 9 2" xfId="35171"/>
    <cellStyle name="Calculation 3 2 4" xfId="12747"/>
    <cellStyle name="Calculation 3 2 4 10" xfId="28677"/>
    <cellStyle name="Calculation 3 2 4 10 2" xfId="37433"/>
    <cellStyle name="Calculation 3 2 4 11" xfId="25355"/>
    <cellStyle name="Calculation 3 2 4 11 2" xfId="34124"/>
    <cellStyle name="Calculation 3 2 4 12" xfId="32830"/>
    <cellStyle name="Calculation 3 2 4 2" xfId="24295"/>
    <cellStyle name="Calculation 3 2 4 2 10" xfId="32100"/>
    <cellStyle name="Calculation 3 2 4 2 10 2" xfId="40854"/>
    <cellStyle name="Calculation 3 2 4 2 11" xfId="33175"/>
    <cellStyle name="Calculation 3 2 4 2 2" xfId="28947"/>
    <cellStyle name="Calculation 3 2 4 2 2 2" xfId="37702"/>
    <cellStyle name="Calculation 3 2 4 2 3" xfId="29361"/>
    <cellStyle name="Calculation 3 2 4 2 3 2" xfId="38115"/>
    <cellStyle name="Calculation 3 2 4 2 4" xfId="29786"/>
    <cellStyle name="Calculation 3 2 4 2 4 2" xfId="38540"/>
    <cellStyle name="Calculation 3 2 4 2 5" xfId="30201"/>
    <cellStyle name="Calculation 3 2 4 2 5 2" xfId="38955"/>
    <cellStyle name="Calculation 3 2 4 2 6" xfId="30602"/>
    <cellStyle name="Calculation 3 2 4 2 6 2" xfId="39356"/>
    <cellStyle name="Calculation 3 2 4 2 7" xfId="30989"/>
    <cellStyle name="Calculation 3 2 4 2 7 2" xfId="39743"/>
    <cellStyle name="Calculation 3 2 4 2 8" xfId="31369"/>
    <cellStyle name="Calculation 3 2 4 2 8 2" xfId="40123"/>
    <cellStyle name="Calculation 3 2 4 2 9" xfId="31737"/>
    <cellStyle name="Calculation 3 2 4 2 9 2" xfId="40491"/>
    <cellStyle name="Calculation 3 2 4 3" xfId="26695"/>
    <cellStyle name="Calculation 3 2 4 3 2" xfId="35459"/>
    <cellStyle name="Calculation 3 2 4 4" xfId="24945"/>
    <cellStyle name="Calculation 3 2 4 4 2" xfId="33719"/>
    <cellStyle name="Calculation 3 2 4 5" xfId="25739"/>
    <cellStyle name="Calculation 3 2 4 5 2" xfId="34506"/>
    <cellStyle name="Calculation 3 2 4 6" xfId="26401"/>
    <cellStyle name="Calculation 3 2 4 6 2" xfId="35167"/>
    <cellStyle name="Calculation 3 2 4 7" xfId="28104"/>
    <cellStyle name="Calculation 3 2 4 7 2" xfId="36863"/>
    <cellStyle name="Calculation 3 2 4 8" xfId="27163"/>
    <cellStyle name="Calculation 3 2 4 8 2" xfId="35923"/>
    <cellStyle name="Calculation 3 2 4 9" xfId="27435"/>
    <cellStyle name="Calculation 3 2 4 9 2" xfId="36195"/>
    <cellStyle name="Calculation 3 2 5" xfId="18344"/>
    <cellStyle name="Calculation 3 2 5 10" xfId="25681"/>
    <cellStyle name="Calculation 3 2 5 10 2" xfId="34448"/>
    <cellStyle name="Calculation 3 2 5 11" xfId="26473"/>
    <cellStyle name="Calculation 3 2 5 11 2" xfId="35238"/>
    <cellStyle name="Calculation 3 2 5 12" xfId="33039"/>
    <cellStyle name="Calculation 3 2 5 2" xfId="24565"/>
    <cellStyle name="Calculation 3 2 5 2 10" xfId="32318"/>
    <cellStyle name="Calculation 3 2 5 2 10 2" xfId="41072"/>
    <cellStyle name="Calculation 3 2 5 2 11" xfId="33393"/>
    <cellStyle name="Calculation 3 2 5 2 2" xfId="29173"/>
    <cellStyle name="Calculation 3 2 5 2 2 2" xfId="37927"/>
    <cellStyle name="Calculation 3 2 5 2 3" xfId="29586"/>
    <cellStyle name="Calculation 3 2 5 2 3 2" xfId="38340"/>
    <cellStyle name="Calculation 3 2 5 2 4" xfId="30006"/>
    <cellStyle name="Calculation 3 2 5 2 4 2" xfId="38760"/>
    <cellStyle name="Calculation 3 2 5 2 5" xfId="30425"/>
    <cellStyle name="Calculation 3 2 5 2 5 2" xfId="39179"/>
    <cellStyle name="Calculation 3 2 5 2 6" xfId="30826"/>
    <cellStyle name="Calculation 3 2 5 2 6 2" xfId="39580"/>
    <cellStyle name="Calculation 3 2 5 2 7" xfId="31212"/>
    <cellStyle name="Calculation 3 2 5 2 7 2" xfId="39966"/>
    <cellStyle name="Calculation 3 2 5 2 8" xfId="31590"/>
    <cellStyle name="Calculation 3 2 5 2 8 2" xfId="40344"/>
    <cellStyle name="Calculation 3 2 5 2 9" xfId="31956"/>
    <cellStyle name="Calculation 3 2 5 2 9 2" xfId="40710"/>
    <cellStyle name="Calculation 3 2 5 3" xfId="27794"/>
    <cellStyle name="Calculation 3 2 5 3 2" xfId="36554"/>
    <cellStyle name="Calculation 3 2 5 4" xfId="26180"/>
    <cellStyle name="Calculation 3 2 5 4 2" xfId="34946"/>
    <cellStyle name="Calculation 3 2 5 5" xfId="28880"/>
    <cellStyle name="Calculation 3 2 5 5 2" xfId="37636"/>
    <cellStyle name="Calculation 3 2 5 6" xfId="27210"/>
    <cellStyle name="Calculation 3 2 5 6 2" xfId="35970"/>
    <cellStyle name="Calculation 3 2 5 7" xfId="26456"/>
    <cellStyle name="Calculation 3 2 5 7 2" xfId="35221"/>
    <cellStyle name="Calculation 3 2 5 8" xfId="28238"/>
    <cellStyle name="Calculation 3 2 5 8 2" xfId="36997"/>
    <cellStyle name="Calculation 3 2 5 9" xfId="26807"/>
    <cellStyle name="Calculation 3 2 5 9 2" xfId="35569"/>
    <cellStyle name="Calculation 3 2 6" xfId="26532"/>
    <cellStyle name="Calculation 3 2 6 2" xfId="35297"/>
    <cellStyle name="Calculation 3 2 7" xfId="26448"/>
    <cellStyle name="Calculation 3 2 7 2" xfId="35213"/>
    <cellStyle name="Calculation 3 2 8" xfId="25418"/>
    <cellStyle name="Calculation 3 2 8 2" xfId="34187"/>
    <cellStyle name="Calculation 3 2 9" xfId="26319"/>
    <cellStyle name="Calculation 3 2 9 2" xfId="35085"/>
    <cellStyle name="Calculation 3 3" xfId="6033"/>
    <cellStyle name="Calculation 3 3 10" xfId="28047"/>
    <cellStyle name="Calculation 3 3 10 2" xfId="36806"/>
    <cellStyle name="Calculation 3 3 11" xfId="25748"/>
    <cellStyle name="Calculation 3 3 11 2" xfId="34515"/>
    <cellStyle name="Calculation 3 3 12" xfId="32714"/>
    <cellStyle name="Calculation 3 3 13" xfId="41262"/>
    <cellStyle name="Calculation 3 3 2" xfId="18174"/>
    <cellStyle name="Calculation 3 3 2 10" xfId="1701"/>
    <cellStyle name="Calculation 3 3 2 10 2" xfId="32513"/>
    <cellStyle name="Calculation 3 3 2 11" xfId="26488"/>
    <cellStyle name="Calculation 3 3 2 11 2" xfId="35253"/>
    <cellStyle name="Calculation 3 3 2 12" xfId="32918"/>
    <cellStyle name="Calculation 3 3 2 2" xfId="24444"/>
    <cellStyle name="Calculation 3 3 2 2 10" xfId="32197"/>
    <cellStyle name="Calculation 3 3 2 2 10 2" xfId="40951"/>
    <cellStyle name="Calculation 3 3 2 2 11" xfId="33272"/>
    <cellStyle name="Calculation 3 3 2 2 2" xfId="29052"/>
    <cellStyle name="Calculation 3 3 2 2 2 2" xfId="37806"/>
    <cellStyle name="Calculation 3 3 2 2 3" xfId="29465"/>
    <cellStyle name="Calculation 3 3 2 2 3 2" xfId="38219"/>
    <cellStyle name="Calculation 3 3 2 2 4" xfId="29885"/>
    <cellStyle name="Calculation 3 3 2 2 4 2" xfId="38639"/>
    <cellStyle name="Calculation 3 3 2 2 5" xfId="30304"/>
    <cellStyle name="Calculation 3 3 2 2 5 2" xfId="39058"/>
    <cellStyle name="Calculation 3 3 2 2 6" xfId="30705"/>
    <cellStyle name="Calculation 3 3 2 2 6 2" xfId="39459"/>
    <cellStyle name="Calculation 3 3 2 2 7" xfId="31091"/>
    <cellStyle name="Calculation 3 3 2 2 7 2" xfId="39845"/>
    <cellStyle name="Calculation 3 3 2 2 8" xfId="31469"/>
    <cellStyle name="Calculation 3 3 2 2 8 2" xfId="40223"/>
    <cellStyle name="Calculation 3 3 2 2 9" xfId="31835"/>
    <cellStyle name="Calculation 3 3 2 2 9 2" xfId="40589"/>
    <cellStyle name="Calculation 3 3 2 3" xfId="27664"/>
    <cellStyle name="Calculation 3 3 2 3 2" xfId="36424"/>
    <cellStyle name="Calculation 3 3 2 4" xfId="27931"/>
    <cellStyle name="Calculation 3 3 2 4 2" xfId="36691"/>
    <cellStyle name="Calculation 3 3 2 5" xfId="26903"/>
    <cellStyle name="Calculation 3 3 2 5 2" xfId="35663"/>
    <cellStyle name="Calculation 3 3 2 6" xfId="25277"/>
    <cellStyle name="Calculation 3 3 2 6 2" xfId="34047"/>
    <cellStyle name="Calculation 3 3 2 7" xfId="25397"/>
    <cellStyle name="Calculation 3 3 2 7 2" xfId="34166"/>
    <cellStyle name="Calculation 3 3 2 8" xfId="25298"/>
    <cellStyle name="Calculation 3 3 2 8 2" xfId="34068"/>
    <cellStyle name="Calculation 3 3 2 9" xfId="24901"/>
    <cellStyle name="Calculation 3 3 2 9 2" xfId="33675"/>
    <cellStyle name="Calculation 3 3 3" xfId="23616"/>
    <cellStyle name="Calculation 3 3 3 10" xfId="30828"/>
    <cellStyle name="Calculation 3 3 3 10 2" xfId="39582"/>
    <cellStyle name="Calculation 3 3 3 11" xfId="31214"/>
    <cellStyle name="Calculation 3 3 3 11 2" xfId="39968"/>
    <cellStyle name="Calculation 3 3 3 12" xfId="33086"/>
    <cellStyle name="Calculation 3 3 3 2" xfId="24671"/>
    <cellStyle name="Calculation 3 3 3 2 10" xfId="32372"/>
    <cellStyle name="Calculation 3 3 3 2 10 2" xfId="41126"/>
    <cellStyle name="Calculation 3 3 3 2 11" xfId="33447"/>
    <cellStyle name="Calculation 3 3 3 2 2" xfId="29236"/>
    <cellStyle name="Calculation 3 3 3 2 2 2" xfId="37990"/>
    <cellStyle name="Calculation 3 3 3 2 3" xfId="29646"/>
    <cellStyle name="Calculation 3 3 3 2 3 2" xfId="38400"/>
    <cellStyle name="Calculation 3 3 3 2 4" xfId="30066"/>
    <cellStyle name="Calculation 3 3 3 2 4 2" xfId="38820"/>
    <cellStyle name="Calculation 3 3 3 2 5" xfId="30482"/>
    <cellStyle name="Calculation 3 3 3 2 5 2" xfId="39236"/>
    <cellStyle name="Calculation 3 3 3 2 6" xfId="30883"/>
    <cellStyle name="Calculation 3 3 3 2 6 2" xfId="39637"/>
    <cellStyle name="Calculation 3 3 3 2 7" xfId="31269"/>
    <cellStyle name="Calculation 3 3 3 2 7 2" xfId="40023"/>
    <cellStyle name="Calculation 3 3 3 2 8" xfId="31645"/>
    <cellStyle name="Calculation 3 3 3 2 8 2" xfId="40399"/>
    <cellStyle name="Calculation 3 3 3 2 9" xfId="32011"/>
    <cellStyle name="Calculation 3 3 3 2 9 2" xfId="40765"/>
    <cellStyle name="Calculation 3 3 3 3" xfId="28732"/>
    <cellStyle name="Calculation 3 3 3 3 2" xfId="37488"/>
    <cellStyle name="Calculation 3 3 3 4" xfId="24913"/>
    <cellStyle name="Calculation 3 3 3 4 2" xfId="33687"/>
    <cellStyle name="Calculation 3 3 3 5" xfId="26358"/>
    <cellStyle name="Calculation 3 3 3 5 2" xfId="35124"/>
    <cellStyle name="Calculation 3 3 3 6" xfId="27948"/>
    <cellStyle name="Calculation 3 3 3 6 2" xfId="36708"/>
    <cellStyle name="Calculation 3 3 3 7" xfId="28073"/>
    <cellStyle name="Calculation 3 3 3 7 2" xfId="36832"/>
    <cellStyle name="Calculation 3 3 3 8" xfId="30034"/>
    <cellStyle name="Calculation 3 3 3 8 2" xfId="38788"/>
    <cellStyle name="Calculation 3 3 3 9" xfId="30427"/>
    <cellStyle name="Calculation 3 3 3 9 2" xfId="39181"/>
    <cellStyle name="Calculation 3 3 4" xfId="26009"/>
    <cellStyle name="Calculation 3 3 4 2" xfId="34775"/>
    <cellStyle name="Calculation 3 3 5" xfId="27587"/>
    <cellStyle name="Calculation 3 3 5 2" xfId="36347"/>
    <cellStyle name="Calculation 3 3 6" xfId="25562"/>
    <cellStyle name="Calculation 3 3 6 2" xfId="34329"/>
    <cellStyle name="Calculation 3 3 7" xfId="2153"/>
    <cellStyle name="Calculation 3 3 7 2" xfId="32626"/>
    <cellStyle name="Calculation 3 3 8" xfId="24870"/>
    <cellStyle name="Calculation 3 3 8 2" xfId="33644"/>
    <cellStyle name="Calculation 3 3 9" xfId="26583"/>
    <cellStyle name="Calculation 3 3 9 2" xfId="35348"/>
    <cellStyle name="Calculation 3 4" xfId="6724"/>
    <cellStyle name="Calculation 3 4 10" xfId="25430"/>
    <cellStyle name="Calculation 3 4 10 2" xfId="34199"/>
    <cellStyle name="Calculation 3 4 11" xfId="26896"/>
    <cellStyle name="Calculation 3 4 11 2" xfId="35656"/>
    <cellStyle name="Calculation 3 4 12" xfId="27559"/>
    <cellStyle name="Calculation 3 4 12 2" xfId="36319"/>
    <cellStyle name="Calculation 3 4 13" xfId="26580"/>
    <cellStyle name="Calculation 3 4 13 2" xfId="35345"/>
    <cellStyle name="Calculation 3 4 14" xfId="27238"/>
    <cellStyle name="Calculation 3 4 14 2" xfId="35998"/>
    <cellStyle name="Calculation 3 4 2" xfId="18234"/>
    <cellStyle name="Calculation 3 4 2 10" xfId="27410"/>
    <cellStyle name="Calculation 3 4 2 10 2" xfId="36170"/>
    <cellStyle name="Calculation 3 4 2 11" xfId="29779"/>
    <cellStyle name="Calculation 3 4 2 11 2" xfId="38533"/>
    <cellStyle name="Calculation 3 4 2 12" xfId="32978"/>
    <cellStyle name="Calculation 3 4 2 2" xfId="24504"/>
    <cellStyle name="Calculation 3 4 2 2 10" xfId="32257"/>
    <cellStyle name="Calculation 3 4 2 2 10 2" xfId="41011"/>
    <cellStyle name="Calculation 3 4 2 2 11" xfId="33332"/>
    <cellStyle name="Calculation 3 4 2 2 2" xfId="29112"/>
    <cellStyle name="Calculation 3 4 2 2 2 2" xfId="37866"/>
    <cellStyle name="Calculation 3 4 2 2 3" xfId="29525"/>
    <cellStyle name="Calculation 3 4 2 2 3 2" xfId="38279"/>
    <cellStyle name="Calculation 3 4 2 2 4" xfId="29945"/>
    <cellStyle name="Calculation 3 4 2 2 4 2" xfId="38699"/>
    <cellStyle name="Calculation 3 4 2 2 5" xfId="30364"/>
    <cellStyle name="Calculation 3 4 2 2 5 2" xfId="39118"/>
    <cellStyle name="Calculation 3 4 2 2 6" xfId="30765"/>
    <cellStyle name="Calculation 3 4 2 2 6 2" xfId="39519"/>
    <cellStyle name="Calculation 3 4 2 2 7" xfId="31151"/>
    <cellStyle name="Calculation 3 4 2 2 7 2" xfId="39905"/>
    <cellStyle name="Calculation 3 4 2 2 8" xfId="31529"/>
    <cellStyle name="Calculation 3 4 2 2 8 2" xfId="40283"/>
    <cellStyle name="Calculation 3 4 2 2 9" xfId="31895"/>
    <cellStyle name="Calculation 3 4 2 2 9 2" xfId="40649"/>
    <cellStyle name="Calculation 3 4 2 3" xfId="27724"/>
    <cellStyle name="Calculation 3 4 2 3 2" xfId="36484"/>
    <cellStyle name="Calculation 3 4 2 4" xfId="25759"/>
    <cellStyle name="Calculation 3 4 2 4 2" xfId="34526"/>
    <cellStyle name="Calculation 3 4 2 5" xfId="24866"/>
    <cellStyle name="Calculation 3 4 2 5 2" xfId="33640"/>
    <cellStyle name="Calculation 3 4 2 6" xfId="25476"/>
    <cellStyle name="Calculation 3 4 2 6 2" xfId="34245"/>
    <cellStyle name="Calculation 3 4 2 7" xfId="25035"/>
    <cellStyle name="Calculation 3 4 2 7 2" xfId="33809"/>
    <cellStyle name="Calculation 3 4 2 8" xfId="27256"/>
    <cellStyle name="Calculation 3 4 2 8 2" xfId="36016"/>
    <cellStyle name="Calculation 3 4 2 9" xfId="1784"/>
    <cellStyle name="Calculation 3 4 2 9 2" xfId="32592"/>
    <cellStyle name="Calculation 3 4 3" xfId="20903"/>
    <cellStyle name="Calculation 3 4 3 10" xfId="26512"/>
    <cellStyle name="Calculation 3 4 3 10 2" xfId="35277"/>
    <cellStyle name="Calculation 3 4 3 11" xfId="27444"/>
    <cellStyle name="Calculation 3 4 3 11 2" xfId="36204"/>
    <cellStyle name="Calculation 3 4 3 12" xfId="33056"/>
    <cellStyle name="Calculation 3 4 3 2" xfId="24608"/>
    <cellStyle name="Calculation 3 4 3 2 10" xfId="32338"/>
    <cellStyle name="Calculation 3 4 3 2 10 2" xfId="41092"/>
    <cellStyle name="Calculation 3 4 3 2 11" xfId="33413"/>
    <cellStyle name="Calculation 3 4 3 2 2" xfId="29197"/>
    <cellStyle name="Calculation 3 4 3 2 2 2" xfId="37951"/>
    <cellStyle name="Calculation 3 4 3 2 3" xfId="29608"/>
    <cellStyle name="Calculation 3 4 3 2 3 2" xfId="38362"/>
    <cellStyle name="Calculation 3 4 3 2 4" xfId="30029"/>
    <cellStyle name="Calculation 3 4 3 2 4 2" xfId="38783"/>
    <cellStyle name="Calculation 3 4 3 2 5" xfId="30446"/>
    <cellStyle name="Calculation 3 4 3 2 5 2" xfId="39200"/>
    <cellStyle name="Calculation 3 4 3 2 6" xfId="30847"/>
    <cellStyle name="Calculation 3 4 3 2 6 2" xfId="39601"/>
    <cellStyle name="Calculation 3 4 3 2 7" xfId="31233"/>
    <cellStyle name="Calculation 3 4 3 2 7 2" xfId="39987"/>
    <cellStyle name="Calculation 3 4 3 2 8" xfId="31610"/>
    <cellStyle name="Calculation 3 4 3 2 8 2" xfId="40364"/>
    <cellStyle name="Calculation 3 4 3 2 9" xfId="31976"/>
    <cellStyle name="Calculation 3 4 3 2 9 2" xfId="40730"/>
    <cellStyle name="Calculation 3 4 3 3" xfId="28251"/>
    <cellStyle name="Calculation 3 4 3 3 2" xfId="37010"/>
    <cellStyle name="Calculation 3 4 3 4" xfId="27511"/>
    <cellStyle name="Calculation 3 4 3 4 2" xfId="36271"/>
    <cellStyle name="Calculation 3 4 3 5" xfId="27561"/>
    <cellStyle name="Calculation 3 4 3 5 2" xfId="36321"/>
    <cellStyle name="Calculation 3 4 3 6" xfId="27581"/>
    <cellStyle name="Calculation 3 4 3 6 2" xfId="36341"/>
    <cellStyle name="Calculation 3 4 3 7" xfId="24761"/>
    <cellStyle name="Calculation 3 4 3 7 2" xfId="33537"/>
    <cellStyle name="Calculation 3 4 3 8" xfId="26238"/>
    <cellStyle name="Calculation 3 4 3 8 2" xfId="35004"/>
    <cellStyle name="Calculation 3 4 3 9" xfId="24997"/>
    <cellStyle name="Calculation 3 4 3 9 2" xfId="33771"/>
    <cellStyle name="Calculation 3 4 4" xfId="15425"/>
    <cellStyle name="Calculation 3 4 4 10" xfId="27909"/>
    <cellStyle name="Calculation 3 4 4 10 2" xfId="36669"/>
    <cellStyle name="Calculation 3 4 4 11" xfId="32879"/>
    <cellStyle name="Calculation 3 4 4 2" xfId="27193"/>
    <cellStyle name="Calculation 3 4 4 2 2" xfId="35953"/>
    <cellStyle name="Calculation 3 4 4 3" xfId="28207"/>
    <cellStyle name="Calculation 3 4 4 3 2" xfId="36966"/>
    <cellStyle name="Calculation 3 4 4 4" xfId="25726"/>
    <cellStyle name="Calculation 3 4 4 4 2" xfId="34493"/>
    <cellStyle name="Calculation 3 4 4 5" xfId="26226"/>
    <cellStyle name="Calculation 3 4 4 5 2" xfId="34992"/>
    <cellStyle name="Calculation 3 4 4 6" xfId="26942"/>
    <cellStyle name="Calculation 3 4 4 6 2" xfId="35702"/>
    <cellStyle name="Calculation 3 4 4 7" xfId="27588"/>
    <cellStyle name="Calculation 3 4 4 7 2" xfId="36348"/>
    <cellStyle name="Calculation 3 4 4 8" xfId="26623"/>
    <cellStyle name="Calculation 3 4 4 8 2" xfId="35388"/>
    <cellStyle name="Calculation 3 4 4 9" xfId="26562"/>
    <cellStyle name="Calculation 3 4 4 9 2" xfId="35327"/>
    <cellStyle name="Calculation 3 4 5" xfId="24375"/>
    <cellStyle name="Calculation 3 4 5 10" xfId="32154"/>
    <cellStyle name="Calculation 3 4 5 10 2" xfId="40908"/>
    <cellStyle name="Calculation 3 4 5 11" xfId="33229"/>
    <cellStyle name="Calculation 3 4 5 2" xfId="29006"/>
    <cellStyle name="Calculation 3 4 5 2 2" xfId="37760"/>
    <cellStyle name="Calculation 3 4 5 3" xfId="29419"/>
    <cellStyle name="Calculation 3 4 5 3 2" xfId="38173"/>
    <cellStyle name="Calculation 3 4 5 4" xfId="29842"/>
    <cellStyle name="Calculation 3 4 5 4 2" xfId="38596"/>
    <cellStyle name="Calculation 3 4 5 5" xfId="30257"/>
    <cellStyle name="Calculation 3 4 5 5 2" xfId="39011"/>
    <cellStyle name="Calculation 3 4 5 6" xfId="30658"/>
    <cellStyle name="Calculation 3 4 5 6 2" xfId="39412"/>
    <cellStyle name="Calculation 3 4 5 7" xfId="31045"/>
    <cellStyle name="Calculation 3 4 5 7 2" xfId="39799"/>
    <cellStyle name="Calculation 3 4 5 8" xfId="31424"/>
    <cellStyle name="Calculation 3 4 5 8 2" xfId="40178"/>
    <cellStyle name="Calculation 3 4 5 9" xfId="31792"/>
    <cellStyle name="Calculation 3 4 5 9 2" xfId="40546"/>
    <cellStyle name="Calculation 3 4 6" xfId="25678"/>
    <cellStyle name="Calculation 3 4 6 2" xfId="34445"/>
    <cellStyle name="Calculation 3 4 7" xfId="27157"/>
    <cellStyle name="Calculation 3 4 7 2" xfId="35917"/>
    <cellStyle name="Calculation 3 4 8" xfId="25380"/>
    <cellStyle name="Calculation 3 4 8 2" xfId="34149"/>
    <cellStyle name="Calculation 3 4 9" xfId="26845"/>
    <cellStyle name="Calculation 3 4 9 2" xfId="35606"/>
    <cellStyle name="Calculation 3 5" xfId="2925"/>
    <cellStyle name="Calculation 3 5 2" xfId="32682"/>
    <cellStyle name="Calculation 3 6" xfId="25663"/>
    <cellStyle name="Calculation 3 6 2" xfId="34430"/>
    <cellStyle name="Calculation 3 7" xfId="25758"/>
    <cellStyle name="Calculation 3 7 2" xfId="34525"/>
    <cellStyle name="Calculation 3 8" xfId="28606"/>
    <cellStyle name="Calculation 3 8 2" xfId="37362"/>
    <cellStyle name="Calculation 3 9" xfId="26355"/>
    <cellStyle name="Calculation 3 9 2" xfId="35121"/>
    <cellStyle name="Calculation 4" xfId="9591"/>
    <cellStyle name="Calculation 4 2" xfId="24636"/>
    <cellStyle name="Calculation 4 2 10" xfId="32345"/>
    <cellStyle name="Calculation 4 2 10 2" xfId="41099"/>
    <cellStyle name="Calculation 4 2 11" xfId="33420"/>
    <cellStyle name="Calculation 4 2 12" xfId="43421"/>
    <cellStyle name="Calculation 4 2 13" xfId="44063"/>
    <cellStyle name="Calculation 4 2 2" xfId="29208"/>
    <cellStyle name="Calculation 4 2 2 2" xfId="37962"/>
    <cellStyle name="Calculation 4 2 3" xfId="29619"/>
    <cellStyle name="Calculation 4 2 3 2" xfId="38373"/>
    <cellStyle name="Calculation 4 2 4" xfId="30039"/>
    <cellStyle name="Calculation 4 2 4 2" xfId="38793"/>
    <cellStyle name="Calculation 4 2 5" xfId="30455"/>
    <cellStyle name="Calculation 4 2 5 2" xfId="39209"/>
    <cellStyle name="Calculation 4 2 6" xfId="30856"/>
    <cellStyle name="Calculation 4 2 6 2" xfId="39610"/>
    <cellStyle name="Calculation 4 2 7" xfId="31242"/>
    <cellStyle name="Calculation 4 2 7 2" xfId="39996"/>
    <cellStyle name="Calculation 4 2 8" xfId="31618"/>
    <cellStyle name="Calculation 4 2 8 2" xfId="40372"/>
    <cellStyle name="Calculation 4 2 9" xfId="31984"/>
    <cellStyle name="Calculation 4 2 9 2" xfId="40738"/>
    <cellStyle name="Calculation 4 3" xfId="32813"/>
    <cellStyle name="Calculation 4 4" xfId="43422"/>
    <cellStyle name="Calculation 4 5" xfId="44058"/>
    <cellStyle name="Calculation 5" xfId="41263"/>
    <cellStyle name="Calculation 5 2" xfId="41264"/>
    <cellStyle name="Calculation 5 2 2" xfId="43419"/>
    <cellStyle name="Calculation 5 2 3" xfId="44066"/>
    <cellStyle name="Calculation 5 3" xfId="43420"/>
    <cellStyle name="Calculation 5 4" xfId="44074"/>
    <cellStyle name="Calculation 6" xfId="42975"/>
    <cellStyle name="Centered Heading" xfId="300"/>
    <cellStyle name="Centered Heading 2" xfId="301"/>
    <cellStyle name="Centered Heading 3" xfId="302"/>
    <cellStyle name="Centered Heading 3 2" xfId="3236"/>
    <cellStyle name="Centered Heading 4" xfId="673"/>
    <cellStyle name="Centered Heading 5" xfId="650"/>
    <cellStyle name="Centered Heading 6" xfId="41265"/>
    <cellStyle name="CenterHead" xfId="303"/>
    <cellStyle name="CenterHead 2" xfId="304"/>
    <cellStyle name="Check Cell" xfId="29" builtinId="23" customBuiltin="1"/>
    <cellStyle name="Check Cell 2" xfId="93"/>
    <cellStyle name="Check Cell 2 2" xfId="962"/>
    <cellStyle name="Check Cell 2 2 2" xfId="2814"/>
    <cellStyle name="Check Cell 2 2 3" xfId="23816"/>
    <cellStyle name="Check Cell 2 2 4" xfId="2095"/>
    <cellStyle name="Check Cell 2 3" xfId="3237"/>
    <cellStyle name="Check Cell 2 3 2" xfId="43092"/>
    <cellStyle name="Check Cell 2 4" xfId="44214"/>
    <cellStyle name="Check Cell 2 5" xfId="272"/>
    <cellStyle name="Check Cell 3" xfId="3238"/>
    <cellStyle name="Check Cell 3 2" xfId="44152"/>
    <cellStyle name="Check Cell 4" xfId="42977"/>
    <cellStyle name="Client Name" xfId="963"/>
    <cellStyle name="Column Headings" xfId="964"/>
    <cellStyle name="Column_Title" xfId="305"/>
    <cellStyle name="Comma" xfId="1" builtinId="3"/>
    <cellStyle name="Comma [0] 2" xfId="307"/>
    <cellStyle name="Comma [0] 2 2" xfId="1024"/>
    <cellStyle name="Comma [0] 2 2 2" xfId="1481"/>
    <cellStyle name="Comma [0] 2 2 2 2" xfId="1613"/>
    <cellStyle name="Comma [0] 2 2 2 2 2" xfId="3239"/>
    <cellStyle name="Comma [0] 2 2 2 2 2 2" xfId="41270"/>
    <cellStyle name="Comma [0] 2 2 2 2 3" xfId="41269"/>
    <cellStyle name="Comma [0] 2 2 2 3" xfId="41271"/>
    <cellStyle name="Comma [0] 2 2 2 4" xfId="41268"/>
    <cellStyle name="Comma [0] 2 2 3" xfId="1302"/>
    <cellStyle name="Comma [0] 2 2 3 2" xfId="1607"/>
    <cellStyle name="Comma [0] 2 2 3 2 2" xfId="3240"/>
    <cellStyle name="Comma [0] 2 2 3 2 2 2" xfId="41274"/>
    <cellStyle name="Comma [0] 2 2 3 2 3" xfId="41273"/>
    <cellStyle name="Comma [0] 2 2 3 3" xfId="41275"/>
    <cellStyle name="Comma [0] 2 2 3 4" xfId="41272"/>
    <cellStyle name="Comma [0] 2 2 4" xfId="3029"/>
    <cellStyle name="Comma [0] 2 2 4 2" xfId="3241"/>
    <cellStyle name="Comma [0] 2 2 4 2 2" xfId="41277"/>
    <cellStyle name="Comma [0] 2 2 4 3" xfId="41276"/>
    <cellStyle name="Comma [0] 2 2 5" xfId="3242"/>
    <cellStyle name="Comma [0] 2 2 5 2" xfId="41278"/>
    <cellStyle name="Comma [0] 2 2 6" xfId="41267"/>
    <cellStyle name="Comma [0] 2 3" xfId="1281"/>
    <cellStyle name="Comma [0] 2 3 2" xfId="1601"/>
    <cellStyle name="Comma [0] 2 3 2 2" xfId="3243"/>
    <cellStyle name="Comma [0] 2 3 2 2 2" xfId="41281"/>
    <cellStyle name="Comma [0] 2 3 2 3" xfId="41280"/>
    <cellStyle name="Comma [0] 2 3 3" xfId="2573"/>
    <cellStyle name="Comma [0] 2 3 3 2" xfId="3244"/>
    <cellStyle name="Comma [0] 2 3 3 2 2" xfId="41283"/>
    <cellStyle name="Comma [0] 2 3 3 3" xfId="41282"/>
    <cellStyle name="Comma [0] 2 3 4" xfId="41284"/>
    <cellStyle name="Comma [0] 2 3 5" xfId="41279"/>
    <cellStyle name="Comma [0] 2 4" xfId="675"/>
    <cellStyle name="Comma [0] 2 4 2" xfId="3245"/>
    <cellStyle name="Comma [0] 2 4 2 2" xfId="41286"/>
    <cellStyle name="Comma [0] 2 4 3" xfId="41285"/>
    <cellStyle name="Comma [0] 2 5" xfId="41287"/>
    <cellStyle name="Comma [0] 2 6" xfId="41266"/>
    <cellStyle name="Comma [0] 3" xfId="1067"/>
    <cellStyle name="Comma [0] 3 2" xfId="1104"/>
    <cellStyle name="Comma [0] 3 2 2" xfId="3035"/>
    <cellStyle name="Comma [0] 3 2 2 2" xfId="3246"/>
    <cellStyle name="Comma [0] 3 2 2 2 2" xfId="41291"/>
    <cellStyle name="Comma [0] 3 2 2 3" xfId="41290"/>
    <cellStyle name="Comma [0] 3 2 3" xfId="3247"/>
    <cellStyle name="Comma [0] 3 2 3 2" xfId="41292"/>
    <cellStyle name="Comma [0] 3 2 4" xfId="41289"/>
    <cellStyle name="Comma [0] 3 3" xfId="3034"/>
    <cellStyle name="Comma [0] 3 3 2" xfId="3248"/>
    <cellStyle name="Comma [0] 3 3 2 2" xfId="41294"/>
    <cellStyle name="Comma [0] 3 3 3" xfId="41293"/>
    <cellStyle name="Comma [0] 3 4" xfId="3249"/>
    <cellStyle name="Comma [0] 3 4 2" xfId="41295"/>
    <cellStyle name="Comma [0] 3 5" xfId="41288"/>
    <cellStyle name="Comma [0] 4" xfId="1157"/>
    <cellStyle name="Comma [0] 4 2" xfId="3036"/>
    <cellStyle name="Comma [0] 4 2 2" xfId="3250"/>
    <cellStyle name="Comma [0] 4 2 2 2" xfId="41298"/>
    <cellStyle name="Comma [0] 4 2 3" xfId="41297"/>
    <cellStyle name="Comma [0] 4 3" xfId="3251"/>
    <cellStyle name="Comma [0] 4 3 2" xfId="41299"/>
    <cellStyle name="Comma [0] 4 4" xfId="41296"/>
    <cellStyle name="Comma [0] 5" xfId="1284"/>
    <cellStyle name="Comma [0] 5 2" xfId="1602"/>
    <cellStyle name="Comma [0] 5 2 2" xfId="41301"/>
    <cellStyle name="Comma [0] 5 3" xfId="41300"/>
    <cellStyle name="Comma [00]" xfId="308"/>
    <cellStyle name="Comma [00] 2" xfId="309"/>
    <cellStyle name="Comma [00] 2 2" xfId="1532"/>
    <cellStyle name="Comma [00] 2 2 2" xfId="41304"/>
    <cellStyle name="Comma [00] 2 3" xfId="2036"/>
    <cellStyle name="Comma [00] 2 3 2" xfId="41305"/>
    <cellStyle name="Comma [00] 2 4" xfId="41303"/>
    <cellStyle name="Comma [00] 3" xfId="676"/>
    <cellStyle name="Comma [00] 3 2" xfId="41306"/>
    <cellStyle name="Comma [00] 4" xfId="2035"/>
    <cellStyle name="Comma [00] 4 2" xfId="41307"/>
    <cellStyle name="Comma [00] 5" xfId="41302"/>
    <cellStyle name="Comma 0.0" xfId="310"/>
    <cellStyle name="Comma 0.0 2" xfId="311"/>
    <cellStyle name="Comma 0.0 2 2" xfId="1914"/>
    <cellStyle name="Comma 0.0 3" xfId="652"/>
    <cellStyle name="Comma 0.00" xfId="312"/>
    <cellStyle name="Comma 0.000" xfId="313"/>
    <cellStyle name="Comma 0.0000" xfId="314"/>
    <cellStyle name="Comma 10" xfId="315"/>
    <cellStyle name="Comma 10 2" xfId="1319"/>
    <cellStyle name="Comma 10 2 2" xfId="41308"/>
    <cellStyle name="Comma 10 2 3" xfId="41309"/>
    <cellStyle name="Comma 10 3" xfId="3252"/>
    <cellStyle name="Comma 10 3 2" xfId="12535"/>
    <cellStyle name="Comma 10 4" xfId="24289"/>
    <cellStyle name="Comma 10 4 2" xfId="41310"/>
    <cellStyle name="Comma 100" xfId="2369"/>
    <cellStyle name="Comma 100 2" xfId="3253"/>
    <cellStyle name="Comma 100 2 2" xfId="23931"/>
    <cellStyle name="Comma 101" xfId="2321"/>
    <cellStyle name="Comma 101 2" xfId="3254"/>
    <cellStyle name="Comma 101 2 2" xfId="23897"/>
    <cellStyle name="Comma 102" xfId="2324"/>
    <cellStyle name="Comma 102 2" xfId="3255"/>
    <cellStyle name="Comma 102 2 2" xfId="23900"/>
    <cellStyle name="Comma 103" xfId="2332"/>
    <cellStyle name="Comma 103 2" xfId="3256"/>
    <cellStyle name="Comma 103 2 2" xfId="23907"/>
    <cellStyle name="Comma 104" xfId="2382"/>
    <cellStyle name="Comma 104 2" xfId="3257"/>
    <cellStyle name="Comma 104 2 2" xfId="23941"/>
    <cellStyle name="Comma 105" xfId="2331"/>
    <cellStyle name="Comma 105 2" xfId="3258"/>
    <cellStyle name="Comma 105 2 2" xfId="23906"/>
    <cellStyle name="Comma 106" xfId="2372"/>
    <cellStyle name="Comma 106 2" xfId="3259"/>
    <cellStyle name="Comma 106 2 2" xfId="23934"/>
    <cellStyle name="Comma 107" xfId="2383"/>
    <cellStyle name="Comma 107 2" xfId="23942"/>
    <cellStyle name="Comma 108" xfId="2339"/>
    <cellStyle name="Comma 108 2" xfId="23913"/>
    <cellStyle name="Comma 109" xfId="2385"/>
    <cellStyle name="Comma 109 2" xfId="23944"/>
    <cellStyle name="Comma 11" xfId="535"/>
    <cellStyle name="Comma 11 2" xfId="1320"/>
    <cellStyle name="Comma 11 2 2" xfId="41311"/>
    <cellStyle name="Comma 11 2 3" xfId="41312"/>
    <cellStyle name="Comma 11 3" xfId="3260"/>
    <cellStyle name="Comma 11 3 2" xfId="18145"/>
    <cellStyle name="Comma 11 4" xfId="24370"/>
    <cellStyle name="Comma 11 4 2" xfId="41313"/>
    <cellStyle name="Comma 110" xfId="2371"/>
    <cellStyle name="Comma 110 2" xfId="23933"/>
    <cellStyle name="Comma 111" xfId="2391"/>
    <cellStyle name="Comma 111 2" xfId="23947"/>
    <cellStyle name="Comma 112" xfId="2168"/>
    <cellStyle name="Comma 112 2" xfId="23848"/>
    <cellStyle name="Comma 113" xfId="2203"/>
    <cellStyle name="Comma 113 2" xfId="23866"/>
    <cellStyle name="Comma 114" xfId="2350"/>
    <cellStyle name="Comma 114 2" xfId="23919"/>
    <cellStyle name="Comma 115" xfId="2373"/>
    <cellStyle name="Comma 115 2" xfId="23935"/>
    <cellStyle name="Comma 116" xfId="2380"/>
    <cellStyle name="Comma 116 2" xfId="23940"/>
    <cellStyle name="Comma 117" xfId="2553"/>
    <cellStyle name="Comma 117 2" xfId="2750"/>
    <cellStyle name="Comma 117 3" xfId="2611"/>
    <cellStyle name="Comma 117 3 2" xfId="41314"/>
    <cellStyle name="Comma 117 4" xfId="3081"/>
    <cellStyle name="Comma 117 4 2" xfId="6784"/>
    <cellStyle name="Comma 117 5" xfId="3085"/>
    <cellStyle name="Comma 117 6" xfId="3261"/>
    <cellStyle name="Comma 118" xfId="2642"/>
    <cellStyle name="Comma 118 2" xfId="2751"/>
    <cellStyle name="Comma 118 3" xfId="23998"/>
    <cellStyle name="Comma 118 4" xfId="41315"/>
    <cellStyle name="Comma 119" xfId="2623"/>
    <cellStyle name="Comma 119 2" xfId="2752"/>
    <cellStyle name="Comma 119 3" xfId="23992"/>
    <cellStyle name="Comma 119 4" xfId="41316"/>
    <cellStyle name="Comma 12" xfId="518"/>
    <cellStyle name="Comma 12 2" xfId="1321"/>
    <cellStyle name="Comma 12 2 2" xfId="41317"/>
    <cellStyle name="Comma 12 2 3" xfId="41318"/>
    <cellStyle name="Comma 12 3" xfId="3262"/>
    <cellStyle name="Comma 12 3 2" xfId="41319"/>
    <cellStyle name="Comma 120" xfId="2659"/>
    <cellStyle name="Comma 120 2" xfId="2753"/>
    <cellStyle name="Comma 120 3" xfId="24000"/>
    <cellStyle name="Comma 120 4" xfId="41320"/>
    <cellStyle name="Comma 121" xfId="2608"/>
    <cellStyle name="Comma 121 2" xfId="41321"/>
    <cellStyle name="Comma 122" xfId="2613"/>
    <cellStyle name="Comma 122 2" xfId="41322"/>
    <cellStyle name="Comma 123" xfId="2638"/>
    <cellStyle name="Comma 123 2" xfId="41323"/>
    <cellStyle name="Comma 124" xfId="2675"/>
    <cellStyle name="Comma 124 2" xfId="41324"/>
    <cellStyle name="Comma 125" xfId="2705"/>
    <cellStyle name="Comma 125 2" xfId="41325"/>
    <cellStyle name="Comma 126" xfId="2651"/>
    <cellStyle name="Comma 126 2" xfId="41326"/>
    <cellStyle name="Comma 127" xfId="2644"/>
    <cellStyle name="Comma 127 2" xfId="41327"/>
    <cellStyle name="Comma 128" xfId="2662"/>
    <cellStyle name="Comma 128 2" xfId="41328"/>
    <cellStyle name="Comma 129" xfId="2701"/>
    <cellStyle name="Comma 129 2" xfId="41329"/>
    <cellStyle name="Comma 13" xfId="536"/>
    <cellStyle name="Comma 13 2" xfId="1322"/>
    <cellStyle name="Comma 13 2 2" xfId="41330"/>
    <cellStyle name="Comma 13 2 3" xfId="41331"/>
    <cellStyle name="Comma 13 3" xfId="3263"/>
    <cellStyle name="Comma 130" xfId="2721"/>
    <cellStyle name="Comma 130 2" xfId="41332"/>
    <cellStyle name="Comma 131" xfId="2729"/>
    <cellStyle name="Comma 131 2" xfId="41333"/>
    <cellStyle name="Comma 132" xfId="2707"/>
    <cellStyle name="Comma 132 2" xfId="41334"/>
    <cellStyle name="Comma 133" xfId="2693"/>
    <cellStyle name="Comma 133 2" xfId="41335"/>
    <cellStyle name="Comma 134" xfId="2657"/>
    <cellStyle name="Comma 134 2" xfId="41336"/>
    <cellStyle name="Comma 135" xfId="2678"/>
    <cellStyle name="Comma 135 2" xfId="41337"/>
    <cellStyle name="Comma 136" xfId="2702"/>
    <cellStyle name="Comma 136 2" xfId="41338"/>
    <cellStyle name="Comma 137" xfId="2712"/>
    <cellStyle name="Comma 137 2" xfId="41339"/>
    <cellStyle name="Comma 138" xfId="2723"/>
    <cellStyle name="Comma 138 2" xfId="41340"/>
    <cellStyle name="Comma 139" xfId="2716"/>
    <cellStyle name="Comma 139 2" xfId="41341"/>
    <cellStyle name="Comma 14" xfId="306"/>
    <cellStyle name="Comma 14 2" xfId="1323"/>
    <cellStyle name="Comma 14 2 2" xfId="2356"/>
    <cellStyle name="Comma 14 2 3" xfId="41342"/>
    <cellStyle name="Comma 14 2 4" xfId="41343"/>
    <cellStyle name="Comma 14 3" xfId="2297"/>
    <cellStyle name="Comma 14 3 2" xfId="3264"/>
    <cellStyle name="Comma 14 4" xfId="2174"/>
    <cellStyle name="Comma 14 4 2" xfId="23853"/>
    <cellStyle name="Comma 14 5" xfId="41344"/>
    <cellStyle name="Comma 140" xfId="2726"/>
    <cellStyle name="Comma 140 2" xfId="41345"/>
    <cellStyle name="Comma 141" xfId="2677"/>
    <cellStyle name="Comma 141 2" xfId="41346"/>
    <cellStyle name="Comma 142" xfId="2704"/>
    <cellStyle name="Comma 142 2" xfId="41347"/>
    <cellStyle name="Comma 143" xfId="2724"/>
    <cellStyle name="Comma 143 2" xfId="41348"/>
    <cellStyle name="Comma 144" xfId="2736"/>
    <cellStyle name="Comma 144 2" xfId="41349"/>
    <cellStyle name="Comma 145" xfId="2639"/>
    <cellStyle name="Comma 145 2" xfId="41350"/>
    <cellStyle name="Comma 146" xfId="2733"/>
    <cellStyle name="Comma 146 2" xfId="41351"/>
    <cellStyle name="Comma 147" xfId="2674"/>
    <cellStyle name="Comma 147 2" xfId="41352"/>
    <cellStyle name="Comma 148" xfId="3038"/>
    <cellStyle name="Comma 148 2" xfId="41353"/>
    <cellStyle name="Comma 149" xfId="3265"/>
    <cellStyle name="Comma 149 2" xfId="9592"/>
    <cellStyle name="Comma 149 2 2" xfId="24280"/>
    <cellStyle name="Comma 149 3" xfId="10064"/>
    <cellStyle name="Comma 149 4" xfId="41354"/>
    <cellStyle name="Comma 15" xfId="551"/>
    <cellStyle name="Comma 15 2" xfId="1324"/>
    <cellStyle name="Comma 15 2 2" xfId="3266"/>
    <cellStyle name="Comma 15 2 3" xfId="6119"/>
    <cellStyle name="Comma 15 3" xfId="754"/>
    <cellStyle name="Comma 15 3 2" xfId="41355"/>
    <cellStyle name="Comma 15 4" xfId="41356"/>
    <cellStyle name="Comma 150" xfId="3267"/>
    <cellStyle name="Comma 150 2" xfId="41357"/>
    <cellStyle name="Comma 151" xfId="3268"/>
    <cellStyle name="Comma 151 2" xfId="41358"/>
    <cellStyle name="Comma 152" xfId="3269"/>
    <cellStyle name="Comma 152 2" xfId="42741"/>
    <cellStyle name="Comma 152 2 2" xfId="42892"/>
    <cellStyle name="Comma 152 2 3" xfId="43694"/>
    <cellStyle name="Comma 152 2 4" xfId="43570"/>
    <cellStyle name="Comma 152 2 5" xfId="44055"/>
    <cellStyle name="Comma 152 3" xfId="42673"/>
    <cellStyle name="Comma 152 3 2" xfId="42960"/>
    <cellStyle name="Comma 152 4" xfId="42824"/>
    <cellStyle name="Comma 152 5" xfId="42467"/>
    <cellStyle name="Comma 152 6" xfId="43685"/>
    <cellStyle name="Comma 152 7" xfId="43502"/>
    <cellStyle name="Comma 152 8" xfId="43989"/>
    <cellStyle name="Comma 153" xfId="3270"/>
    <cellStyle name="Comma 153 2" xfId="43006"/>
    <cellStyle name="Comma 153 3" xfId="42744"/>
    <cellStyle name="Comma 154" xfId="3271"/>
    <cellStyle name="Comma 154 2" xfId="43027"/>
    <cellStyle name="Comma 155" xfId="3272"/>
    <cellStyle name="Comma 155 2" xfId="43046"/>
    <cellStyle name="Comma 155 3" xfId="43029"/>
    <cellStyle name="Comma 156" xfId="3273"/>
    <cellStyle name="Comma 156 2" xfId="43030"/>
    <cellStyle name="Comma 157" xfId="3274"/>
    <cellStyle name="Comma 157 2" xfId="43031"/>
    <cellStyle name="Comma 158" xfId="3275"/>
    <cellStyle name="Comma 158 2" xfId="43034"/>
    <cellStyle name="Comma 159" xfId="3276"/>
    <cellStyle name="Comma 159 2" xfId="43035"/>
    <cellStyle name="Comma 16" xfId="556"/>
    <cellStyle name="Comma 16 2" xfId="1325"/>
    <cellStyle name="Comma 16 2 2" xfId="3277"/>
    <cellStyle name="Comma 16 2 2 2" xfId="3278"/>
    <cellStyle name="Comma 16 2 2 2 2" xfId="3279"/>
    <cellStyle name="Comma 16 2 2 2 2 2" xfId="8679"/>
    <cellStyle name="Comma 16 2 2 2 2 2 2" xfId="22786"/>
    <cellStyle name="Comma 16 2 2 2 2 2 3" xfId="17313"/>
    <cellStyle name="Comma 16 2 2 2 2 3" xfId="12995"/>
    <cellStyle name="Comma 16 2 2 2 2 4" xfId="18536"/>
    <cellStyle name="Comma 16 2 2 2 2 5" xfId="11927"/>
    <cellStyle name="Comma 16 2 2 2 3" xfId="7887"/>
    <cellStyle name="Comma 16 2 2 2 3 2" xfId="21994"/>
    <cellStyle name="Comma 16 2 2 2 3 3" xfId="16521"/>
    <cellStyle name="Comma 16 2 2 2 4" xfId="12994"/>
    <cellStyle name="Comma 16 2 2 2 5" xfId="18535"/>
    <cellStyle name="Comma 16 2 2 2 6" xfId="11134"/>
    <cellStyle name="Comma 16 2 2 3" xfId="3280"/>
    <cellStyle name="Comma 16 2 2 3 2" xfId="6618"/>
    <cellStyle name="Comma 16 2 2 3 2 2" xfId="9217"/>
    <cellStyle name="Comma 16 2 2 3 2 2 2" xfId="23318"/>
    <cellStyle name="Comma 16 2 2 3 2 2 3" xfId="17851"/>
    <cellStyle name="Comma 16 2 2 3 2 3" xfId="15403"/>
    <cellStyle name="Comma 16 2 2 3 2 4" xfId="20896"/>
    <cellStyle name="Comma 16 2 2 3 2 5" xfId="12462"/>
    <cellStyle name="Comma 16 2 2 3 3" xfId="7627"/>
    <cellStyle name="Comma 16 2 2 3 3 2" xfId="21734"/>
    <cellStyle name="Comma 16 2 2 3 3 3" xfId="16261"/>
    <cellStyle name="Comma 16 2 2 3 4" xfId="12996"/>
    <cellStyle name="Comma 16 2 2 3 5" xfId="18537"/>
    <cellStyle name="Comma 16 2 2 3 6" xfId="10874"/>
    <cellStyle name="Comma 16 2 2 4" xfId="3281"/>
    <cellStyle name="Comma 16 2 2 4 2" xfId="8419"/>
    <cellStyle name="Comma 16 2 2 4 2 2" xfId="22526"/>
    <cellStyle name="Comma 16 2 2 4 2 3" xfId="17053"/>
    <cellStyle name="Comma 16 2 2 4 3" xfId="12997"/>
    <cellStyle name="Comma 16 2 2 4 4" xfId="18538"/>
    <cellStyle name="Comma 16 2 2 4 5" xfId="11667"/>
    <cellStyle name="Comma 16 2 2 5" xfId="7094"/>
    <cellStyle name="Comma 16 2 2 5 2" xfId="21202"/>
    <cellStyle name="Comma 16 2 2 5 3" xfId="15729"/>
    <cellStyle name="Comma 16 2 2 6" xfId="12993"/>
    <cellStyle name="Comma 16 2 2 7" xfId="18534"/>
    <cellStyle name="Comma 16 2 2 8" xfId="10342"/>
    <cellStyle name="Comma 16 2 3" xfId="3282"/>
    <cellStyle name="Comma 16 2 3 2" xfId="3283"/>
    <cellStyle name="Comma 16 2 3 2 2" xfId="8243"/>
    <cellStyle name="Comma 16 2 3 2 2 2" xfId="22350"/>
    <cellStyle name="Comma 16 2 3 2 2 3" xfId="16877"/>
    <cellStyle name="Comma 16 2 3 2 3" xfId="12999"/>
    <cellStyle name="Comma 16 2 3 2 4" xfId="18540"/>
    <cellStyle name="Comma 16 2 3 2 5" xfId="11490"/>
    <cellStyle name="Comma 16 2 3 3" xfId="3284"/>
    <cellStyle name="Comma 16 2 3 3 2" xfId="9041"/>
    <cellStyle name="Comma 16 2 3 3 2 2" xfId="23142"/>
    <cellStyle name="Comma 16 2 3 3 2 3" xfId="17675"/>
    <cellStyle name="Comma 16 2 3 3 3" xfId="13000"/>
    <cellStyle name="Comma 16 2 3 3 4" xfId="18541"/>
    <cellStyle name="Comma 16 2 3 3 5" xfId="12286"/>
    <cellStyle name="Comma 16 2 3 4" xfId="7451"/>
    <cellStyle name="Comma 16 2 3 4 2" xfId="21558"/>
    <cellStyle name="Comma 16 2 3 4 3" xfId="16085"/>
    <cellStyle name="Comma 16 2 3 5" xfId="12998"/>
    <cellStyle name="Comma 16 2 3 6" xfId="18539"/>
    <cellStyle name="Comma 16 2 3 7" xfId="10698"/>
    <cellStyle name="Comma 16 2 4" xfId="3285"/>
    <cellStyle name="Comma 16 2 4 2" xfId="3286"/>
    <cellStyle name="Comma 16 2 4 2 2" xfId="8503"/>
    <cellStyle name="Comma 16 2 4 2 2 2" xfId="22610"/>
    <cellStyle name="Comma 16 2 4 2 2 3" xfId="17137"/>
    <cellStyle name="Comma 16 2 4 2 3" xfId="13002"/>
    <cellStyle name="Comma 16 2 4 2 4" xfId="18543"/>
    <cellStyle name="Comma 16 2 4 2 5" xfId="11751"/>
    <cellStyle name="Comma 16 2 4 3" xfId="7711"/>
    <cellStyle name="Comma 16 2 4 3 2" xfId="21818"/>
    <cellStyle name="Comma 16 2 4 3 3" xfId="16345"/>
    <cellStyle name="Comma 16 2 4 4" xfId="13001"/>
    <cellStyle name="Comma 16 2 4 5" xfId="18542"/>
    <cellStyle name="Comma 16 2 4 6" xfId="10958"/>
    <cellStyle name="Comma 16 2 5" xfId="3287"/>
    <cellStyle name="Comma 16 2 5 2" xfId="6429"/>
    <cellStyle name="Comma 16 2 5 2 2" xfId="8865"/>
    <cellStyle name="Comma 16 2 5 2 2 2" xfId="22966"/>
    <cellStyle name="Comma 16 2 5 2 2 3" xfId="17499"/>
    <cellStyle name="Comma 16 2 5 2 3" xfId="15258"/>
    <cellStyle name="Comma 16 2 5 2 4" xfId="20752"/>
    <cellStyle name="Comma 16 2 5 2 5" xfId="12109"/>
    <cellStyle name="Comma 16 2 5 3" xfId="7275"/>
    <cellStyle name="Comma 16 2 5 3 2" xfId="21382"/>
    <cellStyle name="Comma 16 2 5 3 3" xfId="15909"/>
    <cellStyle name="Comma 16 2 5 4" xfId="13003"/>
    <cellStyle name="Comma 16 2 5 5" xfId="18544"/>
    <cellStyle name="Comma 16 2 5 6" xfId="10522"/>
    <cellStyle name="Comma 16 2 6" xfId="3288"/>
    <cellStyle name="Comma 16 2 6 2" xfId="8067"/>
    <cellStyle name="Comma 16 2 6 2 2" xfId="22174"/>
    <cellStyle name="Comma 16 2 6 2 3" xfId="16701"/>
    <cellStyle name="Comma 16 2 6 3" xfId="13004"/>
    <cellStyle name="Comma 16 2 6 4" xfId="18545"/>
    <cellStyle name="Comma 16 2 6 5" xfId="11314"/>
    <cellStyle name="Comma 16 2 7" xfId="3289"/>
    <cellStyle name="Comma 16 2 8" xfId="6915"/>
    <cellStyle name="Comma 16 2 8 2" xfId="21026"/>
    <cellStyle name="Comma 16 2 8 3" xfId="15553"/>
    <cellStyle name="Comma 16 2 9" xfId="10166"/>
    <cellStyle name="Comma 16 3" xfId="41359"/>
    <cellStyle name="Comma 16 4" xfId="41360"/>
    <cellStyle name="Comma 160" xfId="3290"/>
    <cellStyle name="Comma 160 2" xfId="42821"/>
    <cellStyle name="Comma 161" xfId="3291"/>
    <cellStyle name="Comma 161 2" xfId="43120"/>
    <cellStyle name="Comma 162" xfId="3159"/>
    <cellStyle name="Comma 162 2" xfId="43048"/>
    <cellStyle name="Comma 163" xfId="3161"/>
    <cellStyle name="Comma 163 2" xfId="43036"/>
    <cellStyle name="Comma 164" xfId="3292"/>
    <cellStyle name="Comma 164 2" xfId="43038"/>
    <cellStyle name="Comma 165" xfId="3293"/>
    <cellStyle name="Comma 165 2" xfId="43127"/>
    <cellStyle name="Comma 166" xfId="3294"/>
    <cellStyle name="Comma 166 2" xfId="43129"/>
    <cellStyle name="Comma 167" xfId="3295"/>
    <cellStyle name="Comma 167 2" xfId="43228"/>
    <cellStyle name="Comma 168" xfId="3296"/>
    <cellStyle name="Comma 168 2" xfId="43137"/>
    <cellStyle name="Comma 169" xfId="3297"/>
    <cellStyle name="Comma 17" xfId="567"/>
    <cellStyle name="Comma 17 2" xfId="1326"/>
    <cellStyle name="Comma 17 3" xfId="1531"/>
    <cellStyle name="Comma 17 3 10" xfId="41361"/>
    <cellStyle name="Comma 17 3 2" xfId="3298"/>
    <cellStyle name="Comma 17 3 2 2" xfId="3299"/>
    <cellStyle name="Comma 17 3 2 2 2" xfId="3300"/>
    <cellStyle name="Comma 17 3 2 2 2 2" xfId="8681"/>
    <cellStyle name="Comma 17 3 2 2 2 2 2" xfId="22788"/>
    <cellStyle name="Comma 17 3 2 2 2 2 3" xfId="17315"/>
    <cellStyle name="Comma 17 3 2 2 2 3" xfId="13007"/>
    <cellStyle name="Comma 17 3 2 2 2 4" xfId="18548"/>
    <cellStyle name="Comma 17 3 2 2 2 5" xfId="11929"/>
    <cellStyle name="Comma 17 3 2 2 3" xfId="7889"/>
    <cellStyle name="Comma 17 3 2 2 3 2" xfId="21996"/>
    <cellStyle name="Comma 17 3 2 2 3 3" xfId="16523"/>
    <cellStyle name="Comma 17 3 2 2 4" xfId="13006"/>
    <cellStyle name="Comma 17 3 2 2 5" xfId="18547"/>
    <cellStyle name="Comma 17 3 2 2 6" xfId="11136"/>
    <cellStyle name="Comma 17 3 2 3" xfId="3301"/>
    <cellStyle name="Comma 17 3 2 3 2" xfId="6620"/>
    <cellStyle name="Comma 17 3 2 3 2 2" xfId="9219"/>
    <cellStyle name="Comma 17 3 2 3 2 2 2" xfId="23320"/>
    <cellStyle name="Comma 17 3 2 3 2 2 3" xfId="17853"/>
    <cellStyle name="Comma 17 3 2 3 2 3" xfId="15405"/>
    <cellStyle name="Comma 17 3 2 3 2 4" xfId="20898"/>
    <cellStyle name="Comma 17 3 2 3 2 5" xfId="12464"/>
    <cellStyle name="Comma 17 3 2 3 3" xfId="7629"/>
    <cellStyle name="Comma 17 3 2 3 3 2" xfId="21736"/>
    <cellStyle name="Comma 17 3 2 3 3 3" xfId="16263"/>
    <cellStyle name="Comma 17 3 2 3 4" xfId="13008"/>
    <cellStyle name="Comma 17 3 2 3 5" xfId="18549"/>
    <cellStyle name="Comma 17 3 2 3 6" xfId="10876"/>
    <cellStyle name="Comma 17 3 2 4" xfId="3302"/>
    <cellStyle name="Comma 17 3 2 4 2" xfId="8421"/>
    <cellStyle name="Comma 17 3 2 4 2 2" xfId="22528"/>
    <cellStyle name="Comma 17 3 2 4 2 3" xfId="17055"/>
    <cellStyle name="Comma 17 3 2 4 3" xfId="13009"/>
    <cellStyle name="Comma 17 3 2 4 4" xfId="18550"/>
    <cellStyle name="Comma 17 3 2 4 5" xfId="11669"/>
    <cellStyle name="Comma 17 3 2 5" xfId="7096"/>
    <cellStyle name="Comma 17 3 2 5 2" xfId="21204"/>
    <cellStyle name="Comma 17 3 2 5 3" xfId="15731"/>
    <cellStyle name="Comma 17 3 2 6" xfId="13005"/>
    <cellStyle name="Comma 17 3 2 7" xfId="18546"/>
    <cellStyle name="Comma 17 3 2 8" xfId="10344"/>
    <cellStyle name="Comma 17 3 3" xfId="3303"/>
    <cellStyle name="Comma 17 3 3 2" xfId="3304"/>
    <cellStyle name="Comma 17 3 3 2 2" xfId="8245"/>
    <cellStyle name="Comma 17 3 3 2 2 2" xfId="22352"/>
    <cellStyle name="Comma 17 3 3 2 2 3" xfId="16879"/>
    <cellStyle name="Comma 17 3 3 2 3" xfId="13011"/>
    <cellStyle name="Comma 17 3 3 2 4" xfId="18552"/>
    <cellStyle name="Comma 17 3 3 2 5" xfId="11492"/>
    <cellStyle name="Comma 17 3 3 3" xfId="3305"/>
    <cellStyle name="Comma 17 3 3 3 2" xfId="9043"/>
    <cellStyle name="Comma 17 3 3 3 2 2" xfId="23144"/>
    <cellStyle name="Comma 17 3 3 3 2 3" xfId="17677"/>
    <cellStyle name="Comma 17 3 3 3 3" xfId="13012"/>
    <cellStyle name="Comma 17 3 3 3 4" xfId="18553"/>
    <cellStyle name="Comma 17 3 3 3 5" xfId="12288"/>
    <cellStyle name="Comma 17 3 3 4" xfId="7453"/>
    <cellStyle name="Comma 17 3 3 4 2" xfId="21560"/>
    <cellStyle name="Comma 17 3 3 4 3" xfId="16087"/>
    <cellStyle name="Comma 17 3 3 5" xfId="13010"/>
    <cellStyle name="Comma 17 3 3 6" xfId="18551"/>
    <cellStyle name="Comma 17 3 3 7" xfId="10700"/>
    <cellStyle name="Comma 17 3 4" xfId="3306"/>
    <cellStyle name="Comma 17 3 4 2" xfId="3307"/>
    <cellStyle name="Comma 17 3 4 2 2" xfId="8505"/>
    <cellStyle name="Comma 17 3 4 2 2 2" xfId="22612"/>
    <cellStyle name="Comma 17 3 4 2 2 3" xfId="17139"/>
    <cellStyle name="Comma 17 3 4 2 3" xfId="13014"/>
    <cellStyle name="Comma 17 3 4 2 4" xfId="18555"/>
    <cellStyle name="Comma 17 3 4 2 5" xfId="11753"/>
    <cellStyle name="Comma 17 3 4 3" xfId="7713"/>
    <cellStyle name="Comma 17 3 4 3 2" xfId="21820"/>
    <cellStyle name="Comma 17 3 4 3 3" xfId="16347"/>
    <cellStyle name="Comma 17 3 4 4" xfId="13013"/>
    <cellStyle name="Comma 17 3 4 5" xfId="18554"/>
    <cellStyle name="Comma 17 3 4 6" xfId="10960"/>
    <cellStyle name="Comma 17 3 5" xfId="3308"/>
    <cellStyle name="Comma 17 3 5 2" xfId="6431"/>
    <cellStyle name="Comma 17 3 5 2 2" xfId="8867"/>
    <cellStyle name="Comma 17 3 5 2 2 2" xfId="22968"/>
    <cellStyle name="Comma 17 3 5 2 2 3" xfId="17501"/>
    <cellStyle name="Comma 17 3 5 2 3" xfId="15260"/>
    <cellStyle name="Comma 17 3 5 2 4" xfId="20754"/>
    <cellStyle name="Comma 17 3 5 2 5" xfId="12111"/>
    <cellStyle name="Comma 17 3 5 3" xfId="7277"/>
    <cellStyle name="Comma 17 3 5 3 2" xfId="21384"/>
    <cellStyle name="Comma 17 3 5 3 3" xfId="15911"/>
    <cellStyle name="Comma 17 3 5 4" xfId="13015"/>
    <cellStyle name="Comma 17 3 5 5" xfId="18556"/>
    <cellStyle name="Comma 17 3 5 6" xfId="10524"/>
    <cellStyle name="Comma 17 3 6" xfId="3309"/>
    <cellStyle name="Comma 17 3 6 2" xfId="8069"/>
    <cellStyle name="Comma 17 3 6 2 2" xfId="22176"/>
    <cellStyle name="Comma 17 3 6 2 3" xfId="16703"/>
    <cellStyle name="Comma 17 3 6 3" xfId="13016"/>
    <cellStyle name="Comma 17 3 6 4" xfId="18557"/>
    <cellStyle name="Comma 17 3 6 5" xfId="11316"/>
    <cellStyle name="Comma 17 3 7" xfId="3310"/>
    <cellStyle name="Comma 17 3 8" xfId="6917"/>
    <cellStyle name="Comma 17 3 8 2" xfId="21028"/>
    <cellStyle name="Comma 17 3 8 3" xfId="15555"/>
    <cellStyle name="Comma 17 3 9" xfId="10168"/>
    <cellStyle name="Comma 17 4" xfId="803"/>
    <cellStyle name="Comma 170" xfId="3311"/>
    <cellStyle name="Comma 171" xfId="3312"/>
    <cellStyle name="Comma 172" xfId="3313"/>
    <cellStyle name="Comma 173" xfId="3314"/>
    <cellStyle name="Comma 174" xfId="3315"/>
    <cellStyle name="Comma 175" xfId="3316"/>
    <cellStyle name="Comma 176" xfId="3317"/>
    <cellStyle name="Comma 177" xfId="3318"/>
    <cellStyle name="Comma 178" xfId="3160"/>
    <cellStyle name="Comma 179" xfId="3162"/>
    <cellStyle name="Comma 18" xfId="568"/>
    <cellStyle name="Comma 18 2" xfId="1327"/>
    <cellStyle name="Comma 18 3" xfId="1570"/>
    <cellStyle name="Comma 18 3 2" xfId="3319"/>
    <cellStyle name="Comma 18 3 2 2" xfId="3320"/>
    <cellStyle name="Comma 18 3 2 2 2" xfId="3321"/>
    <cellStyle name="Comma 18 3 2 2 2 2" xfId="8683"/>
    <cellStyle name="Comma 18 3 2 2 2 2 2" xfId="22790"/>
    <cellStyle name="Comma 18 3 2 2 2 2 3" xfId="17317"/>
    <cellStyle name="Comma 18 3 2 2 2 3" xfId="13019"/>
    <cellStyle name="Comma 18 3 2 2 2 4" xfId="18560"/>
    <cellStyle name="Comma 18 3 2 2 2 5" xfId="11931"/>
    <cellStyle name="Comma 18 3 2 2 3" xfId="7891"/>
    <cellStyle name="Comma 18 3 2 2 3 2" xfId="21998"/>
    <cellStyle name="Comma 18 3 2 2 3 3" xfId="16525"/>
    <cellStyle name="Comma 18 3 2 2 4" xfId="13018"/>
    <cellStyle name="Comma 18 3 2 2 5" xfId="18559"/>
    <cellStyle name="Comma 18 3 2 2 6" xfId="11138"/>
    <cellStyle name="Comma 18 3 2 3" xfId="3322"/>
    <cellStyle name="Comma 18 3 2 3 2" xfId="6622"/>
    <cellStyle name="Comma 18 3 2 3 2 2" xfId="9221"/>
    <cellStyle name="Comma 18 3 2 3 2 2 2" xfId="23322"/>
    <cellStyle name="Comma 18 3 2 3 2 2 3" xfId="17855"/>
    <cellStyle name="Comma 18 3 2 3 2 3" xfId="15407"/>
    <cellStyle name="Comma 18 3 2 3 2 4" xfId="20900"/>
    <cellStyle name="Comma 18 3 2 3 2 5" xfId="12466"/>
    <cellStyle name="Comma 18 3 2 3 3" xfId="7631"/>
    <cellStyle name="Comma 18 3 2 3 3 2" xfId="21738"/>
    <cellStyle name="Comma 18 3 2 3 3 3" xfId="16265"/>
    <cellStyle name="Comma 18 3 2 3 4" xfId="13020"/>
    <cellStyle name="Comma 18 3 2 3 5" xfId="18561"/>
    <cellStyle name="Comma 18 3 2 3 6" xfId="10878"/>
    <cellStyle name="Comma 18 3 2 4" xfId="3323"/>
    <cellStyle name="Comma 18 3 2 4 2" xfId="8423"/>
    <cellStyle name="Comma 18 3 2 4 2 2" xfId="22530"/>
    <cellStyle name="Comma 18 3 2 4 2 3" xfId="17057"/>
    <cellStyle name="Comma 18 3 2 4 3" xfId="13021"/>
    <cellStyle name="Comma 18 3 2 4 4" xfId="18562"/>
    <cellStyle name="Comma 18 3 2 4 5" xfId="11671"/>
    <cellStyle name="Comma 18 3 2 5" xfId="7098"/>
    <cellStyle name="Comma 18 3 2 5 2" xfId="21206"/>
    <cellStyle name="Comma 18 3 2 5 3" xfId="15733"/>
    <cellStyle name="Comma 18 3 2 6" xfId="13017"/>
    <cellStyle name="Comma 18 3 2 7" xfId="18558"/>
    <cellStyle name="Comma 18 3 2 8" xfId="10346"/>
    <cellStyle name="Comma 18 3 3" xfId="3324"/>
    <cellStyle name="Comma 18 3 3 2" xfId="3325"/>
    <cellStyle name="Comma 18 3 3 2 2" xfId="8247"/>
    <cellStyle name="Comma 18 3 3 2 2 2" xfId="22354"/>
    <cellStyle name="Comma 18 3 3 2 2 3" xfId="16881"/>
    <cellStyle name="Comma 18 3 3 2 3" xfId="13023"/>
    <cellStyle name="Comma 18 3 3 2 4" xfId="18564"/>
    <cellStyle name="Comma 18 3 3 2 5" xfId="11494"/>
    <cellStyle name="Comma 18 3 3 3" xfId="3326"/>
    <cellStyle name="Comma 18 3 3 3 2" xfId="9045"/>
    <cellStyle name="Comma 18 3 3 3 2 2" xfId="23146"/>
    <cellStyle name="Comma 18 3 3 3 2 3" xfId="17679"/>
    <cellStyle name="Comma 18 3 3 3 3" xfId="13024"/>
    <cellStyle name="Comma 18 3 3 3 4" xfId="18565"/>
    <cellStyle name="Comma 18 3 3 3 5" xfId="12290"/>
    <cellStyle name="Comma 18 3 3 4" xfId="7455"/>
    <cellStyle name="Comma 18 3 3 4 2" xfId="21562"/>
    <cellStyle name="Comma 18 3 3 4 3" xfId="16089"/>
    <cellStyle name="Comma 18 3 3 5" xfId="13022"/>
    <cellStyle name="Comma 18 3 3 6" xfId="18563"/>
    <cellStyle name="Comma 18 3 3 7" xfId="10702"/>
    <cellStyle name="Comma 18 3 4" xfId="3327"/>
    <cellStyle name="Comma 18 3 4 2" xfId="3328"/>
    <cellStyle name="Comma 18 3 4 2 2" xfId="8507"/>
    <cellStyle name="Comma 18 3 4 2 2 2" xfId="22614"/>
    <cellStyle name="Comma 18 3 4 2 2 3" xfId="17141"/>
    <cellStyle name="Comma 18 3 4 2 3" xfId="13026"/>
    <cellStyle name="Comma 18 3 4 2 4" xfId="18567"/>
    <cellStyle name="Comma 18 3 4 2 5" xfId="11755"/>
    <cellStyle name="Comma 18 3 4 3" xfId="7715"/>
    <cellStyle name="Comma 18 3 4 3 2" xfId="21822"/>
    <cellStyle name="Comma 18 3 4 3 3" xfId="16349"/>
    <cellStyle name="Comma 18 3 4 4" xfId="13025"/>
    <cellStyle name="Comma 18 3 4 5" xfId="18566"/>
    <cellStyle name="Comma 18 3 4 6" xfId="10962"/>
    <cellStyle name="Comma 18 3 5" xfId="3329"/>
    <cellStyle name="Comma 18 3 5 2" xfId="6433"/>
    <cellStyle name="Comma 18 3 5 2 2" xfId="8869"/>
    <cellStyle name="Comma 18 3 5 2 2 2" xfId="22970"/>
    <cellStyle name="Comma 18 3 5 2 2 3" xfId="17503"/>
    <cellStyle name="Comma 18 3 5 2 3" xfId="15262"/>
    <cellStyle name="Comma 18 3 5 2 4" xfId="20756"/>
    <cellStyle name="Comma 18 3 5 2 5" xfId="12113"/>
    <cellStyle name="Comma 18 3 5 3" xfId="7279"/>
    <cellStyle name="Comma 18 3 5 3 2" xfId="21386"/>
    <cellStyle name="Comma 18 3 5 3 3" xfId="15913"/>
    <cellStyle name="Comma 18 3 5 4" xfId="13027"/>
    <cellStyle name="Comma 18 3 5 5" xfId="18568"/>
    <cellStyle name="Comma 18 3 5 6" xfId="10526"/>
    <cellStyle name="Comma 18 3 6" xfId="3330"/>
    <cellStyle name="Comma 18 3 6 2" xfId="8071"/>
    <cellStyle name="Comma 18 3 6 2 2" xfId="22178"/>
    <cellStyle name="Comma 18 3 6 2 3" xfId="16705"/>
    <cellStyle name="Comma 18 3 6 3" xfId="13028"/>
    <cellStyle name="Comma 18 3 6 4" xfId="18569"/>
    <cellStyle name="Comma 18 3 6 5" xfId="11318"/>
    <cellStyle name="Comma 18 3 7" xfId="3331"/>
    <cellStyle name="Comma 18 3 8" xfId="6919"/>
    <cellStyle name="Comma 18 3 8 2" xfId="21030"/>
    <cellStyle name="Comma 18 3 8 3" xfId="15557"/>
    <cellStyle name="Comma 18 3 9" xfId="10170"/>
    <cellStyle name="Comma 18 4" xfId="771"/>
    <cellStyle name="Comma 18 4 2" xfId="41362"/>
    <cellStyle name="Comma 18 5" xfId="41363"/>
    <cellStyle name="Comma 180" xfId="3163"/>
    <cellStyle name="Comma 181" xfId="3332"/>
    <cellStyle name="Comma 182" xfId="3333"/>
    <cellStyle name="Comma 183" xfId="3334"/>
    <cellStyle name="Comma 184" xfId="3335"/>
    <cellStyle name="Comma 185" xfId="3336"/>
    <cellStyle name="Comma 186" xfId="3337"/>
    <cellStyle name="Comma 187" xfId="3338"/>
    <cellStyle name="Comma 188" xfId="3339"/>
    <cellStyle name="Comma 189" xfId="3340"/>
    <cellStyle name="Comma 19" xfId="574"/>
    <cellStyle name="Comma 19 2" xfId="1328"/>
    <cellStyle name="Comma 19 2 2" xfId="3057"/>
    <cellStyle name="Comma 19 2 2 2" xfId="41364"/>
    <cellStyle name="Comma 19 3" xfId="1575"/>
    <cellStyle name="Comma 19 3 10" xfId="41365"/>
    <cellStyle name="Comma 19 3 2" xfId="3341"/>
    <cellStyle name="Comma 19 3 2 2" xfId="3342"/>
    <cellStyle name="Comma 19 3 2 2 2" xfId="3343"/>
    <cellStyle name="Comma 19 3 2 2 2 2" xfId="8673"/>
    <cellStyle name="Comma 19 3 2 2 2 2 2" xfId="22780"/>
    <cellStyle name="Comma 19 3 2 2 2 2 3" xfId="17307"/>
    <cellStyle name="Comma 19 3 2 2 2 3" xfId="13031"/>
    <cellStyle name="Comma 19 3 2 2 2 4" xfId="18572"/>
    <cellStyle name="Comma 19 3 2 2 2 5" xfId="11921"/>
    <cellStyle name="Comma 19 3 2 2 3" xfId="7881"/>
    <cellStyle name="Comma 19 3 2 2 3 2" xfId="21988"/>
    <cellStyle name="Comma 19 3 2 2 3 3" xfId="16515"/>
    <cellStyle name="Comma 19 3 2 2 4" xfId="13030"/>
    <cellStyle name="Comma 19 3 2 2 5" xfId="18571"/>
    <cellStyle name="Comma 19 3 2 2 6" xfId="11128"/>
    <cellStyle name="Comma 19 3 2 3" xfId="3344"/>
    <cellStyle name="Comma 19 3 2 3 2" xfId="6612"/>
    <cellStyle name="Comma 19 3 2 3 2 2" xfId="9211"/>
    <cellStyle name="Comma 19 3 2 3 2 2 2" xfId="23312"/>
    <cellStyle name="Comma 19 3 2 3 2 2 3" xfId="17845"/>
    <cellStyle name="Comma 19 3 2 3 2 3" xfId="15397"/>
    <cellStyle name="Comma 19 3 2 3 2 4" xfId="20890"/>
    <cellStyle name="Comma 19 3 2 3 2 5" xfId="12456"/>
    <cellStyle name="Comma 19 3 2 3 3" xfId="7621"/>
    <cellStyle name="Comma 19 3 2 3 3 2" xfId="21728"/>
    <cellStyle name="Comma 19 3 2 3 3 3" xfId="16255"/>
    <cellStyle name="Comma 19 3 2 3 4" xfId="13032"/>
    <cellStyle name="Comma 19 3 2 3 5" xfId="18573"/>
    <cellStyle name="Comma 19 3 2 3 6" xfId="10868"/>
    <cellStyle name="Comma 19 3 2 4" xfId="3345"/>
    <cellStyle name="Comma 19 3 2 4 2" xfId="8413"/>
    <cellStyle name="Comma 19 3 2 4 2 2" xfId="22520"/>
    <cellStyle name="Comma 19 3 2 4 2 3" xfId="17047"/>
    <cellStyle name="Comma 19 3 2 4 3" xfId="13033"/>
    <cellStyle name="Comma 19 3 2 4 4" xfId="18574"/>
    <cellStyle name="Comma 19 3 2 4 5" xfId="11661"/>
    <cellStyle name="Comma 19 3 2 5" xfId="7088"/>
    <cellStyle name="Comma 19 3 2 5 2" xfId="21196"/>
    <cellStyle name="Comma 19 3 2 5 3" xfId="15723"/>
    <cellStyle name="Comma 19 3 2 6" xfId="13029"/>
    <cellStyle name="Comma 19 3 2 7" xfId="18570"/>
    <cellStyle name="Comma 19 3 2 8" xfId="10336"/>
    <cellStyle name="Comma 19 3 3" xfId="3346"/>
    <cellStyle name="Comma 19 3 3 2" xfId="3347"/>
    <cellStyle name="Comma 19 3 3 2 2" xfId="8237"/>
    <cellStyle name="Comma 19 3 3 2 2 2" xfId="22344"/>
    <cellStyle name="Comma 19 3 3 2 2 3" xfId="16871"/>
    <cellStyle name="Comma 19 3 3 2 3" xfId="13035"/>
    <cellStyle name="Comma 19 3 3 2 4" xfId="18576"/>
    <cellStyle name="Comma 19 3 3 2 5" xfId="11484"/>
    <cellStyle name="Comma 19 3 3 3" xfId="3348"/>
    <cellStyle name="Comma 19 3 3 3 2" xfId="9035"/>
    <cellStyle name="Comma 19 3 3 3 2 2" xfId="23136"/>
    <cellStyle name="Comma 19 3 3 3 2 3" xfId="17669"/>
    <cellStyle name="Comma 19 3 3 3 3" xfId="13036"/>
    <cellStyle name="Comma 19 3 3 3 4" xfId="18577"/>
    <cellStyle name="Comma 19 3 3 3 5" xfId="12280"/>
    <cellStyle name="Comma 19 3 3 4" xfId="7445"/>
    <cellStyle name="Comma 19 3 3 4 2" xfId="21552"/>
    <cellStyle name="Comma 19 3 3 4 3" xfId="16079"/>
    <cellStyle name="Comma 19 3 3 5" xfId="13034"/>
    <cellStyle name="Comma 19 3 3 6" xfId="18575"/>
    <cellStyle name="Comma 19 3 3 7" xfId="10692"/>
    <cellStyle name="Comma 19 3 4" xfId="3349"/>
    <cellStyle name="Comma 19 3 4 2" xfId="3350"/>
    <cellStyle name="Comma 19 3 4 2 2" xfId="8497"/>
    <cellStyle name="Comma 19 3 4 2 2 2" xfId="22604"/>
    <cellStyle name="Comma 19 3 4 2 2 3" xfId="17131"/>
    <cellStyle name="Comma 19 3 4 2 3" xfId="13038"/>
    <cellStyle name="Comma 19 3 4 2 4" xfId="18579"/>
    <cellStyle name="Comma 19 3 4 2 5" xfId="11745"/>
    <cellStyle name="Comma 19 3 4 3" xfId="7705"/>
    <cellStyle name="Comma 19 3 4 3 2" xfId="21812"/>
    <cellStyle name="Comma 19 3 4 3 3" xfId="16339"/>
    <cellStyle name="Comma 19 3 4 4" xfId="13037"/>
    <cellStyle name="Comma 19 3 4 5" xfId="18578"/>
    <cellStyle name="Comma 19 3 4 6" xfId="10952"/>
    <cellStyle name="Comma 19 3 5" xfId="3351"/>
    <cellStyle name="Comma 19 3 5 2" xfId="6423"/>
    <cellStyle name="Comma 19 3 5 2 2" xfId="8859"/>
    <cellStyle name="Comma 19 3 5 2 2 2" xfId="22960"/>
    <cellStyle name="Comma 19 3 5 2 2 3" xfId="17493"/>
    <cellStyle name="Comma 19 3 5 2 3" xfId="15252"/>
    <cellStyle name="Comma 19 3 5 2 4" xfId="20746"/>
    <cellStyle name="Comma 19 3 5 2 5" xfId="12103"/>
    <cellStyle name="Comma 19 3 5 3" xfId="7269"/>
    <cellStyle name="Comma 19 3 5 3 2" xfId="21376"/>
    <cellStyle name="Comma 19 3 5 3 3" xfId="15903"/>
    <cellStyle name="Comma 19 3 5 4" xfId="13039"/>
    <cellStyle name="Comma 19 3 5 5" xfId="18580"/>
    <cellStyle name="Comma 19 3 5 6" xfId="10516"/>
    <cellStyle name="Comma 19 3 6" xfId="3352"/>
    <cellStyle name="Comma 19 3 6 2" xfId="8061"/>
    <cellStyle name="Comma 19 3 6 2 2" xfId="22168"/>
    <cellStyle name="Comma 19 3 6 2 3" xfId="16695"/>
    <cellStyle name="Comma 19 3 6 3" xfId="13040"/>
    <cellStyle name="Comma 19 3 6 4" xfId="18581"/>
    <cellStyle name="Comma 19 3 6 5" xfId="11308"/>
    <cellStyle name="Comma 19 3 7" xfId="3353"/>
    <cellStyle name="Comma 19 3 8" xfId="6909"/>
    <cellStyle name="Comma 19 3 8 2" xfId="21020"/>
    <cellStyle name="Comma 19 3 8 3" xfId="15547"/>
    <cellStyle name="Comma 19 3 9" xfId="10160"/>
    <cellStyle name="Comma 19 4" xfId="822"/>
    <cellStyle name="Comma 190" xfId="3354"/>
    <cellStyle name="Comma 191" xfId="3355"/>
    <cellStyle name="Comma 192" xfId="3356"/>
    <cellStyle name="Comma 192 2" xfId="6723"/>
    <cellStyle name="Comma 192 2 2" xfId="9246"/>
    <cellStyle name="Comma 192 2 2 2" xfId="23328"/>
    <cellStyle name="Comma 192 2 2 3" xfId="17880"/>
    <cellStyle name="Comma 192 2 3" xfId="15424"/>
    <cellStyle name="Comma 192 2 4" xfId="20902"/>
    <cellStyle name="Comma 192 2 5" xfId="12474"/>
    <cellStyle name="Comma 192 3" xfId="6209"/>
    <cellStyle name="Comma 192 4" xfId="13041"/>
    <cellStyle name="Comma 192 5" xfId="18582"/>
    <cellStyle name="Comma 193" xfId="3357"/>
    <cellStyle name="Comma 193 2" xfId="6728"/>
    <cellStyle name="Comma 193 2 2" xfId="9269"/>
    <cellStyle name="Comma 193 2 2 2" xfId="23349"/>
    <cellStyle name="Comma 193 2 2 3" xfId="17901"/>
    <cellStyle name="Comma 193 2 3" xfId="15428"/>
    <cellStyle name="Comma 193 2 4" xfId="20906"/>
    <cellStyle name="Comma 193 2 5" xfId="12495"/>
    <cellStyle name="Comma 193 3" xfId="6215"/>
    <cellStyle name="Comma 193 4" xfId="13042"/>
    <cellStyle name="Comma 193 5" xfId="18583"/>
    <cellStyle name="Comma 194" xfId="3358"/>
    <cellStyle name="Comma 194 2" xfId="6725"/>
    <cellStyle name="Comma 194 2 2" xfId="9247"/>
    <cellStyle name="Comma 194 2 2 2" xfId="23329"/>
    <cellStyle name="Comma 194 2 2 3" xfId="17881"/>
    <cellStyle name="Comma 194 2 3" xfId="15426"/>
    <cellStyle name="Comma 194 2 4" xfId="20904"/>
    <cellStyle name="Comma 194 2 5" xfId="12475"/>
    <cellStyle name="Comma 194 3" xfId="6628"/>
    <cellStyle name="Comma 194 4" xfId="13043"/>
    <cellStyle name="Comma 194 5" xfId="18584"/>
    <cellStyle name="Comma 195" xfId="3165"/>
    <cellStyle name="Comma 195 2" xfId="9282"/>
    <cellStyle name="Comma 195 2 2" xfId="23362"/>
    <cellStyle name="Comma 195 2 3" xfId="17914"/>
    <cellStyle name="Comma 195 3" xfId="12957"/>
    <cellStyle name="Comma 195 4" xfId="18499"/>
    <cellStyle name="Comma 195 5" xfId="12508"/>
    <cellStyle name="Comma 196" xfId="3359"/>
    <cellStyle name="Comma 196 2" xfId="9283"/>
    <cellStyle name="Comma 196 2 2" xfId="23363"/>
    <cellStyle name="Comma 196 2 3" xfId="17915"/>
    <cellStyle name="Comma 196 3" xfId="13044"/>
    <cellStyle name="Comma 196 4" xfId="18585"/>
    <cellStyle name="Comma 196 5" xfId="12509"/>
    <cellStyle name="Comma 197" xfId="3360"/>
    <cellStyle name="Comma 197 2" xfId="9284"/>
    <cellStyle name="Comma 197 2 2" xfId="23364"/>
    <cellStyle name="Comma 197 2 3" xfId="17916"/>
    <cellStyle name="Comma 197 3" xfId="13045"/>
    <cellStyle name="Comma 197 4" xfId="18586"/>
    <cellStyle name="Comma 197 5" xfId="12510"/>
    <cellStyle name="Comma 198" xfId="3361"/>
    <cellStyle name="Comma 198 2" xfId="9285"/>
    <cellStyle name="Comma 198 2 2" xfId="23365"/>
    <cellStyle name="Comma 198 2 3" xfId="17917"/>
    <cellStyle name="Comma 198 3" xfId="13046"/>
    <cellStyle name="Comma 198 4" xfId="18587"/>
    <cellStyle name="Comma 198 5" xfId="12511"/>
    <cellStyle name="Comma 199" xfId="3173"/>
    <cellStyle name="Comma 199 2" xfId="9286"/>
    <cellStyle name="Comma 199 2 2" xfId="23366"/>
    <cellStyle name="Comma 199 2 3" xfId="17918"/>
    <cellStyle name="Comma 199 3" xfId="12965"/>
    <cellStyle name="Comma 199 4" xfId="18507"/>
    <cellStyle name="Comma 199 5" xfId="12512"/>
    <cellStyle name="Comma 2" xfId="60"/>
    <cellStyle name="Comma 2 2" xfId="63"/>
    <cellStyle name="Comma 2 2 2" xfId="1916"/>
    <cellStyle name="Comma 2 2 2 2" xfId="3055"/>
    <cellStyle name="Comma 2 2 2 2 2" xfId="44190"/>
    <cellStyle name="Comma 2 2 2 3" xfId="41368"/>
    <cellStyle name="Comma 2 2 2 4" xfId="44186"/>
    <cellStyle name="Comma 2 2 3" xfId="43200"/>
    <cellStyle name="Comma 2 2 4" xfId="41367"/>
    <cellStyle name="Comma 2 3" xfId="316"/>
    <cellStyle name="Comma 2 3 2" xfId="1527"/>
    <cellStyle name="Comma 2 3 2 2" xfId="43041"/>
    <cellStyle name="Comma 2 3 2 3" xfId="44187"/>
    <cellStyle name="Comma 2 3 3" xfId="1915"/>
    <cellStyle name="Comma 2 3 3 2" xfId="41369"/>
    <cellStyle name="Comma 2 3 4" xfId="3362"/>
    <cellStyle name="Comma 2 3 5" xfId="1810"/>
    <cellStyle name="Comma 2 3 6" xfId="44180"/>
    <cellStyle name="Comma 2 4" xfId="623"/>
    <cellStyle name="Comma 2 4 2" xfId="2929"/>
    <cellStyle name="Comma 2 4 3" xfId="23809"/>
    <cellStyle name="Comma 2 4 3 2" xfId="43074"/>
    <cellStyle name="Comma 2 4 4" xfId="2037"/>
    <cellStyle name="Comma 2 4 5" xfId="41370"/>
    <cellStyle name="Comma 2 5" xfId="24327"/>
    <cellStyle name="Comma 2 6" xfId="43128"/>
    <cellStyle name="Comma 2 7" xfId="41366"/>
    <cellStyle name="Comma 2 8" xfId="44090"/>
    <cellStyle name="Comma 20" xfId="575"/>
    <cellStyle name="Comma 20 10" xfId="3363"/>
    <cellStyle name="Comma 20 10 2" xfId="7897"/>
    <cellStyle name="Comma 20 10 2 2" xfId="22004"/>
    <cellStyle name="Comma 20 10 2 3" xfId="16531"/>
    <cellStyle name="Comma 20 10 3" xfId="13047"/>
    <cellStyle name="Comma 20 10 4" xfId="18588"/>
    <cellStyle name="Comma 20 10 5" xfId="11144"/>
    <cellStyle name="Comma 20 11" xfId="6820"/>
    <cellStyle name="Comma 20 11 2" xfId="20952"/>
    <cellStyle name="Comma 20 11 3" xfId="15478"/>
    <cellStyle name="Comma 20 12" xfId="10086"/>
    <cellStyle name="Comma 20 2" xfId="1329"/>
    <cellStyle name="Comma 20 3" xfId="1525"/>
    <cellStyle name="Comma 20 3 10" xfId="9909"/>
    <cellStyle name="Comma 20 3 10 2" xfId="18349"/>
    <cellStyle name="Comma 20 3 11" xfId="23714"/>
    <cellStyle name="Comma 20 3 12" xfId="10122"/>
    <cellStyle name="Comma 20 3 13" xfId="2087"/>
    <cellStyle name="Comma 20 3 2" xfId="2983"/>
    <cellStyle name="Comma 20 3 2 10" xfId="10300"/>
    <cellStyle name="Comma 20 3 2 2" xfId="3364"/>
    <cellStyle name="Comma 20 3 2 2 2" xfId="3365"/>
    <cellStyle name="Comma 20 3 2 2 2 2" xfId="8637"/>
    <cellStyle name="Comma 20 3 2 2 2 2 2" xfId="22744"/>
    <cellStyle name="Comma 20 3 2 2 2 2 3" xfId="17271"/>
    <cellStyle name="Comma 20 3 2 2 2 3" xfId="13049"/>
    <cellStyle name="Comma 20 3 2 2 2 4" xfId="18590"/>
    <cellStyle name="Comma 20 3 2 2 2 5" xfId="11885"/>
    <cellStyle name="Comma 20 3 2 2 3" xfId="7845"/>
    <cellStyle name="Comma 20 3 2 2 3 2" xfId="21952"/>
    <cellStyle name="Comma 20 3 2 2 3 3" xfId="16479"/>
    <cellStyle name="Comma 20 3 2 2 4" xfId="13048"/>
    <cellStyle name="Comma 20 3 2 2 5" xfId="18589"/>
    <cellStyle name="Comma 20 3 2 2 6" xfId="24206"/>
    <cellStyle name="Comma 20 3 2 2 7" xfId="11092"/>
    <cellStyle name="Comma 20 3 2 3" xfId="3366"/>
    <cellStyle name="Comma 20 3 2 3 2" xfId="6576"/>
    <cellStyle name="Comma 20 3 2 3 2 2" xfId="9175"/>
    <cellStyle name="Comma 20 3 2 3 2 2 2" xfId="23276"/>
    <cellStyle name="Comma 20 3 2 3 2 2 3" xfId="17809"/>
    <cellStyle name="Comma 20 3 2 3 2 3" xfId="15361"/>
    <cellStyle name="Comma 20 3 2 3 2 4" xfId="20854"/>
    <cellStyle name="Comma 20 3 2 3 2 5" xfId="12420"/>
    <cellStyle name="Comma 20 3 2 3 3" xfId="7585"/>
    <cellStyle name="Comma 20 3 2 3 3 2" xfId="21692"/>
    <cellStyle name="Comma 20 3 2 3 3 3" xfId="16219"/>
    <cellStyle name="Comma 20 3 2 3 4" xfId="13050"/>
    <cellStyle name="Comma 20 3 2 3 5" xfId="18591"/>
    <cellStyle name="Comma 20 3 2 3 6" xfId="10832"/>
    <cellStyle name="Comma 20 3 2 4" xfId="3367"/>
    <cellStyle name="Comma 20 3 2 4 2" xfId="8377"/>
    <cellStyle name="Comma 20 3 2 4 2 2" xfId="22484"/>
    <cellStyle name="Comma 20 3 2 4 2 3" xfId="17011"/>
    <cellStyle name="Comma 20 3 2 4 3" xfId="13051"/>
    <cellStyle name="Comma 20 3 2 4 4" xfId="18592"/>
    <cellStyle name="Comma 20 3 2 4 5" xfId="11625"/>
    <cellStyle name="Comma 20 3 2 5" xfId="3368"/>
    <cellStyle name="Comma 20 3 2 5 2" xfId="9470"/>
    <cellStyle name="Comma 20 3 2 5 2 2" xfId="23517"/>
    <cellStyle name="Comma 20 3 2 5 2 3" xfId="18071"/>
    <cellStyle name="Comma 20 3 2 5 3" xfId="13052"/>
    <cellStyle name="Comma 20 3 2 5 4" xfId="18593"/>
    <cellStyle name="Comma 20 3 2 5 5" xfId="12671"/>
    <cellStyle name="Comma 20 3 2 6" xfId="7051"/>
    <cellStyle name="Comma 20 3 2 6 2" xfId="21160"/>
    <cellStyle name="Comma 20 3 2 6 3" xfId="15687"/>
    <cellStyle name="Comma 20 3 2 7" xfId="9772"/>
    <cellStyle name="Comma 20 3 2 7 2" xfId="12873"/>
    <cellStyle name="Comma 20 3 2 8" xfId="9985"/>
    <cellStyle name="Comma 20 3 2 8 2" xfId="18424"/>
    <cellStyle name="Comma 20 3 2 9" xfId="24015"/>
    <cellStyle name="Comma 20 3 3" xfId="3369"/>
    <cellStyle name="Comma 20 3 3 2" xfId="3370"/>
    <cellStyle name="Comma 20 3 3 2 2" xfId="8201"/>
    <cellStyle name="Comma 20 3 3 2 2 2" xfId="22308"/>
    <cellStyle name="Comma 20 3 3 2 2 3" xfId="16835"/>
    <cellStyle name="Comma 20 3 3 2 3" xfId="13054"/>
    <cellStyle name="Comma 20 3 3 2 4" xfId="18595"/>
    <cellStyle name="Comma 20 3 3 2 5" xfId="11448"/>
    <cellStyle name="Comma 20 3 3 3" xfId="3371"/>
    <cellStyle name="Comma 20 3 3 3 2" xfId="8999"/>
    <cellStyle name="Comma 20 3 3 3 2 2" xfId="23100"/>
    <cellStyle name="Comma 20 3 3 3 2 3" xfId="17633"/>
    <cellStyle name="Comma 20 3 3 3 3" xfId="13055"/>
    <cellStyle name="Comma 20 3 3 3 4" xfId="18596"/>
    <cellStyle name="Comma 20 3 3 3 5" xfId="12243"/>
    <cellStyle name="Comma 20 3 3 4" xfId="7409"/>
    <cellStyle name="Comma 20 3 3 4 2" xfId="21516"/>
    <cellStyle name="Comma 20 3 3 4 3" xfId="16043"/>
    <cellStyle name="Comma 20 3 3 5" xfId="13053"/>
    <cellStyle name="Comma 20 3 3 6" xfId="18594"/>
    <cellStyle name="Comma 20 3 3 7" xfId="24131"/>
    <cellStyle name="Comma 20 3 3 8" xfId="10656"/>
    <cellStyle name="Comma 20 3 4" xfId="3372"/>
    <cellStyle name="Comma 20 3 4 2" xfId="3373"/>
    <cellStyle name="Comma 20 3 4 2 2" xfId="8461"/>
    <cellStyle name="Comma 20 3 4 2 2 2" xfId="22568"/>
    <cellStyle name="Comma 20 3 4 2 2 3" xfId="17095"/>
    <cellStyle name="Comma 20 3 4 2 3" xfId="13057"/>
    <cellStyle name="Comma 20 3 4 2 4" xfId="18598"/>
    <cellStyle name="Comma 20 3 4 2 5" xfId="11709"/>
    <cellStyle name="Comma 20 3 4 3" xfId="7669"/>
    <cellStyle name="Comma 20 3 4 3 2" xfId="21776"/>
    <cellStyle name="Comma 20 3 4 3 3" xfId="16303"/>
    <cellStyle name="Comma 20 3 4 4" xfId="13056"/>
    <cellStyle name="Comma 20 3 4 5" xfId="18597"/>
    <cellStyle name="Comma 20 3 4 6" xfId="10916"/>
    <cellStyle name="Comma 20 3 5" xfId="3374"/>
    <cellStyle name="Comma 20 3 5 2" xfId="6387"/>
    <cellStyle name="Comma 20 3 5 2 2" xfId="8823"/>
    <cellStyle name="Comma 20 3 5 2 2 2" xfId="22924"/>
    <cellStyle name="Comma 20 3 5 2 2 3" xfId="17457"/>
    <cellStyle name="Comma 20 3 5 2 3" xfId="15216"/>
    <cellStyle name="Comma 20 3 5 2 4" xfId="20710"/>
    <cellStyle name="Comma 20 3 5 2 5" xfId="12067"/>
    <cellStyle name="Comma 20 3 5 3" xfId="7233"/>
    <cellStyle name="Comma 20 3 5 3 2" xfId="21340"/>
    <cellStyle name="Comma 20 3 5 3 3" xfId="15867"/>
    <cellStyle name="Comma 20 3 5 4" xfId="13058"/>
    <cellStyle name="Comma 20 3 5 5" xfId="18599"/>
    <cellStyle name="Comma 20 3 5 6" xfId="10480"/>
    <cellStyle name="Comma 20 3 6" xfId="3375"/>
    <cellStyle name="Comma 20 3 6 2" xfId="8025"/>
    <cellStyle name="Comma 20 3 6 2 2" xfId="22132"/>
    <cellStyle name="Comma 20 3 6 2 3" xfId="16659"/>
    <cellStyle name="Comma 20 3 6 3" xfId="13059"/>
    <cellStyle name="Comma 20 3 6 4" xfId="18600"/>
    <cellStyle name="Comma 20 3 6 5" xfId="11272"/>
    <cellStyle name="Comma 20 3 7" xfId="3376"/>
    <cellStyle name="Comma 20 3 7 2" xfId="9373"/>
    <cellStyle name="Comma 20 3 7 2 2" xfId="23442"/>
    <cellStyle name="Comma 20 3 7 2 3" xfId="17994"/>
    <cellStyle name="Comma 20 3 7 3" xfId="13060"/>
    <cellStyle name="Comma 20 3 7 4" xfId="18601"/>
    <cellStyle name="Comma 20 3 7 5" xfId="12591"/>
    <cellStyle name="Comma 20 3 8" xfId="6869"/>
    <cellStyle name="Comma 20 3 8 2" xfId="20984"/>
    <cellStyle name="Comma 20 3 8 3" xfId="15511"/>
    <cellStyle name="Comma 20 3 9" xfId="9679"/>
    <cellStyle name="Comma 20 3 9 2" xfId="12798"/>
    <cellStyle name="Comma 20 4" xfId="2577"/>
    <cellStyle name="Comma 20 4 10" xfId="9944"/>
    <cellStyle name="Comma 20 4 10 2" xfId="18383"/>
    <cellStyle name="Comma 20 4 11" xfId="23961"/>
    <cellStyle name="Comma 20 4 12" xfId="10169"/>
    <cellStyle name="Comma 20 4 2" xfId="3377"/>
    <cellStyle name="Comma 20 4 2 2" xfId="3378"/>
    <cellStyle name="Comma 20 4 2 2 2" xfId="3379"/>
    <cellStyle name="Comma 20 4 2 2 2 2" xfId="8682"/>
    <cellStyle name="Comma 20 4 2 2 2 2 2" xfId="22789"/>
    <cellStyle name="Comma 20 4 2 2 2 2 3" xfId="17316"/>
    <cellStyle name="Comma 20 4 2 2 2 3" xfId="13063"/>
    <cellStyle name="Comma 20 4 2 2 2 4" xfId="18604"/>
    <cellStyle name="Comma 20 4 2 2 2 5" xfId="11930"/>
    <cellStyle name="Comma 20 4 2 2 3" xfId="7890"/>
    <cellStyle name="Comma 20 4 2 2 3 2" xfId="21997"/>
    <cellStyle name="Comma 20 4 2 2 3 3" xfId="16524"/>
    <cellStyle name="Comma 20 4 2 2 4" xfId="13062"/>
    <cellStyle name="Comma 20 4 2 2 5" xfId="18603"/>
    <cellStyle name="Comma 20 4 2 2 6" xfId="11137"/>
    <cellStyle name="Comma 20 4 2 3" xfId="3380"/>
    <cellStyle name="Comma 20 4 2 3 2" xfId="6621"/>
    <cellStyle name="Comma 20 4 2 3 2 2" xfId="9220"/>
    <cellStyle name="Comma 20 4 2 3 2 2 2" xfId="23321"/>
    <cellStyle name="Comma 20 4 2 3 2 2 3" xfId="17854"/>
    <cellStyle name="Comma 20 4 2 3 2 3" xfId="15406"/>
    <cellStyle name="Comma 20 4 2 3 2 4" xfId="20899"/>
    <cellStyle name="Comma 20 4 2 3 2 5" xfId="12465"/>
    <cellStyle name="Comma 20 4 2 3 3" xfId="7630"/>
    <cellStyle name="Comma 20 4 2 3 3 2" xfId="21737"/>
    <cellStyle name="Comma 20 4 2 3 3 3" xfId="16264"/>
    <cellStyle name="Comma 20 4 2 3 4" xfId="13064"/>
    <cellStyle name="Comma 20 4 2 3 5" xfId="18605"/>
    <cellStyle name="Comma 20 4 2 3 6" xfId="10877"/>
    <cellStyle name="Comma 20 4 2 4" xfId="3381"/>
    <cellStyle name="Comma 20 4 2 4 2" xfId="8422"/>
    <cellStyle name="Comma 20 4 2 4 2 2" xfId="22529"/>
    <cellStyle name="Comma 20 4 2 4 2 3" xfId="17056"/>
    <cellStyle name="Comma 20 4 2 4 3" xfId="13065"/>
    <cellStyle name="Comma 20 4 2 4 4" xfId="18606"/>
    <cellStyle name="Comma 20 4 2 4 5" xfId="11670"/>
    <cellStyle name="Comma 20 4 2 5" xfId="7097"/>
    <cellStyle name="Comma 20 4 2 5 2" xfId="21205"/>
    <cellStyle name="Comma 20 4 2 5 3" xfId="15732"/>
    <cellStyle name="Comma 20 4 2 6" xfId="13061"/>
    <cellStyle name="Comma 20 4 2 7" xfId="18602"/>
    <cellStyle name="Comma 20 4 2 8" xfId="24165"/>
    <cellStyle name="Comma 20 4 2 9" xfId="10345"/>
    <cellStyle name="Comma 20 4 3" xfId="3382"/>
    <cellStyle name="Comma 20 4 3 2" xfId="3383"/>
    <cellStyle name="Comma 20 4 3 2 2" xfId="8246"/>
    <cellStyle name="Comma 20 4 3 2 2 2" xfId="22353"/>
    <cellStyle name="Comma 20 4 3 2 2 3" xfId="16880"/>
    <cellStyle name="Comma 20 4 3 2 3" xfId="13067"/>
    <cellStyle name="Comma 20 4 3 2 4" xfId="18608"/>
    <cellStyle name="Comma 20 4 3 2 5" xfId="11493"/>
    <cellStyle name="Comma 20 4 3 3" xfId="3384"/>
    <cellStyle name="Comma 20 4 3 3 2" xfId="9044"/>
    <cellStyle name="Comma 20 4 3 3 2 2" xfId="23145"/>
    <cellStyle name="Comma 20 4 3 3 2 3" xfId="17678"/>
    <cellStyle name="Comma 20 4 3 3 3" xfId="13068"/>
    <cellStyle name="Comma 20 4 3 3 4" xfId="18609"/>
    <cellStyle name="Comma 20 4 3 3 5" xfId="12289"/>
    <cellStyle name="Comma 20 4 3 4" xfId="7454"/>
    <cellStyle name="Comma 20 4 3 4 2" xfId="21561"/>
    <cellStyle name="Comma 20 4 3 4 3" xfId="16088"/>
    <cellStyle name="Comma 20 4 3 5" xfId="13066"/>
    <cellStyle name="Comma 20 4 3 6" xfId="18607"/>
    <cellStyle name="Comma 20 4 3 7" xfId="10701"/>
    <cellStyle name="Comma 20 4 4" xfId="3385"/>
    <cellStyle name="Comma 20 4 4 2" xfId="3386"/>
    <cellStyle name="Comma 20 4 4 2 2" xfId="8506"/>
    <cellStyle name="Comma 20 4 4 2 2 2" xfId="22613"/>
    <cellStyle name="Comma 20 4 4 2 2 3" xfId="17140"/>
    <cellStyle name="Comma 20 4 4 2 3" xfId="13070"/>
    <cellStyle name="Comma 20 4 4 2 4" xfId="18611"/>
    <cellStyle name="Comma 20 4 4 2 5" xfId="11754"/>
    <cellStyle name="Comma 20 4 4 3" xfId="7714"/>
    <cellStyle name="Comma 20 4 4 3 2" xfId="21821"/>
    <cellStyle name="Comma 20 4 4 3 3" xfId="16348"/>
    <cellStyle name="Comma 20 4 4 4" xfId="13069"/>
    <cellStyle name="Comma 20 4 4 5" xfId="18610"/>
    <cellStyle name="Comma 20 4 4 6" xfId="10961"/>
    <cellStyle name="Comma 20 4 5" xfId="3387"/>
    <cellStyle name="Comma 20 4 5 2" xfId="6432"/>
    <cellStyle name="Comma 20 4 5 2 2" xfId="8868"/>
    <cellStyle name="Comma 20 4 5 2 2 2" xfId="22969"/>
    <cellStyle name="Comma 20 4 5 2 2 3" xfId="17502"/>
    <cellStyle name="Comma 20 4 5 2 3" xfId="15261"/>
    <cellStyle name="Comma 20 4 5 2 4" xfId="20755"/>
    <cellStyle name="Comma 20 4 5 2 5" xfId="12112"/>
    <cellStyle name="Comma 20 4 5 3" xfId="7278"/>
    <cellStyle name="Comma 20 4 5 3 2" xfId="21385"/>
    <cellStyle name="Comma 20 4 5 3 3" xfId="15912"/>
    <cellStyle name="Comma 20 4 5 4" xfId="13071"/>
    <cellStyle name="Comma 20 4 5 5" xfId="18612"/>
    <cellStyle name="Comma 20 4 5 6" xfId="10525"/>
    <cellStyle name="Comma 20 4 6" xfId="3388"/>
    <cellStyle name="Comma 20 4 6 2" xfId="8070"/>
    <cellStyle name="Comma 20 4 6 2 2" xfId="22177"/>
    <cellStyle name="Comma 20 4 6 2 3" xfId="16704"/>
    <cellStyle name="Comma 20 4 6 3" xfId="13072"/>
    <cellStyle name="Comma 20 4 6 4" xfId="18613"/>
    <cellStyle name="Comma 20 4 6 5" xfId="11317"/>
    <cellStyle name="Comma 20 4 7" xfId="3389"/>
    <cellStyle name="Comma 20 4 7 2" xfId="9409"/>
    <cellStyle name="Comma 20 4 7 2 2" xfId="23476"/>
    <cellStyle name="Comma 20 4 7 2 3" xfId="18028"/>
    <cellStyle name="Comma 20 4 7 3" xfId="13073"/>
    <cellStyle name="Comma 20 4 7 4" xfId="18614"/>
    <cellStyle name="Comma 20 4 7 5" xfId="12626"/>
    <cellStyle name="Comma 20 4 8" xfId="6918"/>
    <cellStyle name="Comma 20 4 8 2" xfId="21029"/>
    <cellStyle name="Comma 20 4 8 3" xfId="15556"/>
    <cellStyle name="Comma 20 4 9" xfId="9724"/>
    <cellStyle name="Comma 20 4 9 2" xfId="12832"/>
    <cellStyle name="Comma 20 5" xfId="3390"/>
    <cellStyle name="Comma 20 5 10" xfId="41371"/>
    <cellStyle name="Comma 20 5 2" xfId="3391"/>
    <cellStyle name="Comma 20 5 2 2" xfId="3392"/>
    <cellStyle name="Comma 20 5 2 2 2" xfId="8249"/>
    <cellStyle name="Comma 20 5 2 2 2 2" xfId="22356"/>
    <cellStyle name="Comma 20 5 2 2 2 3" xfId="16883"/>
    <cellStyle name="Comma 20 5 2 2 3" xfId="13076"/>
    <cellStyle name="Comma 20 5 2 2 4" xfId="18617"/>
    <cellStyle name="Comma 20 5 2 2 5" xfId="11496"/>
    <cellStyle name="Comma 20 5 2 3" xfId="3393"/>
    <cellStyle name="Comma 20 5 2 3 2" xfId="9047"/>
    <cellStyle name="Comma 20 5 2 3 2 2" xfId="23148"/>
    <cellStyle name="Comma 20 5 2 3 2 3" xfId="17681"/>
    <cellStyle name="Comma 20 5 2 3 3" xfId="13077"/>
    <cellStyle name="Comma 20 5 2 3 4" xfId="18618"/>
    <cellStyle name="Comma 20 5 2 3 5" xfId="12292"/>
    <cellStyle name="Comma 20 5 2 4" xfId="7457"/>
    <cellStyle name="Comma 20 5 2 4 2" xfId="21564"/>
    <cellStyle name="Comma 20 5 2 4 3" xfId="16091"/>
    <cellStyle name="Comma 20 5 2 5" xfId="13075"/>
    <cellStyle name="Comma 20 5 2 6" xfId="18616"/>
    <cellStyle name="Comma 20 5 2 7" xfId="10704"/>
    <cellStyle name="Comma 20 5 3" xfId="3394"/>
    <cellStyle name="Comma 20 5 3 2" xfId="3395"/>
    <cellStyle name="Comma 20 5 3 2 2" xfId="8509"/>
    <cellStyle name="Comma 20 5 3 2 2 2" xfId="22616"/>
    <cellStyle name="Comma 20 5 3 2 2 3" xfId="17143"/>
    <cellStyle name="Comma 20 5 3 2 3" xfId="13079"/>
    <cellStyle name="Comma 20 5 3 2 4" xfId="18620"/>
    <cellStyle name="Comma 20 5 3 2 5" xfId="11757"/>
    <cellStyle name="Comma 20 5 3 3" xfId="7717"/>
    <cellStyle name="Comma 20 5 3 3 2" xfId="21824"/>
    <cellStyle name="Comma 20 5 3 3 3" xfId="16351"/>
    <cellStyle name="Comma 20 5 3 4" xfId="13078"/>
    <cellStyle name="Comma 20 5 3 5" xfId="18619"/>
    <cellStyle name="Comma 20 5 3 6" xfId="10964"/>
    <cellStyle name="Comma 20 5 4" xfId="3396"/>
    <cellStyle name="Comma 20 5 4 2" xfId="6435"/>
    <cellStyle name="Comma 20 5 4 2 2" xfId="8871"/>
    <cellStyle name="Comma 20 5 4 2 2 2" xfId="22972"/>
    <cellStyle name="Comma 20 5 4 2 2 3" xfId="17505"/>
    <cellStyle name="Comma 20 5 4 2 3" xfId="15264"/>
    <cellStyle name="Comma 20 5 4 2 4" xfId="20758"/>
    <cellStyle name="Comma 20 5 4 2 5" xfId="12115"/>
    <cellStyle name="Comma 20 5 4 3" xfId="7281"/>
    <cellStyle name="Comma 20 5 4 3 2" xfId="21388"/>
    <cellStyle name="Comma 20 5 4 3 3" xfId="15915"/>
    <cellStyle name="Comma 20 5 4 4" xfId="13080"/>
    <cellStyle name="Comma 20 5 4 5" xfId="18621"/>
    <cellStyle name="Comma 20 5 4 6" xfId="10528"/>
    <cellStyle name="Comma 20 5 5" xfId="3397"/>
    <cellStyle name="Comma 20 5 5 2" xfId="8073"/>
    <cellStyle name="Comma 20 5 5 2 2" xfId="22180"/>
    <cellStyle name="Comma 20 5 5 2 3" xfId="16707"/>
    <cellStyle name="Comma 20 5 5 3" xfId="13081"/>
    <cellStyle name="Comma 20 5 5 4" xfId="18622"/>
    <cellStyle name="Comma 20 5 5 5" xfId="11320"/>
    <cellStyle name="Comma 20 5 6" xfId="6922"/>
    <cellStyle name="Comma 20 5 6 2" xfId="21032"/>
    <cellStyle name="Comma 20 5 6 3" xfId="15559"/>
    <cellStyle name="Comma 20 5 7" xfId="13074"/>
    <cellStyle name="Comma 20 5 8" xfId="18615"/>
    <cellStyle name="Comma 20 5 9" xfId="10172"/>
    <cellStyle name="Comma 20 6" xfId="3398"/>
    <cellStyle name="Comma 20 6 10" xfId="41372"/>
    <cellStyle name="Comma 20 6 2" xfId="3399"/>
    <cellStyle name="Comma 20 6 2 2" xfId="3400"/>
    <cellStyle name="Comma 20 6 2 2 2" xfId="8345"/>
    <cellStyle name="Comma 20 6 2 2 2 2" xfId="22452"/>
    <cellStyle name="Comma 20 6 2 2 2 3" xfId="16979"/>
    <cellStyle name="Comma 20 6 2 2 3" xfId="13084"/>
    <cellStyle name="Comma 20 6 2 2 4" xfId="18625"/>
    <cellStyle name="Comma 20 6 2 2 5" xfId="11593"/>
    <cellStyle name="Comma 20 6 2 3" xfId="3401"/>
    <cellStyle name="Comma 20 6 2 3 2" xfId="9143"/>
    <cellStyle name="Comma 20 6 2 3 2 2" xfId="23244"/>
    <cellStyle name="Comma 20 6 2 3 2 3" xfId="17777"/>
    <cellStyle name="Comma 20 6 2 3 3" xfId="13085"/>
    <cellStyle name="Comma 20 6 2 3 4" xfId="18626"/>
    <cellStyle name="Comma 20 6 2 3 5" xfId="12388"/>
    <cellStyle name="Comma 20 6 2 4" xfId="7553"/>
    <cellStyle name="Comma 20 6 2 4 2" xfId="21660"/>
    <cellStyle name="Comma 20 6 2 4 3" xfId="16187"/>
    <cellStyle name="Comma 20 6 2 5" xfId="13083"/>
    <cellStyle name="Comma 20 6 2 6" xfId="18624"/>
    <cellStyle name="Comma 20 6 2 7" xfId="10800"/>
    <cellStyle name="Comma 20 6 3" xfId="3402"/>
    <cellStyle name="Comma 20 6 3 2" xfId="3403"/>
    <cellStyle name="Comma 20 6 3 2 2" xfId="8605"/>
    <cellStyle name="Comma 20 6 3 2 2 2" xfId="22712"/>
    <cellStyle name="Comma 20 6 3 2 2 3" xfId="17239"/>
    <cellStyle name="Comma 20 6 3 2 3" xfId="13087"/>
    <cellStyle name="Comma 20 6 3 2 4" xfId="18628"/>
    <cellStyle name="Comma 20 6 3 2 5" xfId="11853"/>
    <cellStyle name="Comma 20 6 3 3" xfId="7813"/>
    <cellStyle name="Comma 20 6 3 3 2" xfId="21920"/>
    <cellStyle name="Comma 20 6 3 3 3" xfId="16447"/>
    <cellStyle name="Comma 20 6 3 4" xfId="13086"/>
    <cellStyle name="Comma 20 6 3 5" xfId="18627"/>
    <cellStyle name="Comma 20 6 3 6" xfId="11060"/>
    <cellStyle name="Comma 20 6 4" xfId="3404"/>
    <cellStyle name="Comma 20 6 4 2" xfId="6355"/>
    <cellStyle name="Comma 20 6 4 2 2" xfId="8791"/>
    <cellStyle name="Comma 20 6 4 2 2 2" xfId="22892"/>
    <cellStyle name="Comma 20 6 4 2 2 3" xfId="17425"/>
    <cellStyle name="Comma 20 6 4 2 3" xfId="15184"/>
    <cellStyle name="Comma 20 6 4 2 4" xfId="20678"/>
    <cellStyle name="Comma 20 6 4 2 5" xfId="12035"/>
    <cellStyle name="Comma 20 6 4 3" xfId="7201"/>
    <cellStyle name="Comma 20 6 4 3 2" xfId="21308"/>
    <cellStyle name="Comma 20 6 4 3 3" xfId="15835"/>
    <cellStyle name="Comma 20 6 4 4" xfId="13088"/>
    <cellStyle name="Comma 20 6 4 5" xfId="18629"/>
    <cellStyle name="Comma 20 6 4 6" xfId="10448"/>
    <cellStyle name="Comma 20 6 5" xfId="3405"/>
    <cellStyle name="Comma 20 6 5 2" xfId="7993"/>
    <cellStyle name="Comma 20 6 5 2 2" xfId="22100"/>
    <cellStyle name="Comma 20 6 5 2 3" xfId="16627"/>
    <cellStyle name="Comma 20 6 5 3" xfId="13089"/>
    <cellStyle name="Comma 20 6 5 4" xfId="18630"/>
    <cellStyle name="Comma 20 6 5 5" xfId="11240"/>
    <cellStyle name="Comma 20 6 6" xfId="7018"/>
    <cellStyle name="Comma 20 6 6 2" xfId="21128"/>
    <cellStyle name="Comma 20 6 6 3" xfId="15655"/>
    <cellStyle name="Comma 20 6 7" xfId="13082"/>
    <cellStyle name="Comma 20 6 8" xfId="18623"/>
    <cellStyle name="Comma 20 6 9" xfId="10268"/>
    <cellStyle name="Comma 20 7" xfId="3406"/>
    <cellStyle name="Comma 20 7 2" xfId="3407"/>
    <cellStyle name="Comma 20 7 2 2" xfId="8169"/>
    <cellStyle name="Comma 20 7 2 2 2" xfId="22276"/>
    <cellStyle name="Comma 20 7 2 2 3" xfId="16803"/>
    <cellStyle name="Comma 20 7 2 3" xfId="13091"/>
    <cellStyle name="Comma 20 7 2 4" xfId="18632"/>
    <cellStyle name="Comma 20 7 2 5" xfId="11416"/>
    <cellStyle name="Comma 20 7 3" xfId="3408"/>
    <cellStyle name="Comma 20 7 3 2" xfId="8967"/>
    <cellStyle name="Comma 20 7 3 2 2" xfId="23068"/>
    <cellStyle name="Comma 20 7 3 2 3" xfId="17601"/>
    <cellStyle name="Comma 20 7 3 3" xfId="13092"/>
    <cellStyle name="Comma 20 7 3 4" xfId="18633"/>
    <cellStyle name="Comma 20 7 3 5" xfId="12211"/>
    <cellStyle name="Comma 20 7 4" xfId="7377"/>
    <cellStyle name="Comma 20 7 4 2" xfId="21484"/>
    <cellStyle name="Comma 20 7 4 3" xfId="16011"/>
    <cellStyle name="Comma 20 7 5" xfId="13090"/>
    <cellStyle name="Comma 20 7 6" xfId="18631"/>
    <cellStyle name="Comma 20 7 7" xfId="10624"/>
    <cellStyle name="Comma 20 8" xfId="3409"/>
    <cellStyle name="Comma 20 8 2" xfId="3410"/>
    <cellStyle name="Comma 20 8 2 2" xfId="8429"/>
    <cellStyle name="Comma 20 8 2 2 2" xfId="22536"/>
    <cellStyle name="Comma 20 8 2 2 3" xfId="17063"/>
    <cellStyle name="Comma 20 8 2 3" xfId="13094"/>
    <cellStyle name="Comma 20 8 2 4" xfId="18635"/>
    <cellStyle name="Comma 20 8 2 5" xfId="11677"/>
    <cellStyle name="Comma 20 8 3" xfId="7637"/>
    <cellStyle name="Comma 20 8 3 2" xfId="21744"/>
    <cellStyle name="Comma 20 8 3 3" xfId="16271"/>
    <cellStyle name="Comma 20 8 4" xfId="13093"/>
    <cellStyle name="Comma 20 8 5" xfId="18634"/>
    <cellStyle name="Comma 20 8 6" xfId="10884"/>
    <cellStyle name="Comma 20 9" xfId="3411"/>
    <cellStyle name="Comma 20 9 2" xfId="6259"/>
    <cellStyle name="Comma 20 9 2 2" xfId="8695"/>
    <cellStyle name="Comma 20 9 2 2 2" xfId="22796"/>
    <cellStyle name="Comma 20 9 2 2 3" xfId="17329"/>
    <cellStyle name="Comma 20 9 2 3" xfId="15088"/>
    <cellStyle name="Comma 20 9 2 4" xfId="20582"/>
    <cellStyle name="Comma 20 9 2 5" xfId="11939"/>
    <cellStyle name="Comma 20 9 3" xfId="7105"/>
    <cellStyle name="Comma 20 9 3 2" xfId="21212"/>
    <cellStyle name="Comma 20 9 3 3" xfId="15739"/>
    <cellStyle name="Comma 20 9 4" xfId="13095"/>
    <cellStyle name="Comma 20 9 5" xfId="18636"/>
    <cellStyle name="Comma 20 9 6" xfId="10352"/>
    <cellStyle name="Comma 200" xfId="3412"/>
    <cellStyle name="Comma 200 2" xfId="9287"/>
    <cellStyle name="Comma 200 2 2" xfId="23367"/>
    <cellStyle name="Comma 200 2 3" xfId="17919"/>
    <cellStyle name="Comma 200 3" xfId="13096"/>
    <cellStyle name="Comma 200 4" xfId="18637"/>
    <cellStyle name="Comma 200 5" xfId="12513"/>
    <cellStyle name="Comma 201" xfId="3413"/>
    <cellStyle name="Comma 201 2" xfId="9288"/>
    <cellStyle name="Comma 201 2 2" xfId="23368"/>
    <cellStyle name="Comma 201 2 3" xfId="17920"/>
    <cellStyle name="Comma 201 3" xfId="13097"/>
    <cellStyle name="Comma 201 4" xfId="18638"/>
    <cellStyle name="Comma 201 5" xfId="12514"/>
    <cellStyle name="Comma 202" xfId="3414"/>
    <cellStyle name="Comma 202 2" xfId="9289"/>
    <cellStyle name="Comma 202 2 2" xfId="23369"/>
    <cellStyle name="Comma 202 2 3" xfId="17921"/>
    <cellStyle name="Comma 202 3" xfId="13098"/>
    <cellStyle name="Comma 202 4" xfId="18639"/>
    <cellStyle name="Comma 202 5" xfId="12515"/>
    <cellStyle name="Comma 203" xfId="3182"/>
    <cellStyle name="Comma 203 2" xfId="9290"/>
    <cellStyle name="Comma 203 2 2" xfId="23370"/>
    <cellStyle name="Comma 203 2 3" xfId="17922"/>
    <cellStyle name="Comma 203 3" xfId="12974"/>
    <cellStyle name="Comma 203 4" xfId="18516"/>
    <cellStyle name="Comma 203 5" xfId="12516"/>
    <cellStyle name="Comma 204" xfId="3415"/>
    <cellStyle name="Comma 204 2" xfId="9291"/>
    <cellStyle name="Comma 204 2 2" xfId="23371"/>
    <cellStyle name="Comma 204 2 3" xfId="17923"/>
    <cellStyle name="Comma 204 3" xfId="13099"/>
    <cellStyle name="Comma 204 4" xfId="18640"/>
    <cellStyle name="Comma 204 5" xfId="12517"/>
    <cellStyle name="Comma 205" xfId="3416"/>
    <cellStyle name="Comma 205 2" xfId="9292"/>
    <cellStyle name="Comma 205 2 2" xfId="23372"/>
    <cellStyle name="Comma 205 2 3" xfId="17924"/>
    <cellStyle name="Comma 205 3" xfId="13100"/>
    <cellStyle name="Comma 205 4" xfId="18641"/>
    <cellStyle name="Comma 205 5" xfId="12518"/>
    <cellStyle name="Comma 206" xfId="3417"/>
    <cellStyle name="Comma 206 2" xfId="9293"/>
    <cellStyle name="Comma 206 2 2" xfId="23373"/>
    <cellStyle name="Comma 206 2 3" xfId="17925"/>
    <cellStyle name="Comma 206 3" xfId="13101"/>
    <cellStyle name="Comma 206 4" xfId="18642"/>
    <cellStyle name="Comma 206 5" xfId="12519"/>
    <cellStyle name="Comma 207" xfId="3418"/>
    <cellStyle name="Comma 207 2" xfId="9294"/>
    <cellStyle name="Comma 207 2 2" xfId="23374"/>
    <cellStyle name="Comma 207 2 3" xfId="17926"/>
    <cellStyle name="Comma 207 3" xfId="13102"/>
    <cellStyle name="Comma 207 4" xfId="18643"/>
    <cellStyle name="Comma 207 5" xfId="12520"/>
    <cellStyle name="Comma 208" xfId="3187"/>
    <cellStyle name="Comma 208 2" xfId="9295"/>
    <cellStyle name="Comma 208 2 2" xfId="23375"/>
    <cellStyle name="Comma 208 2 3" xfId="17927"/>
    <cellStyle name="Comma 208 3" xfId="12979"/>
    <cellStyle name="Comma 208 4" xfId="18521"/>
    <cellStyle name="Comma 208 5" xfId="12521"/>
    <cellStyle name="Comma 209" xfId="3419"/>
    <cellStyle name="Comma 209 2" xfId="9296"/>
    <cellStyle name="Comma 209 2 2" xfId="23376"/>
    <cellStyle name="Comma 209 2 3" xfId="17928"/>
    <cellStyle name="Comma 209 3" xfId="13103"/>
    <cellStyle name="Comma 209 4" xfId="18644"/>
    <cellStyle name="Comma 209 5" xfId="12522"/>
    <cellStyle name="Comma 21" xfId="583"/>
    <cellStyle name="Comma 21 10" xfId="3420"/>
    <cellStyle name="Comma 21 10 2" xfId="7907"/>
    <cellStyle name="Comma 21 10 2 2" xfId="22014"/>
    <cellStyle name="Comma 21 10 2 3" xfId="16541"/>
    <cellStyle name="Comma 21 10 3" xfId="13104"/>
    <cellStyle name="Comma 21 10 4" xfId="18645"/>
    <cellStyle name="Comma 21 10 5" xfId="11154"/>
    <cellStyle name="Comma 21 11" xfId="6832"/>
    <cellStyle name="Comma 21 11 2" xfId="20962"/>
    <cellStyle name="Comma 21 11 3" xfId="15488"/>
    <cellStyle name="Comma 21 12" xfId="10096"/>
    <cellStyle name="Comma 21 2" xfId="1330"/>
    <cellStyle name="Comma 21 3" xfId="1566"/>
    <cellStyle name="Comma 21 3 10" xfId="9919"/>
    <cellStyle name="Comma 21 3 10 2" xfId="18359"/>
    <cellStyle name="Comma 21 3 11" xfId="23723"/>
    <cellStyle name="Comma 21 3 12" xfId="10132"/>
    <cellStyle name="Comma 21 3 13" xfId="2117"/>
    <cellStyle name="Comma 21 3 2" xfId="3003"/>
    <cellStyle name="Comma 21 3 2 10" xfId="10310"/>
    <cellStyle name="Comma 21 3 2 2" xfId="3421"/>
    <cellStyle name="Comma 21 3 2 2 2" xfId="3422"/>
    <cellStyle name="Comma 21 3 2 2 2 2" xfId="8647"/>
    <cellStyle name="Comma 21 3 2 2 2 2 2" xfId="22754"/>
    <cellStyle name="Comma 21 3 2 2 2 2 3" xfId="17281"/>
    <cellStyle name="Comma 21 3 2 2 2 3" xfId="13106"/>
    <cellStyle name="Comma 21 3 2 2 2 4" xfId="18647"/>
    <cellStyle name="Comma 21 3 2 2 2 5" xfId="11895"/>
    <cellStyle name="Comma 21 3 2 2 3" xfId="7855"/>
    <cellStyle name="Comma 21 3 2 2 3 2" xfId="21962"/>
    <cellStyle name="Comma 21 3 2 2 3 3" xfId="16489"/>
    <cellStyle name="Comma 21 3 2 2 4" xfId="13105"/>
    <cellStyle name="Comma 21 3 2 2 5" xfId="18646"/>
    <cellStyle name="Comma 21 3 2 2 6" xfId="24214"/>
    <cellStyle name="Comma 21 3 2 2 7" xfId="11102"/>
    <cellStyle name="Comma 21 3 2 3" xfId="3423"/>
    <cellStyle name="Comma 21 3 2 3 2" xfId="6586"/>
    <cellStyle name="Comma 21 3 2 3 2 2" xfId="9185"/>
    <cellStyle name="Comma 21 3 2 3 2 2 2" xfId="23286"/>
    <cellStyle name="Comma 21 3 2 3 2 2 3" xfId="17819"/>
    <cellStyle name="Comma 21 3 2 3 2 3" xfId="15371"/>
    <cellStyle name="Comma 21 3 2 3 2 4" xfId="20864"/>
    <cellStyle name="Comma 21 3 2 3 2 5" xfId="12430"/>
    <cellStyle name="Comma 21 3 2 3 3" xfId="7595"/>
    <cellStyle name="Comma 21 3 2 3 3 2" xfId="21702"/>
    <cellStyle name="Comma 21 3 2 3 3 3" xfId="16229"/>
    <cellStyle name="Comma 21 3 2 3 4" xfId="13107"/>
    <cellStyle name="Comma 21 3 2 3 5" xfId="18648"/>
    <cellStyle name="Comma 21 3 2 3 6" xfId="10842"/>
    <cellStyle name="Comma 21 3 2 4" xfId="3424"/>
    <cellStyle name="Comma 21 3 2 4 2" xfId="8387"/>
    <cellStyle name="Comma 21 3 2 4 2 2" xfId="22494"/>
    <cellStyle name="Comma 21 3 2 4 2 3" xfId="17021"/>
    <cellStyle name="Comma 21 3 2 4 3" xfId="13108"/>
    <cellStyle name="Comma 21 3 2 4 4" xfId="18649"/>
    <cellStyle name="Comma 21 3 2 4 5" xfId="11635"/>
    <cellStyle name="Comma 21 3 2 5" xfId="3425"/>
    <cellStyle name="Comma 21 3 2 5 2" xfId="9478"/>
    <cellStyle name="Comma 21 3 2 5 2 2" xfId="23525"/>
    <cellStyle name="Comma 21 3 2 5 2 3" xfId="18079"/>
    <cellStyle name="Comma 21 3 2 5 3" xfId="13109"/>
    <cellStyle name="Comma 21 3 2 5 4" xfId="18650"/>
    <cellStyle name="Comma 21 3 2 5 5" xfId="12679"/>
    <cellStyle name="Comma 21 3 2 6" xfId="7061"/>
    <cellStyle name="Comma 21 3 2 6 2" xfId="21170"/>
    <cellStyle name="Comma 21 3 2 6 3" xfId="15697"/>
    <cellStyle name="Comma 21 3 2 7" xfId="9780"/>
    <cellStyle name="Comma 21 3 2 7 2" xfId="12881"/>
    <cellStyle name="Comma 21 3 2 8" xfId="9993"/>
    <cellStyle name="Comma 21 3 2 8 2" xfId="18432"/>
    <cellStyle name="Comma 21 3 2 9" xfId="24020"/>
    <cellStyle name="Comma 21 3 3" xfId="3426"/>
    <cellStyle name="Comma 21 3 3 2" xfId="3427"/>
    <cellStyle name="Comma 21 3 3 2 2" xfId="8211"/>
    <cellStyle name="Comma 21 3 3 2 2 2" xfId="22318"/>
    <cellStyle name="Comma 21 3 3 2 2 3" xfId="16845"/>
    <cellStyle name="Comma 21 3 3 2 3" xfId="13111"/>
    <cellStyle name="Comma 21 3 3 2 4" xfId="18652"/>
    <cellStyle name="Comma 21 3 3 2 5" xfId="11458"/>
    <cellStyle name="Comma 21 3 3 3" xfId="3428"/>
    <cellStyle name="Comma 21 3 3 3 2" xfId="9009"/>
    <cellStyle name="Comma 21 3 3 3 2 2" xfId="23110"/>
    <cellStyle name="Comma 21 3 3 3 2 3" xfId="17643"/>
    <cellStyle name="Comma 21 3 3 3 3" xfId="13112"/>
    <cellStyle name="Comma 21 3 3 3 4" xfId="18653"/>
    <cellStyle name="Comma 21 3 3 3 5" xfId="12253"/>
    <cellStyle name="Comma 21 3 3 4" xfId="7419"/>
    <cellStyle name="Comma 21 3 3 4 2" xfId="21526"/>
    <cellStyle name="Comma 21 3 3 4 3" xfId="16053"/>
    <cellStyle name="Comma 21 3 3 5" xfId="13110"/>
    <cellStyle name="Comma 21 3 3 6" xfId="18651"/>
    <cellStyle name="Comma 21 3 3 7" xfId="24141"/>
    <cellStyle name="Comma 21 3 3 8" xfId="10666"/>
    <cellStyle name="Comma 21 3 4" xfId="3429"/>
    <cellStyle name="Comma 21 3 4 2" xfId="3430"/>
    <cellStyle name="Comma 21 3 4 2 2" xfId="8471"/>
    <cellStyle name="Comma 21 3 4 2 2 2" xfId="22578"/>
    <cellStyle name="Comma 21 3 4 2 2 3" xfId="17105"/>
    <cellStyle name="Comma 21 3 4 2 3" xfId="13114"/>
    <cellStyle name="Comma 21 3 4 2 4" xfId="18655"/>
    <cellStyle name="Comma 21 3 4 2 5" xfId="11719"/>
    <cellStyle name="Comma 21 3 4 3" xfId="7679"/>
    <cellStyle name="Comma 21 3 4 3 2" xfId="21786"/>
    <cellStyle name="Comma 21 3 4 3 3" xfId="16313"/>
    <cellStyle name="Comma 21 3 4 4" xfId="13113"/>
    <cellStyle name="Comma 21 3 4 5" xfId="18654"/>
    <cellStyle name="Comma 21 3 4 6" xfId="10926"/>
    <cellStyle name="Comma 21 3 5" xfId="3431"/>
    <cellStyle name="Comma 21 3 5 2" xfId="6397"/>
    <cellStyle name="Comma 21 3 5 2 2" xfId="8833"/>
    <cellStyle name="Comma 21 3 5 2 2 2" xfId="22934"/>
    <cellStyle name="Comma 21 3 5 2 2 3" xfId="17467"/>
    <cellStyle name="Comma 21 3 5 2 3" xfId="15226"/>
    <cellStyle name="Comma 21 3 5 2 4" xfId="20720"/>
    <cellStyle name="Comma 21 3 5 2 5" xfId="12077"/>
    <cellStyle name="Comma 21 3 5 3" xfId="7243"/>
    <cellStyle name="Comma 21 3 5 3 2" xfId="21350"/>
    <cellStyle name="Comma 21 3 5 3 3" xfId="15877"/>
    <cellStyle name="Comma 21 3 5 4" xfId="13115"/>
    <cellStyle name="Comma 21 3 5 5" xfId="18656"/>
    <cellStyle name="Comma 21 3 5 6" xfId="10490"/>
    <cellStyle name="Comma 21 3 6" xfId="3432"/>
    <cellStyle name="Comma 21 3 6 2" xfId="8035"/>
    <cellStyle name="Comma 21 3 6 2 2" xfId="22142"/>
    <cellStyle name="Comma 21 3 6 2 3" xfId="16669"/>
    <cellStyle name="Comma 21 3 6 3" xfId="13116"/>
    <cellStyle name="Comma 21 3 6 4" xfId="18657"/>
    <cellStyle name="Comma 21 3 6 5" xfId="11282"/>
    <cellStyle name="Comma 21 3 7" xfId="3433"/>
    <cellStyle name="Comma 21 3 7 2" xfId="9383"/>
    <cellStyle name="Comma 21 3 7 2 2" xfId="23452"/>
    <cellStyle name="Comma 21 3 7 2 3" xfId="18004"/>
    <cellStyle name="Comma 21 3 7 3" xfId="13117"/>
    <cellStyle name="Comma 21 3 7 4" xfId="18658"/>
    <cellStyle name="Comma 21 3 7 5" xfId="12601"/>
    <cellStyle name="Comma 21 3 8" xfId="6881"/>
    <cellStyle name="Comma 21 3 8 2" xfId="20994"/>
    <cellStyle name="Comma 21 3 8 3" xfId="15521"/>
    <cellStyle name="Comma 21 3 9" xfId="9690"/>
    <cellStyle name="Comma 21 3 9 2" xfId="12808"/>
    <cellStyle name="Comma 21 4" xfId="818"/>
    <cellStyle name="Comma 21 4 10" xfId="9953"/>
    <cellStyle name="Comma 21 4 10 2" xfId="18392"/>
    <cellStyle name="Comma 21 4 11" xfId="23970"/>
    <cellStyle name="Comma 21 4 12" xfId="10158"/>
    <cellStyle name="Comma 21 4 13" xfId="2586"/>
    <cellStyle name="Comma 21 4 2" xfId="3434"/>
    <cellStyle name="Comma 21 4 2 2" xfId="3435"/>
    <cellStyle name="Comma 21 4 2 2 2" xfId="3436"/>
    <cellStyle name="Comma 21 4 2 2 2 2" xfId="8671"/>
    <cellStyle name="Comma 21 4 2 2 2 2 2" xfId="22778"/>
    <cellStyle name="Comma 21 4 2 2 2 2 3" xfId="17305"/>
    <cellStyle name="Comma 21 4 2 2 2 3" xfId="13120"/>
    <cellStyle name="Comma 21 4 2 2 2 4" xfId="18661"/>
    <cellStyle name="Comma 21 4 2 2 2 5" xfId="11919"/>
    <cellStyle name="Comma 21 4 2 2 3" xfId="7879"/>
    <cellStyle name="Comma 21 4 2 2 3 2" xfId="21986"/>
    <cellStyle name="Comma 21 4 2 2 3 3" xfId="16513"/>
    <cellStyle name="Comma 21 4 2 2 4" xfId="13119"/>
    <cellStyle name="Comma 21 4 2 2 5" xfId="18660"/>
    <cellStyle name="Comma 21 4 2 2 6" xfId="11126"/>
    <cellStyle name="Comma 21 4 2 3" xfId="3437"/>
    <cellStyle name="Comma 21 4 2 3 2" xfId="6610"/>
    <cellStyle name="Comma 21 4 2 3 2 2" xfId="9209"/>
    <cellStyle name="Comma 21 4 2 3 2 2 2" xfId="23310"/>
    <cellStyle name="Comma 21 4 2 3 2 2 3" xfId="17843"/>
    <cellStyle name="Comma 21 4 2 3 2 3" xfId="15395"/>
    <cellStyle name="Comma 21 4 2 3 2 4" xfId="20888"/>
    <cellStyle name="Comma 21 4 2 3 2 5" xfId="12454"/>
    <cellStyle name="Comma 21 4 2 3 3" xfId="7619"/>
    <cellStyle name="Comma 21 4 2 3 3 2" xfId="21726"/>
    <cellStyle name="Comma 21 4 2 3 3 3" xfId="16253"/>
    <cellStyle name="Comma 21 4 2 3 4" xfId="13121"/>
    <cellStyle name="Comma 21 4 2 3 5" xfId="18662"/>
    <cellStyle name="Comma 21 4 2 3 6" xfId="10866"/>
    <cellStyle name="Comma 21 4 2 4" xfId="3438"/>
    <cellStyle name="Comma 21 4 2 4 2" xfId="8411"/>
    <cellStyle name="Comma 21 4 2 4 2 2" xfId="22518"/>
    <cellStyle name="Comma 21 4 2 4 2 3" xfId="17045"/>
    <cellStyle name="Comma 21 4 2 4 3" xfId="13122"/>
    <cellStyle name="Comma 21 4 2 4 4" xfId="18663"/>
    <cellStyle name="Comma 21 4 2 4 5" xfId="11659"/>
    <cellStyle name="Comma 21 4 2 5" xfId="7086"/>
    <cellStyle name="Comma 21 4 2 5 2" xfId="21194"/>
    <cellStyle name="Comma 21 4 2 5 3" xfId="15721"/>
    <cellStyle name="Comma 21 4 2 6" xfId="13118"/>
    <cellStyle name="Comma 21 4 2 7" xfId="18659"/>
    <cellStyle name="Comma 21 4 2 8" xfId="24174"/>
    <cellStyle name="Comma 21 4 2 9" xfId="10334"/>
    <cellStyle name="Comma 21 4 3" xfId="3439"/>
    <cellStyle name="Comma 21 4 3 2" xfId="3440"/>
    <cellStyle name="Comma 21 4 3 2 2" xfId="8235"/>
    <cellStyle name="Comma 21 4 3 2 2 2" xfId="22342"/>
    <cellStyle name="Comma 21 4 3 2 2 3" xfId="16869"/>
    <cellStyle name="Comma 21 4 3 2 3" xfId="13124"/>
    <cellStyle name="Comma 21 4 3 2 4" xfId="18665"/>
    <cellStyle name="Comma 21 4 3 2 5" xfId="11482"/>
    <cellStyle name="Comma 21 4 3 3" xfId="3441"/>
    <cellStyle name="Comma 21 4 3 3 2" xfId="9033"/>
    <cellStyle name="Comma 21 4 3 3 2 2" xfId="23134"/>
    <cellStyle name="Comma 21 4 3 3 2 3" xfId="17667"/>
    <cellStyle name="Comma 21 4 3 3 3" xfId="13125"/>
    <cellStyle name="Comma 21 4 3 3 4" xfId="18666"/>
    <cellStyle name="Comma 21 4 3 3 5" xfId="12278"/>
    <cellStyle name="Comma 21 4 3 4" xfId="7443"/>
    <cellStyle name="Comma 21 4 3 4 2" xfId="21550"/>
    <cellStyle name="Comma 21 4 3 4 3" xfId="16077"/>
    <cellStyle name="Comma 21 4 3 5" xfId="13123"/>
    <cellStyle name="Comma 21 4 3 6" xfId="18664"/>
    <cellStyle name="Comma 21 4 3 7" xfId="10690"/>
    <cellStyle name="Comma 21 4 4" xfId="3442"/>
    <cellStyle name="Comma 21 4 4 2" xfId="3443"/>
    <cellStyle name="Comma 21 4 4 2 2" xfId="8495"/>
    <cellStyle name="Comma 21 4 4 2 2 2" xfId="22602"/>
    <cellStyle name="Comma 21 4 4 2 2 3" xfId="17129"/>
    <cellStyle name="Comma 21 4 4 2 3" xfId="13127"/>
    <cellStyle name="Comma 21 4 4 2 4" xfId="18668"/>
    <cellStyle name="Comma 21 4 4 2 5" xfId="11743"/>
    <cellStyle name="Comma 21 4 4 3" xfId="7703"/>
    <cellStyle name="Comma 21 4 4 3 2" xfId="21810"/>
    <cellStyle name="Comma 21 4 4 3 3" xfId="16337"/>
    <cellStyle name="Comma 21 4 4 4" xfId="13126"/>
    <cellStyle name="Comma 21 4 4 5" xfId="18667"/>
    <cellStyle name="Comma 21 4 4 6" xfId="10950"/>
    <cellStyle name="Comma 21 4 5" xfId="3444"/>
    <cellStyle name="Comma 21 4 5 2" xfId="6421"/>
    <cellStyle name="Comma 21 4 5 2 2" xfId="8857"/>
    <cellStyle name="Comma 21 4 5 2 2 2" xfId="22958"/>
    <cellStyle name="Comma 21 4 5 2 2 3" xfId="17491"/>
    <cellStyle name="Comma 21 4 5 2 3" xfId="15250"/>
    <cellStyle name="Comma 21 4 5 2 4" xfId="20744"/>
    <cellStyle name="Comma 21 4 5 2 5" xfId="12101"/>
    <cellStyle name="Comma 21 4 5 3" xfId="7267"/>
    <cellStyle name="Comma 21 4 5 3 2" xfId="21374"/>
    <cellStyle name="Comma 21 4 5 3 3" xfId="15901"/>
    <cellStyle name="Comma 21 4 5 4" xfId="13128"/>
    <cellStyle name="Comma 21 4 5 5" xfId="18669"/>
    <cellStyle name="Comma 21 4 5 6" xfId="10514"/>
    <cellStyle name="Comma 21 4 6" xfId="3445"/>
    <cellStyle name="Comma 21 4 6 2" xfId="8059"/>
    <cellStyle name="Comma 21 4 6 2 2" xfId="22166"/>
    <cellStyle name="Comma 21 4 6 2 3" xfId="16693"/>
    <cellStyle name="Comma 21 4 6 3" xfId="13129"/>
    <cellStyle name="Comma 21 4 6 4" xfId="18670"/>
    <cellStyle name="Comma 21 4 6 5" xfId="11306"/>
    <cellStyle name="Comma 21 4 7" xfId="3446"/>
    <cellStyle name="Comma 21 4 7 2" xfId="9418"/>
    <cellStyle name="Comma 21 4 7 2 2" xfId="23485"/>
    <cellStyle name="Comma 21 4 7 2 3" xfId="18037"/>
    <cellStyle name="Comma 21 4 7 3" xfId="13130"/>
    <cellStyle name="Comma 21 4 7 4" xfId="18671"/>
    <cellStyle name="Comma 21 4 7 5" xfId="12635"/>
    <cellStyle name="Comma 21 4 8" xfId="6907"/>
    <cellStyle name="Comma 21 4 8 2" xfId="21018"/>
    <cellStyle name="Comma 21 4 8 3" xfId="15545"/>
    <cellStyle name="Comma 21 4 9" xfId="9733"/>
    <cellStyle name="Comma 21 4 9 2" xfId="12841"/>
    <cellStyle name="Comma 21 5" xfId="3447"/>
    <cellStyle name="Comma 21 5 10" xfId="41373"/>
    <cellStyle name="Comma 21 5 2" xfId="3448"/>
    <cellStyle name="Comma 21 5 2 2" xfId="3449"/>
    <cellStyle name="Comma 21 5 2 2 2" xfId="8259"/>
    <cellStyle name="Comma 21 5 2 2 2 2" xfId="22366"/>
    <cellStyle name="Comma 21 5 2 2 2 3" xfId="16893"/>
    <cellStyle name="Comma 21 5 2 2 3" xfId="13133"/>
    <cellStyle name="Comma 21 5 2 2 4" xfId="18674"/>
    <cellStyle name="Comma 21 5 2 2 5" xfId="11506"/>
    <cellStyle name="Comma 21 5 2 3" xfId="3450"/>
    <cellStyle name="Comma 21 5 2 3 2" xfId="9057"/>
    <cellStyle name="Comma 21 5 2 3 2 2" xfId="23158"/>
    <cellStyle name="Comma 21 5 2 3 2 3" xfId="17691"/>
    <cellStyle name="Comma 21 5 2 3 3" xfId="13134"/>
    <cellStyle name="Comma 21 5 2 3 4" xfId="18675"/>
    <cellStyle name="Comma 21 5 2 3 5" xfId="12302"/>
    <cellStyle name="Comma 21 5 2 4" xfId="7467"/>
    <cellStyle name="Comma 21 5 2 4 2" xfId="21574"/>
    <cellStyle name="Comma 21 5 2 4 3" xfId="16101"/>
    <cellStyle name="Comma 21 5 2 5" xfId="13132"/>
    <cellStyle name="Comma 21 5 2 6" xfId="18673"/>
    <cellStyle name="Comma 21 5 2 7" xfId="10714"/>
    <cellStyle name="Comma 21 5 3" xfId="3451"/>
    <cellStyle name="Comma 21 5 3 2" xfId="3452"/>
    <cellStyle name="Comma 21 5 3 2 2" xfId="8519"/>
    <cellStyle name="Comma 21 5 3 2 2 2" xfId="22626"/>
    <cellStyle name="Comma 21 5 3 2 2 3" xfId="17153"/>
    <cellStyle name="Comma 21 5 3 2 3" xfId="13136"/>
    <cellStyle name="Comma 21 5 3 2 4" xfId="18677"/>
    <cellStyle name="Comma 21 5 3 2 5" xfId="11767"/>
    <cellStyle name="Comma 21 5 3 3" xfId="7727"/>
    <cellStyle name="Comma 21 5 3 3 2" xfId="21834"/>
    <cellStyle name="Comma 21 5 3 3 3" xfId="16361"/>
    <cellStyle name="Comma 21 5 3 4" xfId="13135"/>
    <cellStyle name="Comma 21 5 3 5" xfId="18676"/>
    <cellStyle name="Comma 21 5 3 6" xfId="10974"/>
    <cellStyle name="Comma 21 5 4" xfId="3453"/>
    <cellStyle name="Comma 21 5 4 2" xfId="6445"/>
    <cellStyle name="Comma 21 5 4 2 2" xfId="8881"/>
    <cellStyle name="Comma 21 5 4 2 2 2" xfId="22982"/>
    <cellStyle name="Comma 21 5 4 2 2 3" xfId="17515"/>
    <cellStyle name="Comma 21 5 4 2 3" xfId="15274"/>
    <cellStyle name="Comma 21 5 4 2 4" xfId="20768"/>
    <cellStyle name="Comma 21 5 4 2 5" xfId="12125"/>
    <cellStyle name="Comma 21 5 4 3" xfId="7291"/>
    <cellStyle name="Comma 21 5 4 3 2" xfId="21398"/>
    <cellStyle name="Comma 21 5 4 3 3" xfId="15925"/>
    <cellStyle name="Comma 21 5 4 4" xfId="13137"/>
    <cellStyle name="Comma 21 5 4 5" xfId="18678"/>
    <cellStyle name="Comma 21 5 4 6" xfId="10538"/>
    <cellStyle name="Comma 21 5 5" xfId="3454"/>
    <cellStyle name="Comma 21 5 5 2" xfId="8083"/>
    <cellStyle name="Comma 21 5 5 2 2" xfId="22190"/>
    <cellStyle name="Comma 21 5 5 2 3" xfId="16717"/>
    <cellStyle name="Comma 21 5 5 3" xfId="13138"/>
    <cellStyle name="Comma 21 5 5 4" xfId="18679"/>
    <cellStyle name="Comma 21 5 5 5" xfId="11330"/>
    <cellStyle name="Comma 21 5 6" xfId="6932"/>
    <cellStyle name="Comma 21 5 6 2" xfId="21042"/>
    <cellStyle name="Comma 21 5 6 3" xfId="15569"/>
    <cellStyle name="Comma 21 5 7" xfId="13131"/>
    <cellStyle name="Comma 21 5 8" xfId="18672"/>
    <cellStyle name="Comma 21 5 9" xfId="10182"/>
    <cellStyle name="Comma 21 6" xfId="3455"/>
    <cellStyle name="Comma 21 6 10" xfId="41374"/>
    <cellStyle name="Comma 21 6 2" xfId="3456"/>
    <cellStyle name="Comma 21 6 2 2" xfId="3457"/>
    <cellStyle name="Comma 21 6 2 2 2" xfId="8355"/>
    <cellStyle name="Comma 21 6 2 2 2 2" xfId="22462"/>
    <cellStyle name="Comma 21 6 2 2 2 3" xfId="16989"/>
    <cellStyle name="Comma 21 6 2 2 3" xfId="13141"/>
    <cellStyle name="Comma 21 6 2 2 4" xfId="18682"/>
    <cellStyle name="Comma 21 6 2 2 5" xfId="11603"/>
    <cellStyle name="Comma 21 6 2 3" xfId="3458"/>
    <cellStyle name="Comma 21 6 2 3 2" xfId="9153"/>
    <cellStyle name="Comma 21 6 2 3 2 2" xfId="23254"/>
    <cellStyle name="Comma 21 6 2 3 2 3" xfId="17787"/>
    <cellStyle name="Comma 21 6 2 3 3" xfId="13142"/>
    <cellStyle name="Comma 21 6 2 3 4" xfId="18683"/>
    <cellStyle name="Comma 21 6 2 3 5" xfId="12398"/>
    <cellStyle name="Comma 21 6 2 4" xfId="7563"/>
    <cellStyle name="Comma 21 6 2 4 2" xfId="21670"/>
    <cellStyle name="Comma 21 6 2 4 3" xfId="16197"/>
    <cellStyle name="Comma 21 6 2 5" xfId="13140"/>
    <cellStyle name="Comma 21 6 2 6" xfId="18681"/>
    <cellStyle name="Comma 21 6 2 7" xfId="10810"/>
    <cellStyle name="Comma 21 6 3" xfId="3459"/>
    <cellStyle name="Comma 21 6 3 2" xfId="3460"/>
    <cellStyle name="Comma 21 6 3 2 2" xfId="8615"/>
    <cellStyle name="Comma 21 6 3 2 2 2" xfId="22722"/>
    <cellStyle name="Comma 21 6 3 2 2 3" xfId="17249"/>
    <cellStyle name="Comma 21 6 3 2 3" xfId="13144"/>
    <cellStyle name="Comma 21 6 3 2 4" xfId="18685"/>
    <cellStyle name="Comma 21 6 3 2 5" xfId="11863"/>
    <cellStyle name="Comma 21 6 3 3" xfId="7823"/>
    <cellStyle name="Comma 21 6 3 3 2" xfId="21930"/>
    <cellStyle name="Comma 21 6 3 3 3" xfId="16457"/>
    <cellStyle name="Comma 21 6 3 4" xfId="13143"/>
    <cellStyle name="Comma 21 6 3 5" xfId="18684"/>
    <cellStyle name="Comma 21 6 3 6" xfId="11070"/>
    <cellStyle name="Comma 21 6 4" xfId="3461"/>
    <cellStyle name="Comma 21 6 4 2" xfId="6365"/>
    <cellStyle name="Comma 21 6 4 2 2" xfId="8801"/>
    <cellStyle name="Comma 21 6 4 2 2 2" xfId="22902"/>
    <cellStyle name="Comma 21 6 4 2 2 3" xfId="17435"/>
    <cellStyle name="Comma 21 6 4 2 3" xfId="15194"/>
    <cellStyle name="Comma 21 6 4 2 4" xfId="20688"/>
    <cellStyle name="Comma 21 6 4 2 5" xfId="12045"/>
    <cellStyle name="Comma 21 6 4 3" xfId="7211"/>
    <cellStyle name="Comma 21 6 4 3 2" xfId="21318"/>
    <cellStyle name="Comma 21 6 4 3 3" xfId="15845"/>
    <cellStyle name="Comma 21 6 4 4" xfId="13145"/>
    <cellStyle name="Comma 21 6 4 5" xfId="18686"/>
    <cellStyle name="Comma 21 6 4 6" xfId="10458"/>
    <cellStyle name="Comma 21 6 5" xfId="3462"/>
    <cellStyle name="Comma 21 6 5 2" xfId="8003"/>
    <cellStyle name="Comma 21 6 5 2 2" xfId="22110"/>
    <cellStyle name="Comma 21 6 5 2 3" xfId="16637"/>
    <cellStyle name="Comma 21 6 5 3" xfId="13146"/>
    <cellStyle name="Comma 21 6 5 4" xfId="18687"/>
    <cellStyle name="Comma 21 6 5 5" xfId="11250"/>
    <cellStyle name="Comma 21 6 6" xfId="7028"/>
    <cellStyle name="Comma 21 6 6 2" xfId="21138"/>
    <cellStyle name="Comma 21 6 6 3" xfId="15665"/>
    <cellStyle name="Comma 21 6 7" xfId="13139"/>
    <cellStyle name="Comma 21 6 8" xfId="18680"/>
    <cellStyle name="Comma 21 6 9" xfId="10278"/>
    <cellStyle name="Comma 21 7" xfId="3463"/>
    <cellStyle name="Comma 21 7 2" xfId="3464"/>
    <cellStyle name="Comma 21 7 2 2" xfId="8179"/>
    <cellStyle name="Comma 21 7 2 2 2" xfId="22286"/>
    <cellStyle name="Comma 21 7 2 2 3" xfId="16813"/>
    <cellStyle name="Comma 21 7 2 3" xfId="13148"/>
    <cellStyle name="Comma 21 7 2 4" xfId="18689"/>
    <cellStyle name="Comma 21 7 2 5" xfId="11426"/>
    <cellStyle name="Comma 21 7 3" xfId="3465"/>
    <cellStyle name="Comma 21 7 3 2" xfId="8977"/>
    <cellStyle name="Comma 21 7 3 2 2" xfId="23078"/>
    <cellStyle name="Comma 21 7 3 2 3" xfId="17611"/>
    <cellStyle name="Comma 21 7 3 3" xfId="13149"/>
    <cellStyle name="Comma 21 7 3 4" xfId="18690"/>
    <cellStyle name="Comma 21 7 3 5" xfId="12221"/>
    <cellStyle name="Comma 21 7 4" xfId="7387"/>
    <cellStyle name="Comma 21 7 4 2" xfId="21494"/>
    <cellStyle name="Comma 21 7 4 3" xfId="16021"/>
    <cellStyle name="Comma 21 7 5" xfId="13147"/>
    <cellStyle name="Comma 21 7 6" xfId="18688"/>
    <cellStyle name="Comma 21 7 7" xfId="10634"/>
    <cellStyle name="Comma 21 8" xfId="3466"/>
    <cellStyle name="Comma 21 8 2" xfId="3467"/>
    <cellStyle name="Comma 21 8 2 2" xfId="8439"/>
    <cellStyle name="Comma 21 8 2 2 2" xfId="22546"/>
    <cellStyle name="Comma 21 8 2 2 3" xfId="17073"/>
    <cellStyle name="Comma 21 8 2 3" xfId="13151"/>
    <cellStyle name="Comma 21 8 2 4" xfId="18692"/>
    <cellStyle name="Comma 21 8 2 5" xfId="11687"/>
    <cellStyle name="Comma 21 8 3" xfId="7647"/>
    <cellStyle name="Comma 21 8 3 2" xfId="21754"/>
    <cellStyle name="Comma 21 8 3 3" xfId="16281"/>
    <cellStyle name="Comma 21 8 4" xfId="13150"/>
    <cellStyle name="Comma 21 8 5" xfId="18691"/>
    <cellStyle name="Comma 21 8 6" xfId="10894"/>
    <cellStyle name="Comma 21 9" xfId="3468"/>
    <cellStyle name="Comma 21 9 2" xfId="6269"/>
    <cellStyle name="Comma 21 9 2 2" xfId="8705"/>
    <cellStyle name="Comma 21 9 2 2 2" xfId="22806"/>
    <cellStyle name="Comma 21 9 2 2 3" xfId="17339"/>
    <cellStyle name="Comma 21 9 2 3" xfId="15098"/>
    <cellStyle name="Comma 21 9 2 4" xfId="20592"/>
    <cellStyle name="Comma 21 9 2 5" xfId="11949"/>
    <cellStyle name="Comma 21 9 3" xfId="7115"/>
    <cellStyle name="Comma 21 9 3 2" xfId="21222"/>
    <cellStyle name="Comma 21 9 3 3" xfId="15749"/>
    <cellStyle name="Comma 21 9 4" xfId="13152"/>
    <cellStyle name="Comma 21 9 5" xfId="18693"/>
    <cellStyle name="Comma 21 9 6" xfId="10362"/>
    <cellStyle name="Comma 210" xfId="3469"/>
    <cellStyle name="Comma 210 2" xfId="9297"/>
    <cellStyle name="Comma 210 2 2" xfId="23377"/>
    <cellStyle name="Comma 210 2 3" xfId="17929"/>
    <cellStyle name="Comma 210 3" xfId="13153"/>
    <cellStyle name="Comma 210 4" xfId="18694"/>
    <cellStyle name="Comma 210 5" xfId="12523"/>
    <cellStyle name="Comma 211" xfId="3470"/>
    <cellStyle name="Comma 211 2" xfId="9298"/>
    <cellStyle name="Comma 211 2 2" xfId="23378"/>
    <cellStyle name="Comma 211 2 3" xfId="17930"/>
    <cellStyle name="Comma 211 3" xfId="13154"/>
    <cellStyle name="Comma 211 4" xfId="18695"/>
    <cellStyle name="Comma 211 5" xfId="12524"/>
    <cellStyle name="Comma 212" xfId="3192"/>
    <cellStyle name="Comma 212 2" xfId="9299"/>
    <cellStyle name="Comma 212 2 2" xfId="23379"/>
    <cellStyle name="Comma 212 2 3" xfId="17931"/>
    <cellStyle name="Comma 212 3" xfId="12984"/>
    <cellStyle name="Comma 212 4" xfId="18526"/>
    <cellStyle name="Comma 212 5" xfId="12525"/>
    <cellStyle name="Comma 213" xfId="3471"/>
    <cellStyle name="Comma 213 2" xfId="9300"/>
    <cellStyle name="Comma 213 2 2" xfId="23380"/>
    <cellStyle name="Comma 213 2 3" xfId="17932"/>
    <cellStyle name="Comma 213 3" xfId="13155"/>
    <cellStyle name="Comma 213 4" xfId="18696"/>
    <cellStyle name="Comma 213 5" xfId="12526"/>
    <cellStyle name="Comma 213 6" xfId="43049"/>
    <cellStyle name="Comma 214" xfId="3472"/>
    <cellStyle name="Comma 214 2" xfId="9301"/>
    <cellStyle name="Comma 214 2 2" xfId="23381"/>
    <cellStyle name="Comma 214 2 3" xfId="17933"/>
    <cellStyle name="Comma 214 3" xfId="13156"/>
    <cellStyle name="Comma 214 4" xfId="18697"/>
    <cellStyle name="Comma 214 5" xfId="12527"/>
    <cellStyle name="Comma 214 6" xfId="43047"/>
    <cellStyle name="Comma 215" xfId="3473"/>
    <cellStyle name="Comma 215 2" xfId="9302"/>
    <cellStyle name="Comma 215 2 2" xfId="23382"/>
    <cellStyle name="Comma 215 2 3" xfId="17934"/>
    <cellStyle name="Comma 215 3" xfId="13157"/>
    <cellStyle name="Comma 215 4" xfId="18698"/>
    <cellStyle name="Comma 215 5" xfId="12528"/>
    <cellStyle name="Comma 216" xfId="3474"/>
    <cellStyle name="Comma 216 2" xfId="9303"/>
    <cellStyle name="Comma 216 2 2" xfId="23383"/>
    <cellStyle name="Comma 216 2 3" xfId="17935"/>
    <cellStyle name="Comma 216 3" xfId="13158"/>
    <cellStyle name="Comma 216 4" xfId="18699"/>
    <cellStyle name="Comma 216 5" xfId="12529"/>
    <cellStyle name="Comma 217" xfId="3475"/>
    <cellStyle name="Comma 217 2" xfId="9304"/>
    <cellStyle name="Comma 217 2 2" xfId="23384"/>
    <cellStyle name="Comma 217 2 3" xfId="17936"/>
    <cellStyle name="Comma 217 3" xfId="13159"/>
    <cellStyle name="Comma 217 4" xfId="18700"/>
    <cellStyle name="Comma 217 5" xfId="12530"/>
    <cellStyle name="Comma 218" xfId="3476"/>
    <cellStyle name="Comma 218 2" xfId="9305"/>
    <cellStyle name="Comma 218 2 2" xfId="23385"/>
    <cellStyle name="Comma 218 2 3" xfId="17937"/>
    <cellStyle name="Comma 218 3" xfId="13160"/>
    <cellStyle name="Comma 218 4" xfId="18701"/>
    <cellStyle name="Comma 218 5" xfId="12531"/>
    <cellStyle name="Comma 219" xfId="3477"/>
    <cellStyle name="Comma 219 2" xfId="9306"/>
    <cellStyle name="Comma 219 2 2" xfId="23386"/>
    <cellStyle name="Comma 219 2 3" xfId="17938"/>
    <cellStyle name="Comma 219 3" xfId="13161"/>
    <cellStyle name="Comma 219 4" xfId="18702"/>
    <cellStyle name="Comma 219 5" xfId="12532"/>
    <cellStyle name="Comma 22" xfId="591"/>
    <cellStyle name="Comma 22 10" xfId="3478"/>
    <cellStyle name="Comma 22 10 2" xfId="7917"/>
    <cellStyle name="Comma 22 10 2 2" xfId="22024"/>
    <cellStyle name="Comma 22 10 2 3" xfId="16551"/>
    <cellStyle name="Comma 22 10 3" xfId="13162"/>
    <cellStyle name="Comma 22 10 4" xfId="18703"/>
    <cellStyle name="Comma 22 10 5" xfId="11164"/>
    <cellStyle name="Comma 22 11" xfId="6842"/>
    <cellStyle name="Comma 22 11 2" xfId="20972"/>
    <cellStyle name="Comma 22 11 3" xfId="15498"/>
    <cellStyle name="Comma 22 12" xfId="10106"/>
    <cellStyle name="Comma 22 2" xfId="1331"/>
    <cellStyle name="Comma 22 3" xfId="1585"/>
    <cellStyle name="Comma 22 3 10" xfId="9929"/>
    <cellStyle name="Comma 22 3 10 2" xfId="18369"/>
    <cellStyle name="Comma 22 3 11" xfId="23733"/>
    <cellStyle name="Comma 22 3 12" xfId="10142"/>
    <cellStyle name="Comma 22 3 13" xfId="2132"/>
    <cellStyle name="Comma 22 3 2" xfId="3015"/>
    <cellStyle name="Comma 22 3 2 10" xfId="10320"/>
    <cellStyle name="Comma 22 3 2 2" xfId="3479"/>
    <cellStyle name="Comma 22 3 2 2 2" xfId="3480"/>
    <cellStyle name="Comma 22 3 2 2 2 2" xfId="8657"/>
    <cellStyle name="Comma 22 3 2 2 2 2 2" xfId="22764"/>
    <cellStyle name="Comma 22 3 2 2 2 2 3" xfId="17291"/>
    <cellStyle name="Comma 22 3 2 2 2 3" xfId="13164"/>
    <cellStyle name="Comma 22 3 2 2 2 4" xfId="18705"/>
    <cellStyle name="Comma 22 3 2 2 2 5" xfId="11905"/>
    <cellStyle name="Comma 22 3 2 2 3" xfId="7865"/>
    <cellStyle name="Comma 22 3 2 2 3 2" xfId="21972"/>
    <cellStyle name="Comma 22 3 2 2 3 3" xfId="16499"/>
    <cellStyle name="Comma 22 3 2 2 4" xfId="13163"/>
    <cellStyle name="Comma 22 3 2 2 5" xfId="18704"/>
    <cellStyle name="Comma 22 3 2 2 6" xfId="24224"/>
    <cellStyle name="Comma 22 3 2 2 7" xfId="11112"/>
    <cellStyle name="Comma 22 3 2 3" xfId="3481"/>
    <cellStyle name="Comma 22 3 2 3 2" xfId="6596"/>
    <cellStyle name="Comma 22 3 2 3 2 2" xfId="9195"/>
    <cellStyle name="Comma 22 3 2 3 2 2 2" xfId="23296"/>
    <cellStyle name="Comma 22 3 2 3 2 2 3" xfId="17829"/>
    <cellStyle name="Comma 22 3 2 3 2 3" xfId="15381"/>
    <cellStyle name="Comma 22 3 2 3 2 4" xfId="20874"/>
    <cellStyle name="Comma 22 3 2 3 2 5" xfId="12440"/>
    <cellStyle name="Comma 22 3 2 3 3" xfId="7605"/>
    <cellStyle name="Comma 22 3 2 3 3 2" xfId="21712"/>
    <cellStyle name="Comma 22 3 2 3 3 3" xfId="16239"/>
    <cellStyle name="Comma 22 3 2 3 4" xfId="13165"/>
    <cellStyle name="Comma 22 3 2 3 5" xfId="18706"/>
    <cellStyle name="Comma 22 3 2 3 6" xfId="10852"/>
    <cellStyle name="Comma 22 3 2 4" xfId="3482"/>
    <cellStyle name="Comma 22 3 2 4 2" xfId="8397"/>
    <cellStyle name="Comma 22 3 2 4 2 2" xfId="22504"/>
    <cellStyle name="Comma 22 3 2 4 2 3" xfId="17031"/>
    <cellStyle name="Comma 22 3 2 4 3" xfId="13166"/>
    <cellStyle name="Comma 22 3 2 4 4" xfId="18707"/>
    <cellStyle name="Comma 22 3 2 4 5" xfId="11645"/>
    <cellStyle name="Comma 22 3 2 5" xfId="3483"/>
    <cellStyle name="Comma 22 3 2 5 2" xfId="9488"/>
    <cellStyle name="Comma 22 3 2 5 2 2" xfId="23535"/>
    <cellStyle name="Comma 22 3 2 5 2 3" xfId="18089"/>
    <cellStyle name="Comma 22 3 2 5 3" xfId="13167"/>
    <cellStyle name="Comma 22 3 2 5 4" xfId="18708"/>
    <cellStyle name="Comma 22 3 2 5 5" xfId="12689"/>
    <cellStyle name="Comma 22 3 2 6" xfId="7071"/>
    <cellStyle name="Comma 22 3 2 6 2" xfId="21180"/>
    <cellStyle name="Comma 22 3 2 6 3" xfId="15707"/>
    <cellStyle name="Comma 22 3 2 7" xfId="9790"/>
    <cellStyle name="Comma 22 3 2 7 2" xfId="12891"/>
    <cellStyle name="Comma 22 3 2 8" xfId="10003"/>
    <cellStyle name="Comma 22 3 2 8 2" xfId="18442"/>
    <cellStyle name="Comma 22 3 2 9" xfId="24025"/>
    <cellStyle name="Comma 22 3 3" xfId="3484"/>
    <cellStyle name="Comma 22 3 3 2" xfId="3485"/>
    <cellStyle name="Comma 22 3 3 2 2" xfId="8221"/>
    <cellStyle name="Comma 22 3 3 2 2 2" xfId="22328"/>
    <cellStyle name="Comma 22 3 3 2 2 3" xfId="16855"/>
    <cellStyle name="Comma 22 3 3 2 3" xfId="13169"/>
    <cellStyle name="Comma 22 3 3 2 4" xfId="18710"/>
    <cellStyle name="Comma 22 3 3 2 5" xfId="11468"/>
    <cellStyle name="Comma 22 3 3 3" xfId="3486"/>
    <cellStyle name="Comma 22 3 3 3 2" xfId="9019"/>
    <cellStyle name="Comma 22 3 3 3 2 2" xfId="23120"/>
    <cellStyle name="Comma 22 3 3 3 2 3" xfId="17653"/>
    <cellStyle name="Comma 22 3 3 3 3" xfId="13170"/>
    <cellStyle name="Comma 22 3 3 3 4" xfId="18711"/>
    <cellStyle name="Comma 22 3 3 3 5" xfId="12263"/>
    <cellStyle name="Comma 22 3 3 4" xfId="7429"/>
    <cellStyle name="Comma 22 3 3 4 2" xfId="21536"/>
    <cellStyle name="Comma 22 3 3 4 3" xfId="16063"/>
    <cellStyle name="Comma 22 3 3 5" xfId="13168"/>
    <cellStyle name="Comma 22 3 3 6" xfId="18709"/>
    <cellStyle name="Comma 22 3 3 7" xfId="24151"/>
    <cellStyle name="Comma 22 3 3 8" xfId="10676"/>
    <cellStyle name="Comma 22 3 4" xfId="3487"/>
    <cellStyle name="Comma 22 3 4 2" xfId="3488"/>
    <cellStyle name="Comma 22 3 4 2 2" xfId="8481"/>
    <cellStyle name="Comma 22 3 4 2 2 2" xfId="22588"/>
    <cellStyle name="Comma 22 3 4 2 2 3" xfId="17115"/>
    <cellStyle name="Comma 22 3 4 2 3" xfId="13172"/>
    <cellStyle name="Comma 22 3 4 2 4" xfId="18713"/>
    <cellStyle name="Comma 22 3 4 2 5" xfId="11729"/>
    <cellStyle name="Comma 22 3 4 3" xfId="7689"/>
    <cellStyle name="Comma 22 3 4 3 2" xfId="21796"/>
    <cellStyle name="Comma 22 3 4 3 3" xfId="16323"/>
    <cellStyle name="Comma 22 3 4 4" xfId="13171"/>
    <cellStyle name="Comma 22 3 4 5" xfId="18712"/>
    <cellStyle name="Comma 22 3 4 6" xfId="10936"/>
    <cellStyle name="Comma 22 3 5" xfId="3489"/>
    <cellStyle name="Comma 22 3 5 2" xfId="6407"/>
    <cellStyle name="Comma 22 3 5 2 2" xfId="8843"/>
    <cellStyle name="Comma 22 3 5 2 2 2" xfId="22944"/>
    <cellStyle name="Comma 22 3 5 2 2 3" xfId="17477"/>
    <cellStyle name="Comma 22 3 5 2 3" xfId="15236"/>
    <cellStyle name="Comma 22 3 5 2 4" xfId="20730"/>
    <cellStyle name="Comma 22 3 5 2 5" xfId="12087"/>
    <cellStyle name="Comma 22 3 5 3" xfId="7253"/>
    <cellStyle name="Comma 22 3 5 3 2" xfId="21360"/>
    <cellStyle name="Comma 22 3 5 3 3" xfId="15887"/>
    <cellStyle name="Comma 22 3 5 4" xfId="13173"/>
    <cellStyle name="Comma 22 3 5 5" xfId="18714"/>
    <cellStyle name="Comma 22 3 5 6" xfId="10500"/>
    <cellStyle name="Comma 22 3 6" xfId="3490"/>
    <cellStyle name="Comma 22 3 6 2" xfId="8045"/>
    <cellStyle name="Comma 22 3 6 2 2" xfId="22152"/>
    <cellStyle name="Comma 22 3 6 2 3" xfId="16679"/>
    <cellStyle name="Comma 22 3 6 3" xfId="13174"/>
    <cellStyle name="Comma 22 3 6 4" xfId="18715"/>
    <cellStyle name="Comma 22 3 6 5" xfId="11292"/>
    <cellStyle name="Comma 22 3 7" xfId="3491"/>
    <cellStyle name="Comma 22 3 7 2" xfId="9394"/>
    <cellStyle name="Comma 22 3 7 2 2" xfId="23462"/>
    <cellStyle name="Comma 22 3 7 2 3" xfId="18014"/>
    <cellStyle name="Comma 22 3 7 3" xfId="13175"/>
    <cellStyle name="Comma 22 3 7 4" xfId="18716"/>
    <cellStyle name="Comma 22 3 7 5" xfId="12611"/>
    <cellStyle name="Comma 22 3 8" xfId="6891"/>
    <cellStyle name="Comma 22 3 8 2" xfId="21004"/>
    <cellStyle name="Comma 22 3 8 3" xfId="15531"/>
    <cellStyle name="Comma 22 3 9" xfId="9700"/>
    <cellStyle name="Comma 22 3 9 2" xfId="12818"/>
    <cellStyle name="Comma 22 4" xfId="767"/>
    <cellStyle name="Comma 22 4 10" xfId="9963"/>
    <cellStyle name="Comma 22 4 10 2" xfId="18402"/>
    <cellStyle name="Comma 22 4 11" xfId="23980"/>
    <cellStyle name="Comma 22 4 12" xfId="10164"/>
    <cellStyle name="Comma 22 4 13" xfId="2596"/>
    <cellStyle name="Comma 22 4 2" xfId="3492"/>
    <cellStyle name="Comma 22 4 2 2" xfId="3493"/>
    <cellStyle name="Comma 22 4 2 2 2" xfId="3494"/>
    <cellStyle name="Comma 22 4 2 2 2 2" xfId="8677"/>
    <cellStyle name="Comma 22 4 2 2 2 2 2" xfId="22784"/>
    <cellStyle name="Comma 22 4 2 2 2 2 3" xfId="17311"/>
    <cellStyle name="Comma 22 4 2 2 2 3" xfId="13178"/>
    <cellStyle name="Comma 22 4 2 2 2 4" xfId="18719"/>
    <cellStyle name="Comma 22 4 2 2 2 5" xfId="11925"/>
    <cellStyle name="Comma 22 4 2 2 3" xfId="7885"/>
    <cellStyle name="Comma 22 4 2 2 3 2" xfId="21992"/>
    <cellStyle name="Comma 22 4 2 2 3 3" xfId="16519"/>
    <cellStyle name="Comma 22 4 2 2 4" xfId="13177"/>
    <cellStyle name="Comma 22 4 2 2 5" xfId="18718"/>
    <cellStyle name="Comma 22 4 2 2 6" xfId="11132"/>
    <cellStyle name="Comma 22 4 2 3" xfId="3495"/>
    <cellStyle name="Comma 22 4 2 3 2" xfId="6616"/>
    <cellStyle name="Comma 22 4 2 3 2 2" xfId="9215"/>
    <cellStyle name="Comma 22 4 2 3 2 2 2" xfId="23316"/>
    <cellStyle name="Comma 22 4 2 3 2 2 3" xfId="17849"/>
    <cellStyle name="Comma 22 4 2 3 2 3" xfId="15401"/>
    <cellStyle name="Comma 22 4 2 3 2 4" xfId="20894"/>
    <cellStyle name="Comma 22 4 2 3 2 5" xfId="12460"/>
    <cellStyle name="Comma 22 4 2 3 3" xfId="7625"/>
    <cellStyle name="Comma 22 4 2 3 3 2" xfId="21732"/>
    <cellStyle name="Comma 22 4 2 3 3 3" xfId="16259"/>
    <cellStyle name="Comma 22 4 2 3 4" xfId="13179"/>
    <cellStyle name="Comma 22 4 2 3 5" xfId="18720"/>
    <cellStyle name="Comma 22 4 2 3 6" xfId="10872"/>
    <cellStyle name="Comma 22 4 2 4" xfId="3496"/>
    <cellStyle name="Comma 22 4 2 4 2" xfId="8417"/>
    <cellStyle name="Comma 22 4 2 4 2 2" xfId="22524"/>
    <cellStyle name="Comma 22 4 2 4 2 3" xfId="17051"/>
    <cellStyle name="Comma 22 4 2 4 3" xfId="13180"/>
    <cellStyle name="Comma 22 4 2 4 4" xfId="18721"/>
    <cellStyle name="Comma 22 4 2 4 5" xfId="11665"/>
    <cellStyle name="Comma 22 4 2 5" xfId="7092"/>
    <cellStyle name="Comma 22 4 2 5 2" xfId="21200"/>
    <cellStyle name="Comma 22 4 2 5 3" xfId="15727"/>
    <cellStyle name="Comma 22 4 2 6" xfId="13176"/>
    <cellStyle name="Comma 22 4 2 7" xfId="18717"/>
    <cellStyle name="Comma 22 4 2 8" xfId="24184"/>
    <cellStyle name="Comma 22 4 2 9" xfId="10340"/>
    <cellStyle name="Comma 22 4 3" xfId="3497"/>
    <cellStyle name="Comma 22 4 3 2" xfId="3498"/>
    <cellStyle name="Comma 22 4 3 2 2" xfId="8241"/>
    <cellStyle name="Comma 22 4 3 2 2 2" xfId="22348"/>
    <cellStyle name="Comma 22 4 3 2 2 3" xfId="16875"/>
    <cellStyle name="Comma 22 4 3 2 3" xfId="13182"/>
    <cellStyle name="Comma 22 4 3 2 4" xfId="18723"/>
    <cellStyle name="Comma 22 4 3 2 5" xfId="11488"/>
    <cellStyle name="Comma 22 4 3 3" xfId="3499"/>
    <cellStyle name="Comma 22 4 3 3 2" xfId="9039"/>
    <cellStyle name="Comma 22 4 3 3 2 2" xfId="23140"/>
    <cellStyle name="Comma 22 4 3 3 2 3" xfId="17673"/>
    <cellStyle name="Comma 22 4 3 3 3" xfId="13183"/>
    <cellStyle name="Comma 22 4 3 3 4" xfId="18724"/>
    <cellStyle name="Comma 22 4 3 3 5" xfId="12284"/>
    <cellStyle name="Comma 22 4 3 4" xfId="7449"/>
    <cellStyle name="Comma 22 4 3 4 2" xfId="21556"/>
    <cellStyle name="Comma 22 4 3 4 3" xfId="16083"/>
    <cellStyle name="Comma 22 4 3 5" xfId="13181"/>
    <cellStyle name="Comma 22 4 3 6" xfId="18722"/>
    <cellStyle name="Comma 22 4 3 7" xfId="10696"/>
    <cellStyle name="Comma 22 4 4" xfId="3500"/>
    <cellStyle name="Comma 22 4 4 2" xfId="3501"/>
    <cellStyle name="Comma 22 4 4 2 2" xfId="8501"/>
    <cellStyle name="Comma 22 4 4 2 2 2" xfId="22608"/>
    <cellStyle name="Comma 22 4 4 2 2 3" xfId="17135"/>
    <cellStyle name="Comma 22 4 4 2 3" xfId="13185"/>
    <cellStyle name="Comma 22 4 4 2 4" xfId="18726"/>
    <cellStyle name="Comma 22 4 4 2 5" xfId="11749"/>
    <cellStyle name="Comma 22 4 4 3" xfId="7709"/>
    <cellStyle name="Comma 22 4 4 3 2" xfId="21816"/>
    <cellStyle name="Comma 22 4 4 3 3" xfId="16343"/>
    <cellStyle name="Comma 22 4 4 4" xfId="13184"/>
    <cellStyle name="Comma 22 4 4 5" xfId="18725"/>
    <cellStyle name="Comma 22 4 4 6" xfId="10956"/>
    <cellStyle name="Comma 22 4 5" xfId="3502"/>
    <cellStyle name="Comma 22 4 5 2" xfId="6427"/>
    <cellStyle name="Comma 22 4 5 2 2" xfId="8863"/>
    <cellStyle name="Comma 22 4 5 2 2 2" xfId="22964"/>
    <cellStyle name="Comma 22 4 5 2 2 3" xfId="17497"/>
    <cellStyle name="Comma 22 4 5 2 3" xfId="15256"/>
    <cellStyle name="Comma 22 4 5 2 4" xfId="20750"/>
    <cellStyle name="Comma 22 4 5 2 5" xfId="12107"/>
    <cellStyle name="Comma 22 4 5 3" xfId="7273"/>
    <cellStyle name="Comma 22 4 5 3 2" xfId="21380"/>
    <cellStyle name="Comma 22 4 5 3 3" xfId="15907"/>
    <cellStyle name="Comma 22 4 5 4" xfId="13186"/>
    <cellStyle name="Comma 22 4 5 5" xfId="18727"/>
    <cellStyle name="Comma 22 4 5 6" xfId="10520"/>
    <cellStyle name="Comma 22 4 6" xfId="3503"/>
    <cellStyle name="Comma 22 4 6 2" xfId="8065"/>
    <cellStyle name="Comma 22 4 6 2 2" xfId="22172"/>
    <cellStyle name="Comma 22 4 6 2 3" xfId="16699"/>
    <cellStyle name="Comma 22 4 6 3" xfId="13187"/>
    <cellStyle name="Comma 22 4 6 4" xfId="18728"/>
    <cellStyle name="Comma 22 4 6 5" xfId="11312"/>
    <cellStyle name="Comma 22 4 7" xfId="3504"/>
    <cellStyle name="Comma 22 4 7 2" xfId="9428"/>
    <cellStyle name="Comma 22 4 7 2 2" xfId="23495"/>
    <cellStyle name="Comma 22 4 7 2 3" xfId="18047"/>
    <cellStyle name="Comma 22 4 7 3" xfId="13188"/>
    <cellStyle name="Comma 22 4 7 4" xfId="18729"/>
    <cellStyle name="Comma 22 4 7 5" xfId="12645"/>
    <cellStyle name="Comma 22 4 8" xfId="6913"/>
    <cellStyle name="Comma 22 4 8 2" xfId="21024"/>
    <cellStyle name="Comma 22 4 8 3" xfId="15551"/>
    <cellStyle name="Comma 22 4 9" xfId="9743"/>
    <cellStyle name="Comma 22 4 9 2" xfId="12851"/>
    <cellStyle name="Comma 22 5" xfId="3505"/>
    <cellStyle name="Comma 22 5 10" xfId="41375"/>
    <cellStyle name="Comma 22 5 2" xfId="3506"/>
    <cellStyle name="Comma 22 5 2 2" xfId="3507"/>
    <cellStyle name="Comma 22 5 2 2 2" xfId="8269"/>
    <cellStyle name="Comma 22 5 2 2 2 2" xfId="22376"/>
    <cellStyle name="Comma 22 5 2 2 2 3" xfId="16903"/>
    <cellStyle name="Comma 22 5 2 2 3" xfId="13191"/>
    <cellStyle name="Comma 22 5 2 2 4" xfId="18732"/>
    <cellStyle name="Comma 22 5 2 2 5" xfId="11516"/>
    <cellStyle name="Comma 22 5 2 3" xfId="3508"/>
    <cellStyle name="Comma 22 5 2 3 2" xfId="9067"/>
    <cellStyle name="Comma 22 5 2 3 2 2" xfId="23168"/>
    <cellStyle name="Comma 22 5 2 3 2 3" xfId="17701"/>
    <cellStyle name="Comma 22 5 2 3 3" xfId="13192"/>
    <cellStyle name="Comma 22 5 2 3 4" xfId="18733"/>
    <cellStyle name="Comma 22 5 2 3 5" xfId="12312"/>
    <cellStyle name="Comma 22 5 2 4" xfId="7477"/>
    <cellStyle name="Comma 22 5 2 4 2" xfId="21584"/>
    <cellStyle name="Comma 22 5 2 4 3" xfId="16111"/>
    <cellStyle name="Comma 22 5 2 5" xfId="13190"/>
    <cellStyle name="Comma 22 5 2 6" xfId="18731"/>
    <cellStyle name="Comma 22 5 2 7" xfId="10724"/>
    <cellStyle name="Comma 22 5 3" xfId="3509"/>
    <cellStyle name="Comma 22 5 3 2" xfId="3510"/>
    <cellStyle name="Comma 22 5 3 2 2" xfId="8529"/>
    <cellStyle name="Comma 22 5 3 2 2 2" xfId="22636"/>
    <cellStyle name="Comma 22 5 3 2 2 3" xfId="17163"/>
    <cellStyle name="Comma 22 5 3 2 3" xfId="13194"/>
    <cellStyle name="Comma 22 5 3 2 4" xfId="18735"/>
    <cellStyle name="Comma 22 5 3 2 5" xfId="11777"/>
    <cellStyle name="Comma 22 5 3 3" xfId="7737"/>
    <cellStyle name="Comma 22 5 3 3 2" xfId="21844"/>
    <cellStyle name="Comma 22 5 3 3 3" xfId="16371"/>
    <cellStyle name="Comma 22 5 3 4" xfId="13193"/>
    <cellStyle name="Comma 22 5 3 5" xfId="18734"/>
    <cellStyle name="Comma 22 5 3 6" xfId="10984"/>
    <cellStyle name="Comma 22 5 4" xfId="3511"/>
    <cellStyle name="Comma 22 5 4 2" xfId="6455"/>
    <cellStyle name="Comma 22 5 4 2 2" xfId="8891"/>
    <cellStyle name="Comma 22 5 4 2 2 2" xfId="22992"/>
    <cellStyle name="Comma 22 5 4 2 2 3" xfId="17525"/>
    <cellStyle name="Comma 22 5 4 2 3" xfId="15284"/>
    <cellStyle name="Comma 22 5 4 2 4" xfId="20778"/>
    <cellStyle name="Comma 22 5 4 2 5" xfId="12135"/>
    <cellStyle name="Comma 22 5 4 3" xfId="7301"/>
    <cellStyle name="Comma 22 5 4 3 2" xfId="21408"/>
    <cellStyle name="Comma 22 5 4 3 3" xfId="15935"/>
    <cellStyle name="Comma 22 5 4 4" xfId="13195"/>
    <cellStyle name="Comma 22 5 4 5" xfId="18736"/>
    <cellStyle name="Comma 22 5 4 6" xfId="10548"/>
    <cellStyle name="Comma 22 5 5" xfId="3512"/>
    <cellStyle name="Comma 22 5 5 2" xfId="8093"/>
    <cellStyle name="Comma 22 5 5 2 2" xfId="22200"/>
    <cellStyle name="Comma 22 5 5 2 3" xfId="16727"/>
    <cellStyle name="Comma 22 5 5 3" xfId="13196"/>
    <cellStyle name="Comma 22 5 5 4" xfId="18737"/>
    <cellStyle name="Comma 22 5 5 5" xfId="11340"/>
    <cellStyle name="Comma 22 5 6" xfId="6942"/>
    <cellStyle name="Comma 22 5 6 2" xfId="21052"/>
    <cellStyle name="Comma 22 5 6 3" xfId="15579"/>
    <cellStyle name="Comma 22 5 7" xfId="13189"/>
    <cellStyle name="Comma 22 5 8" xfId="18730"/>
    <cellStyle name="Comma 22 5 9" xfId="10192"/>
    <cellStyle name="Comma 22 6" xfId="3513"/>
    <cellStyle name="Comma 22 6 10" xfId="41376"/>
    <cellStyle name="Comma 22 6 2" xfId="3514"/>
    <cellStyle name="Comma 22 6 2 2" xfId="3515"/>
    <cellStyle name="Comma 22 6 2 2 2" xfId="8365"/>
    <cellStyle name="Comma 22 6 2 2 2 2" xfId="22472"/>
    <cellStyle name="Comma 22 6 2 2 2 3" xfId="16999"/>
    <cellStyle name="Comma 22 6 2 2 3" xfId="13199"/>
    <cellStyle name="Comma 22 6 2 2 4" xfId="18740"/>
    <cellStyle name="Comma 22 6 2 2 5" xfId="11613"/>
    <cellStyle name="Comma 22 6 2 3" xfId="3516"/>
    <cellStyle name="Comma 22 6 2 3 2" xfId="9163"/>
    <cellStyle name="Comma 22 6 2 3 2 2" xfId="23264"/>
    <cellStyle name="Comma 22 6 2 3 2 3" xfId="17797"/>
    <cellStyle name="Comma 22 6 2 3 3" xfId="13200"/>
    <cellStyle name="Comma 22 6 2 3 4" xfId="18741"/>
    <cellStyle name="Comma 22 6 2 3 5" xfId="12408"/>
    <cellStyle name="Comma 22 6 2 4" xfId="7573"/>
    <cellStyle name="Comma 22 6 2 4 2" xfId="21680"/>
    <cellStyle name="Comma 22 6 2 4 3" xfId="16207"/>
    <cellStyle name="Comma 22 6 2 5" xfId="13198"/>
    <cellStyle name="Comma 22 6 2 6" xfId="18739"/>
    <cellStyle name="Comma 22 6 2 7" xfId="10820"/>
    <cellStyle name="Comma 22 6 3" xfId="3517"/>
    <cellStyle name="Comma 22 6 3 2" xfId="3518"/>
    <cellStyle name="Comma 22 6 3 2 2" xfId="8625"/>
    <cellStyle name="Comma 22 6 3 2 2 2" xfId="22732"/>
    <cellStyle name="Comma 22 6 3 2 2 3" xfId="17259"/>
    <cellStyle name="Comma 22 6 3 2 3" xfId="13202"/>
    <cellStyle name="Comma 22 6 3 2 4" xfId="18743"/>
    <cellStyle name="Comma 22 6 3 2 5" xfId="11873"/>
    <cellStyle name="Comma 22 6 3 3" xfId="7833"/>
    <cellStyle name="Comma 22 6 3 3 2" xfId="21940"/>
    <cellStyle name="Comma 22 6 3 3 3" xfId="16467"/>
    <cellStyle name="Comma 22 6 3 4" xfId="13201"/>
    <cellStyle name="Comma 22 6 3 5" xfId="18742"/>
    <cellStyle name="Comma 22 6 3 6" xfId="11080"/>
    <cellStyle name="Comma 22 6 4" xfId="3519"/>
    <cellStyle name="Comma 22 6 4 2" xfId="6375"/>
    <cellStyle name="Comma 22 6 4 2 2" xfId="8811"/>
    <cellStyle name="Comma 22 6 4 2 2 2" xfId="22912"/>
    <cellStyle name="Comma 22 6 4 2 2 3" xfId="17445"/>
    <cellStyle name="Comma 22 6 4 2 3" xfId="15204"/>
    <cellStyle name="Comma 22 6 4 2 4" xfId="20698"/>
    <cellStyle name="Comma 22 6 4 2 5" xfId="12055"/>
    <cellStyle name="Comma 22 6 4 3" xfId="7221"/>
    <cellStyle name="Comma 22 6 4 3 2" xfId="21328"/>
    <cellStyle name="Comma 22 6 4 3 3" xfId="15855"/>
    <cellStyle name="Comma 22 6 4 4" xfId="13203"/>
    <cellStyle name="Comma 22 6 4 5" xfId="18744"/>
    <cellStyle name="Comma 22 6 4 6" xfId="10468"/>
    <cellStyle name="Comma 22 6 5" xfId="3520"/>
    <cellStyle name="Comma 22 6 5 2" xfId="8013"/>
    <cellStyle name="Comma 22 6 5 2 2" xfId="22120"/>
    <cellStyle name="Comma 22 6 5 2 3" xfId="16647"/>
    <cellStyle name="Comma 22 6 5 3" xfId="13204"/>
    <cellStyle name="Comma 22 6 5 4" xfId="18745"/>
    <cellStyle name="Comma 22 6 5 5" xfId="11260"/>
    <cellStyle name="Comma 22 6 6" xfId="7038"/>
    <cellStyle name="Comma 22 6 6 2" xfId="21148"/>
    <cellStyle name="Comma 22 6 6 3" xfId="15675"/>
    <cellStyle name="Comma 22 6 7" xfId="13197"/>
    <cellStyle name="Comma 22 6 8" xfId="18738"/>
    <cellStyle name="Comma 22 6 9" xfId="10288"/>
    <cellStyle name="Comma 22 7" xfId="3521"/>
    <cellStyle name="Comma 22 7 2" xfId="3522"/>
    <cellStyle name="Comma 22 7 2 2" xfId="8189"/>
    <cellStyle name="Comma 22 7 2 2 2" xfId="22296"/>
    <cellStyle name="Comma 22 7 2 2 3" xfId="16823"/>
    <cellStyle name="Comma 22 7 2 3" xfId="13206"/>
    <cellStyle name="Comma 22 7 2 4" xfId="18747"/>
    <cellStyle name="Comma 22 7 2 5" xfId="11436"/>
    <cellStyle name="Comma 22 7 3" xfId="3523"/>
    <cellStyle name="Comma 22 7 3 2" xfId="8987"/>
    <cellStyle name="Comma 22 7 3 2 2" xfId="23088"/>
    <cellStyle name="Comma 22 7 3 2 3" xfId="17621"/>
    <cellStyle name="Comma 22 7 3 3" xfId="13207"/>
    <cellStyle name="Comma 22 7 3 4" xfId="18748"/>
    <cellStyle name="Comma 22 7 3 5" xfId="12231"/>
    <cellStyle name="Comma 22 7 4" xfId="7397"/>
    <cellStyle name="Comma 22 7 4 2" xfId="21504"/>
    <cellStyle name="Comma 22 7 4 3" xfId="16031"/>
    <cellStyle name="Comma 22 7 5" xfId="13205"/>
    <cellStyle name="Comma 22 7 6" xfId="18746"/>
    <cellStyle name="Comma 22 7 7" xfId="10644"/>
    <cellStyle name="Comma 22 8" xfId="3524"/>
    <cellStyle name="Comma 22 8 2" xfId="3525"/>
    <cellStyle name="Comma 22 8 2 2" xfId="8449"/>
    <cellStyle name="Comma 22 8 2 2 2" xfId="22556"/>
    <cellStyle name="Comma 22 8 2 2 3" xfId="17083"/>
    <cellStyle name="Comma 22 8 2 3" xfId="13209"/>
    <cellStyle name="Comma 22 8 2 4" xfId="18750"/>
    <cellStyle name="Comma 22 8 2 5" xfId="11697"/>
    <cellStyle name="Comma 22 8 3" xfId="7657"/>
    <cellStyle name="Comma 22 8 3 2" xfId="21764"/>
    <cellStyle name="Comma 22 8 3 3" xfId="16291"/>
    <cellStyle name="Comma 22 8 4" xfId="13208"/>
    <cellStyle name="Comma 22 8 5" xfId="18749"/>
    <cellStyle name="Comma 22 8 6" xfId="10904"/>
    <cellStyle name="Comma 22 9" xfId="3526"/>
    <cellStyle name="Comma 22 9 2" xfId="6279"/>
    <cellStyle name="Comma 22 9 2 2" xfId="8715"/>
    <cellStyle name="Comma 22 9 2 2 2" xfId="22816"/>
    <cellStyle name="Comma 22 9 2 2 3" xfId="17349"/>
    <cellStyle name="Comma 22 9 2 3" xfId="15108"/>
    <cellStyle name="Comma 22 9 2 4" xfId="20602"/>
    <cellStyle name="Comma 22 9 2 5" xfId="11959"/>
    <cellStyle name="Comma 22 9 3" xfId="7125"/>
    <cellStyle name="Comma 22 9 3 2" xfId="21232"/>
    <cellStyle name="Comma 22 9 3 3" xfId="15759"/>
    <cellStyle name="Comma 22 9 4" xfId="13210"/>
    <cellStyle name="Comma 22 9 5" xfId="18751"/>
    <cellStyle name="Comma 22 9 6" xfId="10372"/>
    <cellStyle name="Comma 220" xfId="3527"/>
    <cellStyle name="Comma 220 2" xfId="9307"/>
    <cellStyle name="Comma 220 2 2" xfId="23387"/>
    <cellStyle name="Comma 220 2 3" xfId="17939"/>
    <cellStyle name="Comma 220 3" xfId="13211"/>
    <cellStyle name="Comma 220 4" xfId="18752"/>
    <cellStyle name="Comma 220 5" xfId="12533"/>
    <cellStyle name="Comma 221" xfId="3528"/>
    <cellStyle name="Comma 221 2" xfId="9275"/>
    <cellStyle name="Comma 221 2 2" xfId="23355"/>
    <cellStyle name="Comma 221 2 3" xfId="17907"/>
    <cellStyle name="Comma 221 3" xfId="13212"/>
    <cellStyle name="Comma 221 4" xfId="18753"/>
    <cellStyle name="Comma 221 5" xfId="12501"/>
    <cellStyle name="Comma 222" xfId="3529"/>
    <cellStyle name="Comma 222 2" xfId="9308"/>
    <cellStyle name="Comma 222 2 2" xfId="23388"/>
    <cellStyle name="Comma 222 2 3" xfId="17940"/>
    <cellStyle name="Comma 222 3" xfId="13213"/>
    <cellStyle name="Comma 222 4" xfId="18754"/>
    <cellStyle name="Comma 222 5" xfId="12534"/>
    <cellStyle name="Comma 223" xfId="3530"/>
    <cellStyle name="Comma 223 2" xfId="6632"/>
    <cellStyle name="Comma 223 3" xfId="13214"/>
    <cellStyle name="Comma 224" xfId="3531"/>
    <cellStyle name="Comma 224 2" xfId="6670"/>
    <cellStyle name="Comma 224 3" xfId="13215"/>
    <cellStyle name="Comma 225" xfId="6648"/>
    <cellStyle name="Comma 226" xfId="6713"/>
    <cellStyle name="Comma 227" xfId="6689"/>
    <cellStyle name="Comma 228" xfId="6660"/>
    <cellStyle name="Comma 229" xfId="6712"/>
    <cellStyle name="Comma 23" xfId="585"/>
    <cellStyle name="Comma 23 10" xfId="6829"/>
    <cellStyle name="Comma 23 10 2" xfId="20959"/>
    <cellStyle name="Comma 23 10 3" xfId="15485"/>
    <cellStyle name="Comma 23 11" xfId="10093"/>
    <cellStyle name="Comma 23 2" xfId="1332"/>
    <cellStyle name="Comma 23 3" xfId="1563"/>
    <cellStyle name="Comma 23 3 10" xfId="9916"/>
    <cellStyle name="Comma 23 3 10 2" xfId="18356"/>
    <cellStyle name="Comma 23 3 11" xfId="23720"/>
    <cellStyle name="Comma 23 3 12" xfId="10129"/>
    <cellStyle name="Comma 23 3 13" xfId="2114"/>
    <cellStyle name="Comma 23 3 2" xfId="3000"/>
    <cellStyle name="Comma 23 3 2 10" xfId="10307"/>
    <cellStyle name="Comma 23 3 2 2" xfId="3532"/>
    <cellStyle name="Comma 23 3 2 2 2" xfId="3533"/>
    <cellStyle name="Comma 23 3 2 2 2 2" xfId="8644"/>
    <cellStyle name="Comma 23 3 2 2 2 2 2" xfId="22751"/>
    <cellStyle name="Comma 23 3 2 2 2 2 3" xfId="17278"/>
    <cellStyle name="Comma 23 3 2 2 2 3" xfId="13217"/>
    <cellStyle name="Comma 23 3 2 2 2 4" xfId="18756"/>
    <cellStyle name="Comma 23 3 2 2 2 5" xfId="11892"/>
    <cellStyle name="Comma 23 3 2 2 3" xfId="7852"/>
    <cellStyle name="Comma 23 3 2 2 3 2" xfId="21959"/>
    <cellStyle name="Comma 23 3 2 2 3 3" xfId="16486"/>
    <cellStyle name="Comma 23 3 2 2 4" xfId="13216"/>
    <cellStyle name="Comma 23 3 2 2 5" xfId="18755"/>
    <cellStyle name="Comma 23 3 2 2 6" xfId="24211"/>
    <cellStyle name="Comma 23 3 2 2 7" xfId="11099"/>
    <cellStyle name="Comma 23 3 2 3" xfId="3534"/>
    <cellStyle name="Comma 23 3 2 3 2" xfId="6583"/>
    <cellStyle name="Comma 23 3 2 3 2 2" xfId="9182"/>
    <cellStyle name="Comma 23 3 2 3 2 2 2" xfId="23283"/>
    <cellStyle name="Comma 23 3 2 3 2 2 3" xfId="17816"/>
    <cellStyle name="Comma 23 3 2 3 2 3" xfId="15368"/>
    <cellStyle name="Comma 23 3 2 3 2 4" xfId="20861"/>
    <cellStyle name="Comma 23 3 2 3 2 5" xfId="12427"/>
    <cellStyle name="Comma 23 3 2 3 3" xfId="7592"/>
    <cellStyle name="Comma 23 3 2 3 3 2" xfId="21699"/>
    <cellStyle name="Comma 23 3 2 3 3 3" xfId="16226"/>
    <cellStyle name="Comma 23 3 2 3 4" xfId="13218"/>
    <cellStyle name="Comma 23 3 2 3 5" xfId="18757"/>
    <cellStyle name="Comma 23 3 2 3 6" xfId="10839"/>
    <cellStyle name="Comma 23 3 2 4" xfId="3535"/>
    <cellStyle name="Comma 23 3 2 4 2" xfId="8384"/>
    <cellStyle name="Comma 23 3 2 4 2 2" xfId="22491"/>
    <cellStyle name="Comma 23 3 2 4 2 3" xfId="17018"/>
    <cellStyle name="Comma 23 3 2 4 3" xfId="13219"/>
    <cellStyle name="Comma 23 3 2 4 4" xfId="18758"/>
    <cellStyle name="Comma 23 3 2 4 5" xfId="11632"/>
    <cellStyle name="Comma 23 3 2 5" xfId="3536"/>
    <cellStyle name="Comma 23 3 2 5 2" xfId="9475"/>
    <cellStyle name="Comma 23 3 2 5 2 2" xfId="23522"/>
    <cellStyle name="Comma 23 3 2 5 2 3" xfId="18076"/>
    <cellStyle name="Comma 23 3 2 5 3" xfId="13220"/>
    <cellStyle name="Comma 23 3 2 5 4" xfId="18759"/>
    <cellStyle name="Comma 23 3 2 5 5" xfId="12676"/>
    <cellStyle name="Comma 23 3 2 6" xfId="7058"/>
    <cellStyle name="Comma 23 3 2 6 2" xfId="21167"/>
    <cellStyle name="Comma 23 3 2 6 3" xfId="15694"/>
    <cellStyle name="Comma 23 3 2 7" xfId="9777"/>
    <cellStyle name="Comma 23 3 2 7 2" xfId="12878"/>
    <cellStyle name="Comma 23 3 2 8" xfId="9990"/>
    <cellStyle name="Comma 23 3 2 8 2" xfId="18429"/>
    <cellStyle name="Comma 23 3 2 9" xfId="24019"/>
    <cellStyle name="Comma 23 3 3" xfId="3537"/>
    <cellStyle name="Comma 23 3 3 2" xfId="3538"/>
    <cellStyle name="Comma 23 3 3 2 2" xfId="8208"/>
    <cellStyle name="Comma 23 3 3 2 2 2" xfId="22315"/>
    <cellStyle name="Comma 23 3 3 2 2 3" xfId="16842"/>
    <cellStyle name="Comma 23 3 3 2 3" xfId="13222"/>
    <cellStyle name="Comma 23 3 3 2 4" xfId="18761"/>
    <cellStyle name="Comma 23 3 3 2 5" xfId="11455"/>
    <cellStyle name="Comma 23 3 3 3" xfId="3539"/>
    <cellStyle name="Comma 23 3 3 3 2" xfId="9006"/>
    <cellStyle name="Comma 23 3 3 3 2 2" xfId="23107"/>
    <cellStyle name="Comma 23 3 3 3 2 3" xfId="17640"/>
    <cellStyle name="Comma 23 3 3 3 3" xfId="13223"/>
    <cellStyle name="Comma 23 3 3 3 4" xfId="18762"/>
    <cellStyle name="Comma 23 3 3 3 5" xfId="12250"/>
    <cellStyle name="Comma 23 3 3 4" xfId="7416"/>
    <cellStyle name="Comma 23 3 3 4 2" xfId="21523"/>
    <cellStyle name="Comma 23 3 3 4 3" xfId="16050"/>
    <cellStyle name="Comma 23 3 3 5" xfId="13221"/>
    <cellStyle name="Comma 23 3 3 6" xfId="18760"/>
    <cellStyle name="Comma 23 3 3 7" xfId="24138"/>
    <cellStyle name="Comma 23 3 3 8" xfId="10663"/>
    <cellStyle name="Comma 23 3 4" xfId="3540"/>
    <cellStyle name="Comma 23 3 4 2" xfId="3541"/>
    <cellStyle name="Comma 23 3 4 2 2" xfId="8468"/>
    <cellStyle name="Comma 23 3 4 2 2 2" xfId="22575"/>
    <cellStyle name="Comma 23 3 4 2 2 3" xfId="17102"/>
    <cellStyle name="Comma 23 3 4 2 3" xfId="13225"/>
    <cellStyle name="Comma 23 3 4 2 4" xfId="18764"/>
    <cellStyle name="Comma 23 3 4 2 5" xfId="11716"/>
    <cellStyle name="Comma 23 3 4 3" xfId="7676"/>
    <cellStyle name="Comma 23 3 4 3 2" xfId="21783"/>
    <cellStyle name="Comma 23 3 4 3 3" xfId="16310"/>
    <cellStyle name="Comma 23 3 4 4" xfId="13224"/>
    <cellStyle name="Comma 23 3 4 5" xfId="18763"/>
    <cellStyle name="Comma 23 3 4 6" xfId="10923"/>
    <cellStyle name="Comma 23 3 5" xfId="3542"/>
    <cellStyle name="Comma 23 3 5 2" xfId="6394"/>
    <cellStyle name="Comma 23 3 5 2 2" xfId="8830"/>
    <cellStyle name="Comma 23 3 5 2 2 2" xfId="22931"/>
    <cellStyle name="Comma 23 3 5 2 2 3" xfId="17464"/>
    <cellStyle name="Comma 23 3 5 2 3" xfId="15223"/>
    <cellStyle name="Comma 23 3 5 2 4" xfId="20717"/>
    <cellStyle name="Comma 23 3 5 2 5" xfId="12074"/>
    <cellStyle name="Comma 23 3 5 3" xfId="7240"/>
    <cellStyle name="Comma 23 3 5 3 2" xfId="21347"/>
    <cellStyle name="Comma 23 3 5 3 3" xfId="15874"/>
    <cellStyle name="Comma 23 3 5 4" xfId="13226"/>
    <cellStyle name="Comma 23 3 5 5" xfId="18765"/>
    <cellStyle name="Comma 23 3 5 6" xfId="10487"/>
    <cellStyle name="Comma 23 3 6" xfId="3543"/>
    <cellStyle name="Comma 23 3 6 2" xfId="8032"/>
    <cellStyle name="Comma 23 3 6 2 2" xfId="22139"/>
    <cellStyle name="Comma 23 3 6 2 3" xfId="16666"/>
    <cellStyle name="Comma 23 3 6 3" xfId="13227"/>
    <cellStyle name="Comma 23 3 6 4" xfId="18766"/>
    <cellStyle name="Comma 23 3 6 5" xfId="11279"/>
    <cellStyle name="Comma 23 3 7" xfId="3544"/>
    <cellStyle name="Comma 23 3 7 2" xfId="9380"/>
    <cellStyle name="Comma 23 3 7 2 2" xfId="23449"/>
    <cellStyle name="Comma 23 3 7 2 3" xfId="18001"/>
    <cellStyle name="Comma 23 3 7 3" xfId="13228"/>
    <cellStyle name="Comma 23 3 7 4" xfId="18767"/>
    <cellStyle name="Comma 23 3 7 5" xfId="12598"/>
    <cellStyle name="Comma 23 3 8" xfId="6878"/>
    <cellStyle name="Comma 23 3 8 2" xfId="20991"/>
    <cellStyle name="Comma 23 3 8 3" xfId="15518"/>
    <cellStyle name="Comma 23 3 9" xfId="9687"/>
    <cellStyle name="Comma 23 3 9 2" xfId="12805"/>
    <cellStyle name="Comma 23 4" xfId="816"/>
    <cellStyle name="Comma 23 4 10" xfId="23967"/>
    <cellStyle name="Comma 23 4 11" xfId="10179"/>
    <cellStyle name="Comma 23 4 12" xfId="2583"/>
    <cellStyle name="Comma 23 4 2" xfId="3545"/>
    <cellStyle name="Comma 23 4 2 2" xfId="3546"/>
    <cellStyle name="Comma 23 4 2 2 2" xfId="8256"/>
    <cellStyle name="Comma 23 4 2 2 2 2" xfId="22363"/>
    <cellStyle name="Comma 23 4 2 2 2 3" xfId="16890"/>
    <cellStyle name="Comma 23 4 2 2 3" xfId="13230"/>
    <cellStyle name="Comma 23 4 2 2 4" xfId="18769"/>
    <cellStyle name="Comma 23 4 2 2 5" xfId="11503"/>
    <cellStyle name="Comma 23 4 2 3" xfId="3547"/>
    <cellStyle name="Comma 23 4 2 3 2" xfId="9054"/>
    <cellStyle name="Comma 23 4 2 3 2 2" xfId="23155"/>
    <cellStyle name="Comma 23 4 2 3 2 3" xfId="17688"/>
    <cellStyle name="Comma 23 4 2 3 3" xfId="13231"/>
    <cellStyle name="Comma 23 4 2 3 4" xfId="18770"/>
    <cellStyle name="Comma 23 4 2 3 5" xfId="12299"/>
    <cellStyle name="Comma 23 4 2 4" xfId="7464"/>
    <cellStyle name="Comma 23 4 2 4 2" xfId="21571"/>
    <cellStyle name="Comma 23 4 2 4 3" xfId="16098"/>
    <cellStyle name="Comma 23 4 2 5" xfId="13229"/>
    <cellStyle name="Comma 23 4 2 6" xfId="18768"/>
    <cellStyle name="Comma 23 4 2 7" xfId="24171"/>
    <cellStyle name="Comma 23 4 2 8" xfId="10711"/>
    <cellStyle name="Comma 23 4 3" xfId="3548"/>
    <cellStyle name="Comma 23 4 3 2" xfId="3549"/>
    <cellStyle name="Comma 23 4 3 2 2" xfId="8516"/>
    <cellStyle name="Comma 23 4 3 2 2 2" xfId="22623"/>
    <cellStyle name="Comma 23 4 3 2 2 3" xfId="17150"/>
    <cellStyle name="Comma 23 4 3 2 3" xfId="13233"/>
    <cellStyle name="Comma 23 4 3 2 4" xfId="18772"/>
    <cellStyle name="Comma 23 4 3 2 5" xfId="11764"/>
    <cellStyle name="Comma 23 4 3 3" xfId="7724"/>
    <cellStyle name="Comma 23 4 3 3 2" xfId="21831"/>
    <cellStyle name="Comma 23 4 3 3 3" xfId="16358"/>
    <cellStyle name="Comma 23 4 3 4" xfId="13232"/>
    <cellStyle name="Comma 23 4 3 5" xfId="18771"/>
    <cellStyle name="Comma 23 4 3 6" xfId="10971"/>
    <cellStyle name="Comma 23 4 4" xfId="3550"/>
    <cellStyle name="Comma 23 4 4 2" xfId="6442"/>
    <cellStyle name="Comma 23 4 4 2 2" xfId="8878"/>
    <cellStyle name="Comma 23 4 4 2 2 2" xfId="22979"/>
    <cellStyle name="Comma 23 4 4 2 2 3" xfId="17512"/>
    <cellStyle name="Comma 23 4 4 2 3" xfId="15271"/>
    <cellStyle name="Comma 23 4 4 2 4" xfId="20765"/>
    <cellStyle name="Comma 23 4 4 2 5" xfId="12122"/>
    <cellStyle name="Comma 23 4 4 3" xfId="7288"/>
    <cellStyle name="Comma 23 4 4 3 2" xfId="21395"/>
    <cellStyle name="Comma 23 4 4 3 3" xfId="15922"/>
    <cellStyle name="Comma 23 4 4 4" xfId="13234"/>
    <cellStyle name="Comma 23 4 4 5" xfId="18773"/>
    <cellStyle name="Comma 23 4 4 6" xfId="10535"/>
    <cellStyle name="Comma 23 4 5" xfId="3551"/>
    <cellStyle name="Comma 23 4 5 2" xfId="8080"/>
    <cellStyle name="Comma 23 4 5 2 2" xfId="22187"/>
    <cellStyle name="Comma 23 4 5 2 3" xfId="16714"/>
    <cellStyle name="Comma 23 4 5 3" xfId="13235"/>
    <cellStyle name="Comma 23 4 5 4" xfId="18774"/>
    <cellStyle name="Comma 23 4 5 5" xfId="11327"/>
    <cellStyle name="Comma 23 4 6" xfId="3552"/>
    <cellStyle name="Comma 23 4 6 2" xfId="9415"/>
    <cellStyle name="Comma 23 4 6 2 2" xfId="23482"/>
    <cellStyle name="Comma 23 4 6 2 3" xfId="18034"/>
    <cellStyle name="Comma 23 4 6 3" xfId="13236"/>
    <cellStyle name="Comma 23 4 6 4" xfId="18775"/>
    <cellStyle name="Comma 23 4 6 5" xfId="12632"/>
    <cellStyle name="Comma 23 4 7" xfId="6929"/>
    <cellStyle name="Comma 23 4 7 2" xfId="21039"/>
    <cellStyle name="Comma 23 4 7 3" xfId="15566"/>
    <cellStyle name="Comma 23 4 8" xfId="9730"/>
    <cellStyle name="Comma 23 4 8 2" xfId="12838"/>
    <cellStyle name="Comma 23 4 9" xfId="9950"/>
    <cellStyle name="Comma 23 4 9 2" xfId="18389"/>
    <cellStyle name="Comma 23 5" xfId="3553"/>
    <cellStyle name="Comma 23 5 10" xfId="41377"/>
    <cellStyle name="Comma 23 5 2" xfId="3554"/>
    <cellStyle name="Comma 23 5 2 2" xfId="3555"/>
    <cellStyle name="Comma 23 5 2 2 2" xfId="8352"/>
    <cellStyle name="Comma 23 5 2 2 2 2" xfId="22459"/>
    <cellStyle name="Comma 23 5 2 2 2 3" xfId="16986"/>
    <cellStyle name="Comma 23 5 2 2 3" xfId="13239"/>
    <cellStyle name="Comma 23 5 2 2 4" xfId="18778"/>
    <cellStyle name="Comma 23 5 2 2 5" xfId="11600"/>
    <cellStyle name="Comma 23 5 2 3" xfId="3556"/>
    <cellStyle name="Comma 23 5 2 3 2" xfId="9150"/>
    <cellStyle name="Comma 23 5 2 3 2 2" xfId="23251"/>
    <cellStyle name="Comma 23 5 2 3 2 3" xfId="17784"/>
    <cellStyle name="Comma 23 5 2 3 3" xfId="13240"/>
    <cellStyle name="Comma 23 5 2 3 4" xfId="18779"/>
    <cellStyle name="Comma 23 5 2 3 5" xfId="12395"/>
    <cellStyle name="Comma 23 5 2 4" xfId="7560"/>
    <cellStyle name="Comma 23 5 2 4 2" xfId="21667"/>
    <cellStyle name="Comma 23 5 2 4 3" xfId="16194"/>
    <cellStyle name="Comma 23 5 2 5" xfId="13238"/>
    <cellStyle name="Comma 23 5 2 6" xfId="18777"/>
    <cellStyle name="Comma 23 5 2 7" xfId="10807"/>
    <cellStyle name="Comma 23 5 3" xfId="3557"/>
    <cellStyle name="Comma 23 5 3 2" xfId="3558"/>
    <cellStyle name="Comma 23 5 3 2 2" xfId="8612"/>
    <cellStyle name="Comma 23 5 3 2 2 2" xfId="22719"/>
    <cellStyle name="Comma 23 5 3 2 2 3" xfId="17246"/>
    <cellStyle name="Comma 23 5 3 2 3" xfId="13242"/>
    <cellStyle name="Comma 23 5 3 2 4" xfId="18781"/>
    <cellStyle name="Comma 23 5 3 2 5" xfId="11860"/>
    <cellStyle name="Comma 23 5 3 3" xfId="7820"/>
    <cellStyle name="Comma 23 5 3 3 2" xfId="21927"/>
    <cellStyle name="Comma 23 5 3 3 3" xfId="16454"/>
    <cellStyle name="Comma 23 5 3 4" xfId="13241"/>
    <cellStyle name="Comma 23 5 3 5" xfId="18780"/>
    <cellStyle name="Comma 23 5 3 6" xfId="11067"/>
    <cellStyle name="Comma 23 5 4" xfId="3559"/>
    <cellStyle name="Comma 23 5 4 2" xfId="6362"/>
    <cellStyle name="Comma 23 5 4 2 2" xfId="8798"/>
    <cellStyle name="Comma 23 5 4 2 2 2" xfId="22899"/>
    <cellStyle name="Comma 23 5 4 2 2 3" xfId="17432"/>
    <cellStyle name="Comma 23 5 4 2 3" xfId="15191"/>
    <cellStyle name="Comma 23 5 4 2 4" xfId="20685"/>
    <cellStyle name="Comma 23 5 4 2 5" xfId="12042"/>
    <cellStyle name="Comma 23 5 4 3" xfId="7208"/>
    <cellStyle name="Comma 23 5 4 3 2" xfId="21315"/>
    <cellStyle name="Comma 23 5 4 3 3" xfId="15842"/>
    <cellStyle name="Comma 23 5 4 4" xfId="13243"/>
    <cellStyle name="Comma 23 5 4 5" xfId="18782"/>
    <cellStyle name="Comma 23 5 4 6" xfId="10455"/>
    <cellStyle name="Comma 23 5 5" xfId="3560"/>
    <cellStyle name="Comma 23 5 5 2" xfId="8000"/>
    <cellStyle name="Comma 23 5 5 2 2" xfId="22107"/>
    <cellStyle name="Comma 23 5 5 2 3" xfId="16634"/>
    <cellStyle name="Comma 23 5 5 3" xfId="13244"/>
    <cellStyle name="Comma 23 5 5 4" xfId="18783"/>
    <cellStyle name="Comma 23 5 5 5" xfId="11247"/>
    <cellStyle name="Comma 23 5 6" xfId="7025"/>
    <cellStyle name="Comma 23 5 6 2" xfId="21135"/>
    <cellStyle name="Comma 23 5 6 3" xfId="15662"/>
    <cellStyle name="Comma 23 5 7" xfId="13237"/>
    <cellStyle name="Comma 23 5 8" xfId="18776"/>
    <cellStyle name="Comma 23 5 9" xfId="10275"/>
    <cellStyle name="Comma 23 6" xfId="3561"/>
    <cellStyle name="Comma 23 6 2" xfId="3562"/>
    <cellStyle name="Comma 23 6 2 2" xfId="8176"/>
    <cellStyle name="Comma 23 6 2 2 2" xfId="22283"/>
    <cellStyle name="Comma 23 6 2 2 3" xfId="16810"/>
    <cellStyle name="Comma 23 6 2 3" xfId="13246"/>
    <cellStyle name="Comma 23 6 2 4" xfId="18785"/>
    <cellStyle name="Comma 23 6 2 5" xfId="11423"/>
    <cellStyle name="Comma 23 6 3" xfId="3563"/>
    <cellStyle name="Comma 23 6 3 2" xfId="8974"/>
    <cellStyle name="Comma 23 6 3 2 2" xfId="23075"/>
    <cellStyle name="Comma 23 6 3 2 3" xfId="17608"/>
    <cellStyle name="Comma 23 6 3 3" xfId="13247"/>
    <cellStyle name="Comma 23 6 3 4" xfId="18786"/>
    <cellStyle name="Comma 23 6 3 5" xfId="12218"/>
    <cellStyle name="Comma 23 6 4" xfId="7384"/>
    <cellStyle name="Comma 23 6 4 2" xfId="21491"/>
    <cellStyle name="Comma 23 6 4 3" xfId="16018"/>
    <cellStyle name="Comma 23 6 5" xfId="13245"/>
    <cellStyle name="Comma 23 6 6" xfId="18784"/>
    <cellStyle name="Comma 23 6 7" xfId="10631"/>
    <cellStyle name="Comma 23 6 8" xfId="41378"/>
    <cellStyle name="Comma 23 7" xfId="3564"/>
    <cellStyle name="Comma 23 7 2" xfId="3565"/>
    <cellStyle name="Comma 23 7 2 2" xfId="8436"/>
    <cellStyle name="Comma 23 7 2 2 2" xfId="22543"/>
    <cellStyle name="Comma 23 7 2 2 3" xfId="17070"/>
    <cellStyle name="Comma 23 7 2 3" xfId="13249"/>
    <cellStyle name="Comma 23 7 2 4" xfId="18788"/>
    <cellStyle name="Comma 23 7 2 5" xfId="11684"/>
    <cellStyle name="Comma 23 7 3" xfId="7644"/>
    <cellStyle name="Comma 23 7 3 2" xfId="21751"/>
    <cellStyle name="Comma 23 7 3 3" xfId="16278"/>
    <cellStyle name="Comma 23 7 4" xfId="13248"/>
    <cellStyle name="Comma 23 7 5" xfId="18787"/>
    <cellStyle name="Comma 23 7 6" xfId="10891"/>
    <cellStyle name="Comma 23 8" xfId="3566"/>
    <cellStyle name="Comma 23 8 2" xfId="6266"/>
    <cellStyle name="Comma 23 8 2 2" xfId="8702"/>
    <cellStyle name="Comma 23 8 2 2 2" xfId="22803"/>
    <cellStyle name="Comma 23 8 2 2 3" xfId="17336"/>
    <cellStyle name="Comma 23 8 2 3" xfId="15095"/>
    <cellStyle name="Comma 23 8 2 4" xfId="20589"/>
    <cellStyle name="Comma 23 8 2 5" xfId="11946"/>
    <cellStyle name="Comma 23 8 3" xfId="7112"/>
    <cellStyle name="Comma 23 8 3 2" xfId="21219"/>
    <cellStyle name="Comma 23 8 3 3" xfId="15746"/>
    <cellStyle name="Comma 23 8 4" xfId="13250"/>
    <cellStyle name="Comma 23 8 5" xfId="18789"/>
    <cellStyle name="Comma 23 8 6" xfId="10359"/>
    <cellStyle name="Comma 23 9" xfId="3567"/>
    <cellStyle name="Comma 23 9 2" xfId="7904"/>
    <cellStyle name="Comma 23 9 2 2" xfId="22011"/>
    <cellStyle name="Comma 23 9 2 3" xfId="16538"/>
    <cellStyle name="Comma 23 9 3" xfId="13251"/>
    <cellStyle name="Comma 23 9 4" xfId="18790"/>
    <cellStyle name="Comma 23 9 5" xfId="11151"/>
    <cellStyle name="Comma 230" xfId="6684"/>
    <cellStyle name="Comma 231" xfId="6661"/>
    <cellStyle name="Comma 232" xfId="6659"/>
    <cellStyle name="Comma 233" xfId="6674"/>
    <cellStyle name="Comma 234" xfId="6737"/>
    <cellStyle name="Comma 235" xfId="6697"/>
    <cellStyle name="Comma 236" xfId="6679"/>
    <cellStyle name="Comma 237" xfId="6650"/>
    <cellStyle name="Comma 238" xfId="6703"/>
    <cellStyle name="Comma 239" xfId="6694"/>
    <cellStyle name="Comma 24" xfId="592"/>
    <cellStyle name="Comma 24 10" xfId="6840"/>
    <cellStyle name="Comma 24 10 2" xfId="20970"/>
    <cellStyle name="Comma 24 10 3" xfId="15496"/>
    <cellStyle name="Comma 24 11" xfId="10104"/>
    <cellStyle name="Comma 24 2" xfId="1333"/>
    <cellStyle name="Comma 24 3" xfId="1583"/>
    <cellStyle name="Comma 24 3 10" xfId="9927"/>
    <cellStyle name="Comma 24 3 10 2" xfId="18367"/>
    <cellStyle name="Comma 24 3 11" xfId="23731"/>
    <cellStyle name="Comma 24 3 12" xfId="10140"/>
    <cellStyle name="Comma 24 3 13" xfId="2130"/>
    <cellStyle name="Comma 24 3 2" xfId="3013"/>
    <cellStyle name="Comma 24 3 2 10" xfId="10318"/>
    <cellStyle name="Comma 24 3 2 2" xfId="3568"/>
    <cellStyle name="Comma 24 3 2 2 2" xfId="3569"/>
    <cellStyle name="Comma 24 3 2 2 2 2" xfId="8655"/>
    <cellStyle name="Comma 24 3 2 2 2 2 2" xfId="22762"/>
    <cellStyle name="Comma 24 3 2 2 2 2 3" xfId="17289"/>
    <cellStyle name="Comma 24 3 2 2 2 3" xfId="13253"/>
    <cellStyle name="Comma 24 3 2 2 2 4" xfId="18792"/>
    <cellStyle name="Comma 24 3 2 2 2 5" xfId="11903"/>
    <cellStyle name="Comma 24 3 2 2 3" xfId="7863"/>
    <cellStyle name="Comma 24 3 2 2 3 2" xfId="21970"/>
    <cellStyle name="Comma 24 3 2 2 3 3" xfId="16497"/>
    <cellStyle name="Comma 24 3 2 2 4" xfId="13252"/>
    <cellStyle name="Comma 24 3 2 2 5" xfId="18791"/>
    <cellStyle name="Comma 24 3 2 2 6" xfId="24222"/>
    <cellStyle name="Comma 24 3 2 2 7" xfId="11110"/>
    <cellStyle name="Comma 24 3 2 3" xfId="3570"/>
    <cellStyle name="Comma 24 3 2 3 2" xfId="6594"/>
    <cellStyle name="Comma 24 3 2 3 2 2" xfId="9193"/>
    <cellStyle name="Comma 24 3 2 3 2 2 2" xfId="23294"/>
    <cellStyle name="Comma 24 3 2 3 2 2 3" xfId="17827"/>
    <cellStyle name="Comma 24 3 2 3 2 3" xfId="15379"/>
    <cellStyle name="Comma 24 3 2 3 2 4" xfId="20872"/>
    <cellStyle name="Comma 24 3 2 3 2 5" xfId="12438"/>
    <cellStyle name="Comma 24 3 2 3 3" xfId="7603"/>
    <cellStyle name="Comma 24 3 2 3 3 2" xfId="21710"/>
    <cellStyle name="Comma 24 3 2 3 3 3" xfId="16237"/>
    <cellStyle name="Comma 24 3 2 3 4" xfId="13254"/>
    <cellStyle name="Comma 24 3 2 3 5" xfId="18793"/>
    <cellStyle name="Comma 24 3 2 3 6" xfId="10850"/>
    <cellStyle name="Comma 24 3 2 4" xfId="3571"/>
    <cellStyle name="Comma 24 3 2 4 2" xfId="8395"/>
    <cellStyle name="Comma 24 3 2 4 2 2" xfId="22502"/>
    <cellStyle name="Comma 24 3 2 4 2 3" xfId="17029"/>
    <cellStyle name="Comma 24 3 2 4 3" xfId="13255"/>
    <cellStyle name="Comma 24 3 2 4 4" xfId="18794"/>
    <cellStyle name="Comma 24 3 2 4 5" xfId="11643"/>
    <cellStyle name="Comma 24 3 2 5" xfId="3572"/>
    <cellStyle name="Comma 24 3 2 5 2" xfId="9486"/>
    <cellStyle name="Comma 24 3 2 5 2 2" xfId="23533"/>
    <cellStyle name="Comma 24 3 2 5 2 3" xfId="18087"/>
    <cellStyle name="Comma 24 3 2 5 3" xfId="13256"/>
    <cellStyle name="Comma 24 3 2 5 4" xfId="18795"/>
    <cellStyle name="Comma 24 3 2 5 5" xfId="12687"/>
    <cellStyle name="Comma 24 3 2 6" xfId="7069"/>
    <cellStyle name="Comma 24 3 2 6 2" xfId="21178"/>
    <cellStyle name="Comma 24 3 2 6 3" xfId="15705"/>
    <cellStyle name="Comma 24 3 2 7" xfId="9788"/>
    <cellStyle name="Comma 24 3 2 7 2" xfId="12889"/>
    <cellStyle name="Comma 24 3 2 8" xfId="10001"/>
    <cellStyle name="Comma 24 3 2 8 2" xfId="18440"/>
    <cellStyle name="Comma 24 3 2 9" xfId="24024"/>
    <cellStyle name="Comma 24 3 3" xfId="3573"/>
    <cellStyle name="Comma 24 3 3 2" xfId="3574"/>
    <cellStyle name="Comma 24 3 3 2 2" xfId="8219"/>
    <cellStyle name="Comma 24 3 3 2 2 2" xfId="22326"/>
    <cellStyle name="Comma 24 3 3 2 2 3" xfId="16853"/>
    <cellStyle name="Comma 24 3 3 2 3" xfId="13258"/>
    <cellStyle name="Comma 24 3 3 2 4" xfId="18797"/>
    <cellStyle name="Comma 24 3 3 2 5" xfId="11466"/>
    <cellStyle name="Comma 24 3 3 3" xfId="3575"/>
    <cellStyle name="Comma 24 3 3 3 2" xfId="9017"/>
    <cellStyle name="Comma 24 3 3 3 2 2" xfId="23118"/>
    <cellStyle name="Comma 24 3 3 3 2 3" xfId="17651"/>
    <cellStyle name="Comma 24 3 3 3 3" xfId="13259"/>
    <cellStyle name="Comma 24 3 3 3 4" xfId="18798"/>
    <cellStyle name="Comma 24 3 3 3 5" xfId="12261"/>
    <cellStyle name="Comma 24 3 3 4" xfId="7427"/>
    <cellStyle name="Comma 24 3 3 4 2" xfId="21534"/>
    <cellStyle name="Comma 24 3 3 4 3" xfId="16061"/>
    <cellStyle name="Comma 24 3 3 5" xfId="13257"/>
    <cellStyle name="Comma 24 3 3 6" xfId="18796"/>
    <cellStyle name="Comma 24 3 3 7" xfId="24149"/>
    <cellStyle name="Comma 24 3 3 8" xfId="10674"/>
    <cellStyle name="Comma 24 3 4" xfId="3576"/>
    <cellStyle name="Comma 24 3 4 2" xfId="3577"/>
    <cellStyle name="Comma 24 3 4 2 2" xfId="8479"/>
    <cellStyle name="Comma 24 3 4 2 2 2" xfId="22586"/>
    <cellStyle name="Comma 24 3 4 2 2 3" xfId="17113"/>
    <cellStyle name="Comma 24 3 4 2 3" xfId="13261"/>
    <cellStyle name="Comma 24 3 4 2 4" xfId="18800"/>
    <cellStyle name="Comma 24 3 4 2 5" xfId="11727"/>
    <cellStyle name="Comma 24 3 4 3" xfId="7687"/>
    <cellStyle name="Comma 24 3 4 3 2" xfId="21794"/>
    <cellStyle name="Comma 24 3 4 3 3" xfId="16321"/>
    <cellStyle name="Comma 24 3 4 4" xfId="13260"/>
    <cellStyle name="Comma 24 3 4 5" xfId="18799"/>
    <cellStyle name="Comma 24 3 4 6" xfId="10934"/>
    <cellStyle name="Comma 24 3 5" xfId="3578"/>
    <cellStyle name="Comma 24 3 5 2" xfId="6405"/>
    <cellStyle name="Comma 24 3 5 2 2" xfId="8841"/>
    <cellStyle name="Comma 24 3 5 2 2 2" xfId="22942"/>
    <cellStyle name="Comma 24 3 5 2 2 3" xfId="17475"/>
    <cellStyle name="Comma 24 3 5 2 3" xfId="15234"/>
    <cellStyle name="Comma 24 3 5 2 4" xfId="20728"/>
    <cellStyle name="Comma 24 3 5 2 5" xfId="12085"/>
    <cellStyle name="Comma 24 3 5 3" xfId="7251"/>
    <cellStyle name="Comma 24 3 5 3 2" xfId="21358"/>
    <cellStyle name="Comma 24 3 5 3 3" xfId="15885"/>
    <cellStyle name="Comma 24 3 5 4" xfId="13262"/>
    <cellStyle name="Comma 24 3 5 5" xfId="18801"/>
    <cellStyle name="Comma 24 3 5 6" xfId="10498"/>
    <cellStyle name="Comma 24 3 6" xfId="3579"/>
    <cellStyle name="Comma 24 3 6 2" xfId="8043"/>
    <cellStyle name="Comma 24 3 6 2 2" xfId="22150"/>
    <cellStyle name="Comma 24 3 6 2 3" xfId="16677"/>
    <cellStyle name="Comma 24 3 6 3" xfId="13263"/>
    <cellStyle name="Comma 24 3 6 4" xfId="18802"/>
    <cellStyle name="Comma 24 3 6 5" xfId="11290"/>
    <cellStyle name="Comma 24 3 7" xfId="3580"/>
    <cellStyle name="Comma 24 3 7 2" xfId="9392"/>
    <cellStyle name="Comma 24 3 7 2 2" xfId="23460"/>
    <cellStyle name="Comma 24 3 7 2 3" xfId="18012"/>
    <cellStyle name="Comma 24 3 7 3" xfId="13264"/>
    <cellStyle name="Comma 24 3 7 4" xfId="18803"/>
    <cellStyle name="Comma 24 3 7 5" xfId="12609"/>
    <cellStyle name="Comma 24 3 8" xfId="6889"/>
    <cellStyle name="Comma 24 3 8 2" xfId="21002"/>
    <cellStyle name="Comma 24 3 8 3" xfId="15529"/>
    <cellStyle name="Comma 24 3 9" xfId="9698"/>
    <cellStyle name="Comma 24 3 9 2" xfId="12816"/>
    <cellStyle name="Comma 24 4" xfId="769"/>
    <cellStyle name="Comma 24 4 10" xfId="23978"/>
    <cellStyle name="Comma 24 4 11" xfId="10190"/>
    <cellStyle name="Comma 24 4 12" xfId="2594"/>
    <cellStyle name="Comma 24 4 2" xfId="3581"/>
    <cellStyle name="Comma 24 4 2 2" xfId="3582"/>
    <cellStyle name="Comma 24 4 2 2 2" xfId="8267"/>
    <cellStyle name="Comma 24 4 2 2 2 2" xfId="22374"/>
    <cellStyle name="Comma 24 4 2 2 2 3" xfId="16901"/>
    <cellStyle name="Comma 24 4 2 2 3" xfId="13266"/>
    <cellStyle name="Comma 24 4 2 2 4" xfId="18805"/>
    <cellStyle name="Comma 24 4 2 2 5" xfId="11514"/>
    <cellStyle name="Comma 24 4 2 3" xfId="3583"/>
    <cellStyle name="Comma 24 4 2 3 2" xfId="9065"/>
    <cellStyle name="Comma 24 4 2 3 2 2" xfId="23166"/>
    <cellStyle name="Comma 24 4 2 3 2 3" xfId="17699"/>
    <cellStyle name="Comma 24 4 2 3 3" xfId="13267"/>
    <cellStyle name="Comma 24 4 2 3 4" xfId="18806"/>
    <cellStyle name="Comma 24 4 2 3 5" xfId="12310"/>
    <cellStyle name="Comma 24 4 2 4" xfId="7475"/>
    <cellStyle name="Comma 24 4 2 4 2" xfId="21582"/>
    <cellStyle name="Comma 24 4 2 4 3" xfId="16109"/>
    <cellStyle name="Comma 24 4 2 5" xfId="13265"/>
    <cellStyle name="Comma 24 4 2 6" xfId="18804"/>
    <cellStyle name="Comma 24 4 2 7" xfId="24182"/>
    <cellStyle name="Comma 24 4 2 8" xfId="10722"/>
    <cellStyle name="Comma 24 4 3" xfId="3584"/>
    <cellStyle name="Comma 24 4 3 2" xfId="3585"/>
    <cellStyle name="Comma 24 4 3 2 2" xfId="8527"/>
    <cellStyle name="Comma 24 4 3 2 2 2" xfId="22634"/>
    <cellStyle name="Comma 24 4 3 2 2 3" xfId="17161"/>
    <cellStyle name="Comma 24 4 3 2 3" xfId="13269"/>
    <cellStyle name="Comma 24 4 3 2 4" xfId="18808"/>
    <cellStyle name="Comma 24 4 3 2 5" xfId="11775"/>
    <cellStyle name="Comma 24 4 3 3" xfId="7735"/>
    <cellStyle name="Comma 24 4 3 3 2" xfId="21842"/>
    <cellStyle name="Comma 24 4 3 3 3" xfId="16369"/>
    <cellStyle name="Comma 24 4 3 4" xfId="13268"/>
    <cellStyle name="Comma 24 4 3 5" xfId="18807"/>
    <cellStyle name="Comma 24 4 3 6" xfId="10982"/>
    <cellStyle name="Comma 24 4 4" xfId="3586"/>
    <cellStyle name="Comma 24 4 4 2" xfId="6453"/>
    <cellStyle name="Comma 24 4 4 2 2" xfId="8889"/>
    <cellStyle name="Comma 24 4 4 2 2 2" xfId="22990"/>
    <cellStyle name="Comma 24 4 4 2 2 3" xfId="17523"/>
    <cellStyle name="Comma 24 4 4 2 3" xfId="15282"/>
    <cellStyle name="Comma 24 4 4 2 4" xfId="20776"/>
    <cellStyle name="Comma 24 4 4 2 5" xfId="12133"/>
    <cellStyle name="Comma 24 4 4 3" xfId="7299"/>
    <cellStyle name="Comma 24 4 4 3 2" xfId="21406"/>
    <cellStyle name="Comma 24 4 4 3 3" xfId="15933"/>
    <cellStyle name="Comma 24 4 4 4" xfId="13270"/>
    <cellStyle name="Comma 24 4 4 5" xfId="18809"/>
    <cellStyle name="Comma 24 4 4 6" xfId="10546"/>
    <cellStyle name="Comma 24 4 5" xfId="3587"/>
    <cellStyle name="Comma 24 4 5 2" xfId="8091"/>
    <cellStyle name="Comma 24 4 5 2 2" xfId="22198"/>
    <cellStyle name="Comma 24 4 5 2 3" xfId="16725"/>
    <cellStyle name="Comma 24 4 5 3" xfId="13271"/>
    <cellStyle name="Comma 24 4 5 4" xfId="18810"/>
    <cellStyle name="Comma 24 4 5 5" xfId="11338"/>
    <cellStyle name="Comma 24 4 6" xfId="3588"/>
    <cellStyle name="Comma 24 4 6 2" xfId="9426"/>
    <cellStyle name="Comma 24 4 6 2 2" xfId="23493"/>
    <cellStyle name="Comma 24 4 6 2 3" xfId="18045"/>
    <cellStyle name="Comma 24 4 6 3" xfId="13272"/>
    <cellStyle name="Comma 24 4 6 4" xfId="18811"/>
    <cellStyle name="Comma 24 4 6 5" xfId="12643"/>
    <cellStyle name="Comma 24 4 7" xfId="6940"/>
    <cellStyle name="Comma 24 4 7 2" xfId="21050"/>
    <cellStyle name="Comma 24 4 7 3" xfId="15577"/>
    <cellStyle name="Comma 24 4 8" xfId="9741"/>
    <cellStyle name="Comma 24 4 8 2" xfId="12849"/>
    <cellStyle name="Comma 24 4 9" xfId="9961"/>
    <cellStyle name="Comma 24 4 9 2" xfId="18400"/>
    <cellStyle name="Comma 24 5" xfId="3589"/>
    <cellStyle name="Comma 24 5 10" xfId="41379"/>
    <cellStyle name="Comma 24 5 2" xfId="3590"/>
    <cellStyle name="Comma 24 5 2 2" xfId="3591"/>
    <cellStyle name="Comma 24 5 2 2 2" xfId="8363"/>
    <cellStyle name="Comma 24 5 2 2 2 2" xfId="22470"/>
    <cellStyle name="Comma 24 5 2 2 2 3" xfId="16997"/>
    <cellStyle name="Comma 24 5 2 2 3" xfId="13275"/>
    <cellStyle name="Comma 24 5 2 2 4" xfId="18814"/>
    <cellStyle name="Comma 24 5 2 2 5" xfId="11611"/>
    <cellStyle name="Comma 24 5 2 3" xfId="3592"/>
    <cellStyle name="Comma 24 5 2 3 2" xfId="9161"/>
    <cellStyle name="Comma 24 5 2 3 2 2" xfId="23262"/>
    <cellStyle name="Comma 24 5 2 3 2 3" xfId="17795"/>
    <cellStyle name="Comma 24 5 2 3 3" xfId="13276"/>
    <cellStyle name="Comma 24 5 2 3 4" xfId="18815"/>
    <cellStyle name="Comma 24 5 2 3 5" xfId="12406"/>
    <cellStyle name="Comma 24 5 2 4" xfId="7571"/>
    <cellStyle name="Comma 24 5 2 4 2" xfId="21678"/>
    <cellStyle name="Comma 24 5 2 4 3" xfId="16205"/>
    <cellStyle name="Comma 24 5 2 5" xfId="13274"/>
    <cellStyle name="Comma 24 5 2 6" xfId="18813"/>
    <cellStyle name="Comma 24 5 2 7" xfId="10818"/>
    <cellStyle name="Comma 24 5 3" xfId="3593"/>
    <cellStyle name="Comma 24 5 3 2" xfId="3594"/>
    <cellStyle name="Comma 24 5 3 2 2" xfId="8623"/>
    <cellStyle name="Comma 24 5 3 2 2 2" xfId="22730"/>
    <cellStyle name="Comma 24 5 3 2 2 3" xfId="17257"/>
    <cellStyle name="Comma 24 5 3 2 3" xfId="13278"/>
    <cellStyle name="Comma 24 5 3 2 4" xfId="18817"/>
    <cellStyle name="Comma 24 5 3 2 5" xfId="11871"/>
    <cellStyle name="Comma 24 5 3 3" xfId="7831"/>
    <cellStyle name="Comma 24 5 3 3 2" xfId="21938"/>
    <cellStyle name="Comma 24 5 3 3 3" xfId="16465"/>
    <cellStyle name="Comma 24 5 3 4" xfId="13277"/>
    <cellStyle name="Comma 24 5 3 5" xfId="18816"/>
    <cellStyle name="Comma 24 5 3 6" xfId="11078"/>
    <cellStyle name="Comma 24 5 4" xfId="3595"/>
    <cellStyle name="Comma 24 5 4 2" xfId="6373"/>
    <cellStyle name="Comma 24 5 4 2 2" xfId="8809"/>
    <cellStyle name="Comma 24 5 4 2 2 2" xfId="22910"/>
    <cellStyle name="Comma 24 5 4 2 2 3" xfId="17443"/>
    <cellStyle name="Comma 24 5 4 2 3" xfId="15202"/>
    <cellStyle name="Comma 24 5 4 2 4" xfId="20696"/>
    <cellStyle name="Comma 24 5 4 2 5" xfId="12053"/>
    <cellStyle name="Comma 24 5 4 3" xfId="7219"/>
    <cellStyle name="Comma 24 5 4 3 2" xfId="21326"/>
    <cellStyle name="Comma 24 5 4 3 3" xfId="15853"/>
    <cellStyle name="Comma 24 5 4 4" xfId="13279"/>
    <cellStyle name="Comma 24 5 4 5" xfId="18818"/>
    <cellStyle name="Comma 24 5 4 6" xfId="10466"/>
    <cellStyle name="Comma 24 5 5" xfId="3596"/>
    <cellStyle name="Comma 24 5 5 2" xfId="8011"/>
    <cellStyle name="Comma 24 5 5 2 2" xfId="22118"/>
    <cellStyle name="Comma 24 5 5 2 3" xfId="16645"/>
    <cellStyle name="Comma 24 5 5 3" xfId="13280"/>
    <cellStyle name="Comma 24 5 5 4" xfId="18819"/>
    <cellStyle name="Comma 24 5 5 5" xfId="11258"/>
    <cellStyle name="Comma 24 5 6" xfId="7036"/>
    <cellStyle name="Comma 24 5 6 2" xfId="21146"/>
    <cellStyle name="Comma 24 5 6 3" xfId="15673"/>
    <cellStyle name="Comma 24 5 7" xfId="13273"/>
    <cellStyle name="Comma 24 5 8" xfId="18812"/>
    <cellStyle name="Comma 24 5 9" xfId="10286"/>
    <cellStyle name="Comma 24 6" xfId="3597"/>
    <cellStyle name="Comma 24 6 2" xfId="3598"/>
    <cellStyle name="Comma 24 6 2 2" xfId="8187"/>
    <cellStyle name="Comma 24 6 2 2 2" xfId="22294"/>
    <cellStyle name="Comma 24 6 2 2 3" xfId="16821"/>
    <cellStyle name="Comma 24 6 2 3" xfId="13282"/>
    <cellStyle name="Comma 24 6 2 4" xfId="18821"/>
    <cellStyle name="Comma 24 6 2 5" xfId="11434"/>
    <cellStyle name="Comma 24 6 3" xfId="3599"/>
    <cellStyle name="Comma 24 6 3 2" xfId="8985"/>
    <cellStyle name="Comma 24 6 3 2 2" xfId="23086"/>
    <cellStyle name="Comma 24 6 3 2 3" xfId="17619"/>
    <cellStyle name="Comma 24 6 3 3" xfId="13283"/>
    <cellStyle name="Comma 24 6 3 4" xfId="18822"/>
    <cellStyle name="Comma 24 6 3 5" xfId="12229"/>
    <cellStyle name="Comma 24 6 4" xfId="7395"/>
    <cellStyle name="Comma 24 6 4 2" xfId="21502"/>
    <cellStyle name="Comma 24 6 4 3" xfId="16029"/>
    <cellStyle name="Comma 24 6 5" xfId="13281"/>
    <cellStyle name="Comma 24 6 6" xfId="18820"/>
    <cellStyle name="Comma 24 6 7" xfId="10642"/>
    <cellStyle name="Comma 24 6 8" xfId="41380"/>
    <cellStyle name="Comma 24 7" xfId="3600"/>
    <cellStyle name="Comma 24 7 2" xfId="3601"/>
    <cellStyle name="Comma 24 7 2 2" xfId="8447"/>
    <cellStyle name="Comma 24 7 2 2 2" xfId="22554"/>
    <cellStyle name="Comma 24 7 2 2 3" xfId="17081"/>
    <cellStyle name="Comma 24 7 2 3" xfId="13285"/>
    <cellStyle name="Comma 24 7 2 4" xfId="18824"/>
    <cellStyle name="Comma 24 7 2 5" xfId="11695"/>
    <cellStyle name="Comma 24 7 3" xfId="7655"/>
    <cellStyle name="Comma 24 7 3 2" xfId="21762"/>
    <cellStyle name="Comma 24 7 3 3" xfId="16289"/>
    <cellStyle name="Comma 24 7 4" xfId="13284"/>
    <cellStyle name="Comma 24 7 5" xfId="18823"/>
    <cellStyle name="Comma 24 7 6" xfId="10902"/>
    <cellStyle name="Comma 24 8" xfId="3602"/>
    <cellStyle name="Comma 24 8 2" xfId="6277"/>
    <cellStyle name="Comma 24 8 2 2" xfId="8713"/>
    <cellStyle name="Comma 24 8 2 2 2" xfId="22814"/>
    <cellStyle name="Comma 24 8 2 2 3" xfId="17347"/>
    <cellStyle name="Comma 24 8 2 3" xfId="15106"/>
    <cellStyle name="Comma 24 8 2 4" xfId="20600"/>
    <cellStyle name="Comma 24 8 2 5" xfId="11957"/>
    <cellStyle name="Comma 24 8 3" xfId="7123"/>
    <cellStyle name="Comma 24 8 3 2" xfId="21230"/>
    <cellStyle name="Comma 24 8 3 3" xfId="15757"/>
    <cellStyle name="Comma 24 8 4" xfId="13286"/>
    <cellStyle name="Comma 24 8 5" xfId="18825"/>
    <cellStyle name="Comma 24 8 6" xfId="10370"/>
    <cellStyle name="Comma 24 9" xfId="3603"/>
    <cellStyle name="Comma 24 9 2" xfId="7915"/>
    <cellStyle name="Comma 24 9 2 2" xfId="22022"/>
    <cellStyle name="Comma 24 9 2 3" xfId="16549"/>
    <cellStyle name="Comma 24 9 3" xfId="13287"/>
    <cellStyle name="Comma 24 9 4" xfId="18826"/>
    <cellStyle name="Comma 24 9 5" xfId="11162"/>
    <cellStyle name="Comma 240" xfId="6715"/>
    <cellStyle name="Comma 241" xfId="6706"/>
    <cellStyle name="Comma 242" xfId="6754"/>
    <cellStyle name="Comma 243" xfId="6756"/>
    <cellStyle name="Comma 244" xfId="6751"/>
    <cellStyle name="Comma 244 2" xfId="9316"/>
    <cellStyle name="Comma 244 2 2" xfId="23390"/>
    <cellStyle name="Comma 244 2 3" xfId="17942"/>
    <cellStyle name="Comma 244 3" xfId="15436"/>
    <cellStyle name="Comma 244 4" xfId="20911"/>
    <cellStyle name="Comma 244 5" xfId="12538"/>
    <cellStyle name="Comma 245" xfId="9564"/>
    <cellStyle name="Comma 246" xfId="9669"/>
    <cellStyle name="Comma 247" xfId="9676"/>
    <cellStyle name="Comma 248" xfId="9769"/>
    <cellStyle name="Comma 249" xfId="9712"/>
    <cellStyle name="Comma 25" xfId="586"/>
    <cellStyle name="Comma 25 10" xfId="6850"/>
    <cellStyle name="Comma 25 10 2" xfId="20980"/>
    <cellStyle name="Comma 25 10 3" xfId="15506"/>
    <cellStyle name="Comma 25 11" xfId="10114"/>
    <cellStyle name="Comma 25 2" xfId="1334"/>
    <cellStyle name="Comma 25 3" xfId="1593"/>
    <cellStyle name="Comma 25 3 10" xfId="9937"/>
    <cellStyle name="Comma 25 3 10 2" xfId="18377"/>
    <cellStyle name="Comma 25 3 11" xfId="23741"/>
    <cellStyle name="Comma 25 3 12" xfId="10150"/>
    <cellStyle name="Comma 25 3 13" xfId="2140"/>
    <cellStyle name="Comma 25 3 2" xfId="3023"/>
    <cellStyle name="Comma 25 3 2 10" xfId="10328"/>
    <cellStyle name="Comma 25 3 2 2" xfId="3604"/>
    <cellStyle name="Comma 25 3 2 2 2" xfId="3605"/>
    <cellStyle name="Comma 25 3 2 2 2 2" xfId="8665"/>
    <cellStyle name="Comma 25 3 2 2 2 2 2" xfId="22772"/>
    <cellStyle name="Comma 25 3 2 2 2 2 3" xfId="17299"/>
    <cellStyle name="Comma 25 3 2 2 2 3" xfId="13289"/>
    <cellStyle name="Comma 25 3 2 2 2 4" xfId="18828"/>
    <cellStyle name="Comma 25 3 2 2 2 5" xfId="11913"/>
    <cellStyle name="Comma 25 3 2 2 3" xfId="7873"/>
    <cellStyle name="Comma 25 3 2 2 3 2" xfId="21980"/>
    <cellStyle name="Comma 25 3 2 2 3 3" xfId="16507"/>
    <cellStyle name="Comma 25 3 2 2 4" xfId="13288"/>
    <cellStyle name="Comma 25 3 2 2 5" xfId="18827"/>
    <cellStyle name="Comma 25 3 2 2 6" xfId="24232"/>
    <cellStyle name="Comma 25 3 2 2 7" xfId="11120"/>
    <cellStyle name="Comma 25 3 2 3" xfId="3606"/>
    <cellStyle name="Comma 25 3 2 3 2" xfId="6604"/>
    <cellStyle name="Comma 25 3 2 3 2 2" xfId="9203"/>
    <cellStyle name="Comma 25 3 2 3 2 2 2" xfId="23304"/>
    <cellStyle name="Comma 25 3 2 3 2 2 3" xfId="17837"/>
    <cellStyle name="Comma 25 3 2 3 2 3" xfId="15389"/>
    <cellStyle name="Comma 25 3 2 3 2 4" xfId="20882"/>
    <cellStyle name="Comma 25 3 2 3 2 5" xfId="12448"/>
    <cellStyle name="Comma 25 3 2 3 3" xfId="7613"/>
    <cellStyle name="Comma 25 3 2 3 3 2" xfId="21720"/>
    <cellStyle name="Comma 25 3 2 3 3 3" xfId="16247"/>
    <cellStyle name="Comma 25 3 2 3 4" xfId="13290"/>
    <cellStyle name="Comma 25 3 2 3 5" xfId="18829"/>
    <cellStyle name="Comma 25 3 2 3 6" xfId="10860"/>
    <cellStyle name="Comma 25 3 2 4" xfId="3607"/>
    <cellStyle name="Comma 25 3 2 4 2" xfId="8405"/>
    <cellStyle name="Comma 25 3 2 4 2 2" xfId="22512"/>
    <cellStyle name="Comma 25 3 2 4 2 3" xfId="17039"/>
    <cellStyle name="Comma 25 3 2 4 3" xfId="13291"/>
    <cellStyle name="Comma 25 3 2 4 4" xfId="18830"/>
    <cellStyle name="Comma 25 3 2 4 5" xfId="11653"/>
    <cellStyle name="Comma 25 3 2 5" xfId="3608"/>
    <cellStyle name="Comma 25 3 2 5 2" xfId="9496"/>
    <cellStyle name="Comma 25 3 2 5 2 2" xfId="23543"/>
    <cellStyle name="Comma 25 3 2 5 2 3" xfId="18097"/>
    <cellStyle name="Comma 25 3 2 5 3" xfId="13292"/>
    <cellStyle name="Comma 25 3 2 5 4" xfId="18831"/>
    <cellStyle name="Comma 25 3 2 5 5" xfId="12697"/>
    <cellStyle name="Comma 25 3 2 6" xfId="7079"/>
    <cellStyle name="Comma 25 3 2 6 2" xfId="21188"/>
    <cellStyle name="Comma 25 3 2 6 3" xfId="15715"/>
    <cellStyle name="Comma 25 3 2 7" xfId="9798"/>
    <cellStyle name="Comma 25 3 2 7 2" xfId="12899"/>
    <cellStyle name="Comma 25 3 2 8" xfId="10011"/>
    <cellStyle name="Comma 25 3 2 8 2" xfId="18450"/>
    <cellStyle name="Comma 25 3 2 9" xfId="24030"/>
    <cellStyle name="Comma 25 3 3" xfId="3609"/>
    <cellStyle name="Comma 25 3 3 2" xfId="3610"/>
    <cellStyle name="Comma 25 3 3 2 2" xfId="8229"/>
    <cellStyle name="Comma 25 3 3 2 2 2" xfId="22336"/>
    <cellStyle name="Comma 25 3 3 2 2 3" xfId="16863"/>
    <cellStyle name="Comma 25 3 3 2 3" xfId="13294"/>
    <cellStyle name="Comma 25 3 3 2 4" xfId="18833"/>
    <cellStyle name="Comma 25 3 3 2 5" xfId="11476"/>
    <cellStyle name="Comma 25 3 3 3" xfId="3611"/>
    <cellStyle name="Comma 25 3 3 3 2" xfId="9027"/>
    <cellStyle name="Comma 25 3 3 3 2 2" xfId="23128"/>
    <cellStyle name="Comma 25 3 3 3 2 3" xfId="17661"/>
    <cellStyle name="Comma 25 3 3 3 3" xfId="13295"/>
    <cellStyle name="Comma 25 3 3 3 4" xfId="18834"/>
    <cellStyle name="Comma 25 3 3 3 5" xfId="12271"/>
    <cellStyle name="Comma 25 3 3 4" xfId="7437"/>
    <cellStyle name="Comma 25 3 3 4 2" xfId="21544"/>
    <cellStyle name="Comma 25 3 3 4 3" xfId="16071"/>
    <cellStyle name="Comma 25 3 3 5" xfId="13293"/>
    <cellStyle name="Comma 25 3 3 6" xfId="18832"/>
    <cellStyle name="Comma 25 3 3 7" xfId="24159"/>
    <cellStyle name="Comma 25 3 3 8" xfId="10684"/>
    <cellStyle name="Comma 25 3 4" xfId="3612"/>
    <cellStyle name="Comma 25 3 4 2" xfId="3613"/>
    <cellStyle name="Comma 25 3 4 2 2" xfId="8489"/>
    <cellStyle name="Comma 25 3 4 2 2 2" xfId="22596"/>
    <cellStyle name="Comma 25 3 4 2 2 3" xfId="17123"/>
    <cellStyle name="Comma 25 3 4 2 3" xfId="13297"/>
    <cellStyle name="Comma 25 3 4 2 4" xfId="18836"/>
    <cellStyle name="Comma 25 3 4 2 5" xfId="11737"/>
    <cellStyle name="Comma 25 3 4 3" xfId="7697"/>
    <cellStyle name="Comma 25 3 4 3 2" xfId="21804"/>
    <cellStyle name="Comma 25 3 4 3 3" xfId="16331"/>
    <cellStyle name="Comma 25 3 4 4" xfId="13296"/>
    <cellStyle name="Comma 25 3 4 5" xfId="18835"/>
    <cellStyle name="Comma 25 3 4 6" xfId="10944"/>
    <cellStyle name="Comma 25 3 5" xfId="3614"/>
    <cellStyle name="Comma 25 3 5 2" xfId="6415"/>
    <cellStyle name="Comma 25 3 5 2 2" xfId="8851"/>
    <cellStyle name="Comma 25 3 5 2 2 2" xfId="22952"/>
    <cellStyle name="Comma 25 3 5 2 2 3" xfId="17485"/>
    <cellStyle name="Comma 25 3 5 2 3" xfId="15244"/>
    <cellStyle name="Comma 25 3 5 2 4" xfId="20738"/>
    <cellStyle name="Comma 25 3 5 2 5" xfId="12095"/>
    <cellStyle name="Comma 25 3 5 3" xfId="7261"/>
    <cellStyle name="Comma 25 3 5 3 2" xfId="21368"/>
    <cellStyle name="Comma 25 3 5 3 3" xfId="15895"/>
    <cellStyle name="Comma 25 3 5 4" xfId="13298"/>
    <cellStyle name="Comma 25 3 5 5" xfId="18837"/>
    <cellStyle name="Comma 25 3 5 6" xfId="10508"/>
    <cellStyle name="Comma 25 3 6" xfId="3615"/>
    <cellStyle name="Comma 25 3 6 2" xfId="8053"/>
    <cellStyle name="Comma 25 3 6 2 2" xfId="22160"/>
    <cellStyle name="Comma 25 3 6 2 3" xfId="16687"/>
    <cellStyle name="Comma 25 3 6 3" xfId="13299"/>
    <cellStyle name="Comma 25 3 6 4" xfId="18838"/>
    <cellStyle name="Comma 25 3 6 5" xfId="11300"/>
    <cellStyle name="Comma 25 3 7" xfId="3616"/>
    <cellStyle name="Comma 25 3 7 2" xfId="9402"/>
    <cellStyle name="Comma 25 3 7 2 2" xfId="23470"/>
    <cellStyle name="Comma 25 3 7 2 3" xfId="18022"/>
    <cellStyle name="Comma 25 3 7 3" xfId="13300"/>
    <cellStyle name="Comma 25 3 7 4" xfId="18839"/>
    <cellStyle name="Comma 25 3 7 5" xfId="12619"/>
    <cellStyle name="Comma 25 3 8" xfId="6899"/>
    <cellStyle name="Comma 25 3 8 2" xfId="21012"/>
    <cellStyle name="Comma 25 3 8 3" xfId="15539"/>
    <cellStyle name="Comma 25 3 9" xfId="9708"/>
    <cellStyle name="Comma 25 3 9 2" xfId="12826"/>
    <cellStyle name="Comma 25 4" xfId="814"/>
    <cellStyle name="Comma 25 4 10" xfId="23988"/>
    <cellStyle name="Comma 25 4 11" xfId="10200"/>
    <cellStyle name="Comma 25 4 12" xfId="2604"/>
    <cellStyle name="Comma 25 4 2" xfId="3617"/>
    <cellStyle name="Comma 25 4 2 2" xfId="3618"/>
    <cellStyle name="Comma 25 4 2 2 2" xfId="8277"/>
    <cellStyle name="Comma 25 4 2 2 2 2" xfId="22384"/>
    <cellStyle name="Comma 25 4 2 2 2 3" xfId="16911"/>
    <cellStyle name="Comma 25 4 2 2 3" xfId="13302"/>
    <cellStyle name="Comma 25 4 2 2 4" xfId="18841"/>
    <cellStyle name="Comma 25 4 2 2 5" xfId="11524"/>
    <cellStyle name="Comma 25 4 2 3" xfId="3619"/>
    <cellStyle name="Comma 25 4 2 3 2" xfId="9075"/>
    <cellStyle name="Comma 25 4 2 3 2 2" xfId="23176"/>
    <cellStyle name="Comma 25 4 2 3 2 3" xfId="17709"/>
    <cellStyle name="Comma 25 4 2 3 3" xfId="13303"/>
    <cellStyle name="Comma 25 4 2 3 4" xfId="18842"/>
    <cellStyle name="Comma 25 4 2 3 5" xfId="12320"/>
    <cellStyle name="Comma 25 4 2 4" xfId="7485"/>
    <cellStyle name="Comma 25 4 2 4 2" xfId="21592"/>
    <cellStyle name="Comma 25 4 2 4 3" xfId="16119"/>
    <cellStyle name="Comma 25 4 2 5" xfId="13301"/>
    <cellStyle name="Comma 25 4 2 6" xfId="18840"/>
    <cellStyle name="Comma 25 4 2 7" xfId="24192"/>
    <cellStyle name="Comma 25 4 2 8" xfId="10732"/>
    <cellStyle name="Comma 25 4 3" xfId="3620"/>
    <cellStyle name="Comma 25 4 3 2" xfId="3621"/>
    <cellStyle name="Comma 25 4 3 2 2" xfId="8537"/>
    <cellStyle name="Comma 25 4 3 2 2 2" xfId="22644"/>
    <cellStyle name="Comma 25 4 3 2 2 3" xfId="17171"/>
    <cellStyle name="Comma 25 4 3 2 3" xfId="13305"/>
    <cellStyle name="Comma 25 4 3 2 4" xfId="18844"/>
    <cellStyle name="Comma 25 4 3 2 5" xfId="11785"/>
    <cellStyle name="Comma 25 4 3 3" xfId="7745"/>
    <cellStyle name="Comma 25 4 3 3 2" xfId="21852"/>
    <cellStyle name="Comma 25 4 3 3 3" xfId="16379"/>
    <cellStyle name="Comma 25 4 3 4" xfId="13304"/>
    <cellStyle name="Comma 25 4 3 5" xfId="18843"/>
    <cellStyle name="Comma 25 4 3 6" xfId="10992"/>
    <cellStyle name="Comma 25 4 4" xfId="3622"/>
    <cellStyle name="Comma 25 4 4 2" xfId="6463"/>
    <cellStyle name="Comma 25 4 4 2 2" xfId="8899"/>
    <cellStyle name="Comma 25 4 4 2 2 2" xfId="23000"/>
    <cellStyle name="Comma 25 4 4 2 2 3" xfId="17533"/>
    <cellStyle name="Comma 25 4 4 2 3" xfId="15292"/>
    <cellStyle name="Comma 25 4 4 2 4" xfId="20786"/>
    <cellStyle name="Comma 25 4 4 2 5" xfId="12143"/>
    <cellStyle name="Comma 25 4 4 3" xfId="7309"/>
    <cellStyle name="Comma 25 4 4 3 2" xfId="21416"/>
    <cellStyle name="Comma 25 4 4 3 3" xfId="15943"/>
    <cellStyle name="Comma 25 4 4 4" xfId="13306"/>
    <cellStyle name="Comma 25 4 4 5" xfId="18845"/>
    <cellStyle name="Comma 25 4 4 6" xfId="10556"/>
    <cellStyle name="Comma 25 4 5" xfId="3623"/>
    <cellStyle name="Comma 25 4 5 2" xfId="8101"/>
    <cellStyle name="Comma 25 4 5 2 2" xfId="22208"/>
    <cellStyle name="Comma 25 4 5 2 3" xfId="16735"/>
    <cellStyle name="Comma 25 4 5 3" xfId="13307"/>
    <cellStyle name="Comma 25 4 5 4" xfId="18846"/>
    <cellStyle name="Comma 25 4 5 5" xfId="11348"/>
    <cellStyle name="Comma 25 4 6" xfId="3624"/>
    <cellStyle name="Comma 25 4 6 2" xfId="9436"/>
    <cellStyle name="Comma 25 4 6 2 2" xfId="23503"/>
    <cellStyle name="Comma 25 4 6 2 3" xfId="18055"/>
    <cellStyle name="Comma 25 4 6 3" xfId="13308"/>
    <cellStyle name="Comma 25 4 6 4" xfId="18847"/>
    <cellStyle name="Comma 25 4 6 5" xfId="12653"/>
    <cellStyle name="Comma 25 4 7" xfId="6950"/>
    <cellStyle name="Comma 25 4 7 2" xfId="21060"/>
    <cellStyle name="Comma 25 4 7 3" xfId="15587"/>
    <cellStyle name="Comma 25 4 8" xfId="9751"/>
    <cellStyle name="Comma 25 4 8 2" xfId="12859"/>
    <cellStyle name="Comma 25 4 9" xfId="9971"/>
    <cellStyle name="Comma 25 4 9 2" xfId="18410"/>
    <cellStyle name="Comma 25 5" xfId="3625"/>
    <cellStyle name="Comma 25 5 10" xfId="41381"/>
    <cellStyle name="Comma 25 5 2" xfId="3626"/>
    <cellStyle name="Comma 25 5 2 2" xfId="3627"/>
    <cellStyle name="Comma 25 5 2 2 2" xfId="8373"/>
    <cellStyle name="Comma 25 5 2 2 2 2" xfId="22480"/>
    <cellStyle name="Comma 25 5 2 2 2 3" xfId="17007"/>
    <cellStyle name="Comma 25 5 2 2 3" xfId="13311"/>
    <cellStyle name="Comma 25 5 2 2 4" xfId="18850"/>
    <cellStyle name="Comma 25 5 2 2 5" xfId="11621"/>
    <cellStyle name="Comma 25 5 2 3" xfId="3628"/>
    <cellStyle name="Comma 25 5 2 3 2" xfId="9171"/>
    <cellStyle name="Comma 25 5 2 3 2 2" xfId="23272"/>
    <cellStyle name="Comma 25 5 2 3 2 3" xfId="17805"/>
    <cellStyle name="Comma 25 5 2 3 3" xfId="13312"/>
    <cellStyle name="Comma 25 5 2 3 4" xfId="18851"/>
    <cellStyle name="Comma 25 5 2 3 5" xfId="12416"/>
    <cellStyle name="Comma 25 5 2 4" xfId="7581"/>
    <cellStyle name="Comma 25 5 2 4 2" xfId="21688"/>
    <cellStyle name="Comma 25 5 2 4 3" xfId="16215"/>
    <cellStyle name="Comma 25 5 2 5" xfId="13310"/>
    <cellStyle name="Comma 25 5 2 6" xfId="18849"/>
    <cellStyle name="Comma 25 5 2 7" xfId="10828"/>
    <cellStyle name="Comma 25 5 3" xfId="3629"/>
    <cellStyle name="Comma 25 5 3 2" xfId="3630"/>
    <cellStyle name="Comma 25 5 3 2 2" xfId="8633"/>
    <cellStyle name="Comma 25 5 3 2 2 2" xfId="22740"/>
    <cellStyle name="Comma 25 5 3 2 2 3" xfId="17267"/>
    <cellStyle name="Comma 25 5 3 2 3" xfId="13314"/>
    <cellStyle name="Comma 25 5 3 2 4" xfId="18853"/>
    <cellStyle name="Comma 25 5 3 2 5" xfId="11881"/>
    <cellStyle name="Comma 25 5 3 3" xfId="7841"/>
    <cellStyle name="Comma 25 5 3 3 2" xfId="21948"/>
    <cellStyle name="Comma 25 5 3 3 3" xfId="16475"/>
    <cellStyle name="Comma 25 5 3 4" xfId="13313"/>
    <cellStyle name="Comma 25 5 3 5" xfId="18852"/>
    <cellStyle name="Comma 25 5 3 6" xfId="11088"/>
    <cellStyle name="Comma 25 5 4" xfId="3631"/>
    <cellStyle name="Comma 25 5 4 2" xfId="6383"/>
    <cellStyle name="Comma 25 5 4 2 2" xfId="8819"/>
    <cellStyle name="Comma 25 5 4 2 2 2" xfId="22920"/>
    <cellStyle name="Comma 25 5 4 2 2 3" xfId="17453"/>
    <cellStyle name="Comma 25 5 4 2 3" xfId="15212"/>
    <cellStyle name="Comma 25 5 4 2 4" xfId="20706"/>
    <cellStyle name="Comma 25 5 4 2 5" xfId="12063"/>
    <cellStyle name="Comma 25 5 4 3" xfId="7229"/>
    <cellStyle name="Comma 25 5 4 3 2" xfId="21336"/>
    <cellStyle name="Comma 25 5 4 3 3" xfId="15863"/>
    <cellStyle name="Comma 25 5 4 4" xfId="13315"/>
    <cellStyle name="Comma 25 5 4 5" xfId="18854"/>
    <cellStyle name="Comma 25 5 4 6" xfId="10476"/>
    <cellStyle name="Comma 25 5 5" xfId="3632"/>
    <cellStyle name="Comma 25 5 5 2" xfId="8021"/>
    <cellStyle name="Comma 25 5 5 2 2" xfId="22128"/>
    <cellStyle name="Comma 25 5 5 2 3" xfId="16655"/>
    <cellStyle name="Comma 25 5 5 3" xfId="13316"/>
    <cellStyle name="Comma 25 5 5 4" xfId="18855"/>
    <cellStyle name="Comma 25 5 5 5" xfId="11268"/>
    <cellStyle name="Comma 25 5 6" xfId="7046"/>
    <cellStyle name="Comma 25 5 6 2" xfId="21156"/>
    <cellStyle name="Comma 25 5 6 3" xfId="15683"/>
    <cellStyle name="Comma 25 5 7" xfId="13309"/>
    <cellStyle name="Comma 25 5 8" xfId="18848"/>
    <cellStyle name="Comma 25 5 9" xfId="10296"/>
    <cellStyle name="Comma 25 6" xfId="3633"/>
    <cellStyle name="Comma 25 6 2" xfId="3634"/>
    <cellStyle name="Comma 25 6 2 2" xfId="8197"/>
    <cellStyle name="Comma 25 6 2 2 2" xfId="22304"/>
    <cellStyle name="Comma 25 6 2 2 3" xfId="16831"/>
    <cellStyle name="Comma 25 6 2 3" xfId="13318"/>
    <cellStyle name="Comma 25 6 2 4" xfId="18857"/>
    <cellStyle name="Comma 25 6 2 5" xfId="11444"/>
    <cellStyle name="Comma 25 6 3" xfId="3635"/>
    <cellStyle name="Comma 25 6 3 2" xfId="8995"/>
    <cellStyle name="Comma 25 6 3 2 2" xfId="23096"/>
    <cellStyle name="Comma 25 6 3 2 3" xfId="17629"/>
    <cellStyle name="Comma 25 6 3 3" xfId="13319"/>
    <cellStyle name="Comma 25 6 3 4" xfId="18858"/>
    <cellStyle name="Comma 25 6 3 5" xfId="12239"/>
    <cellStyle name="Comma 25 6 4" xfId="7405"/>
    <cellStyle name="Comma 25 6 4 2" xfId="21512"/>
    <cellStyle name="Comma 25 6 4 3" xfId="16039"/>
    <cellStyle name="Comma 25 6 5" xfId="13317"/>
    <cellStyle name="Comma 25 6 6" xfId="18856"/>
    <cellStyle name="Comma 25 6 7" xfId="10652"/>
    <cellStyle name="Comma 25 6 8" xfId="41382"/>
    <cellStyle name="Comma 25 7" xfId="3636"/>
    <cellStyle name="Comma 25 7 2" xfId="3637"/>
    <cellStyle name="Comma 25 7 2 2" xfId="8457"/>
    <cellStyle name="Comma 25 7 2 2 2" xfId="22564"/>
    <cellStyle name="Comma 25 7 2 2 3" xfId="17091"/>
    <cellStyle name="Comma 25 7 2 3" xfId="13321"/>
    <cellStyle name="Comma 25 7 2 4" xfId="18860"/>
    <cellStyle name="Comma 25 7 2 5" xfId="11705"/>
    <cellStyle name="Comma 25 7 3" xfId="7665"/>
    <cellStyle name="Comma 25 7 3 2" xfId="21772"/>
    <cellStyle name="Comma 25 7 3 3" xfId="16299"/>
    <cellStyle name="Comma 25 7 4" xfId="13320"/>
    <cellStyle name="Comma 25 7 5" xfId="18859"/>
    <cellStyle name="Comma 25 7 6" xfId="10912"/>
    <cellStyle name="Comma 25 8" xfId="3638"/>
    <cellStyle name="Comma 25 8 2" xfId="6287"/>
    <cellStyle name="Comma 25 8 2 2" xfId="8723"/>
    <cellStyle name="Comma 25 8 2 2 2" xfId="22824"/>
    <cellStyle name="Comma 25 8 2 2 3" xfId="17357"/>
    <cellStyle name="Comma 25 8 2 3" xfId="15116"/>
    <cellStyle name="Comma 25 8 2 4" xfId="20610"/>
    <cellStyle name="Comma 25 8 2 5" xfId="11967"/>
    <cellStyle name="Comma 25 8 3" xfId="7133"/>
    <cellStyle name="Comma 25 8 3 2" xfId="21240"/>
    <cellStyle name="Comma 25 8 3 3" xfId="15767"/>
    <cellStyle name="Comma 25 8 4" xfId="13322"/>
    <cellStyle name="Comma 25 8 5" xfId="18861"/>
    <cellStyle name="Comma 25 8 6" xfId="10380"/>
    <cellStyle name="Comma 25 9" xfId="3639"/>
    <cellStyle name="Comma 25 9 2" xfId="7925"/>
    <cellStyle name="Comma 25 9 2 2" xfId="22032"/>
    <cellStyle name="Comma 25 9 2 3" xfId="16559"/>
    <cellStyle name="Comma 25 9 3" xfId="13323"/>
    <cellStyle name="Comma 25 9 4" xfId="18862"/>
    <cellStyle name="Comma 25 9 5" xfId="11172"/>
    <cellStyle name="Comma 250" xfId="9612"/>
    <cellStyle name="Comma 251" xfId="9758"/>
    <cellStyle name="Comma 252" xfId="9850"/>
    <cellStyle name="Comma 253" xfId="1656"/>
    <cellStyle name="Comma 254" xfId="1748"/>
    <cellStyle name="Comma 255" xfId="24832"/>
    <cellStyle name="Comma 256" xfId="25523"/>
    <cellStyle name="Comma 257" xfId="26869"/>
    <cellStyle name="Comma 258" xfId="25302"/>
    <cellStyle name="Comma 259" xfId="26740"/>
    <cellStyle name="Comma 26" xfId="595"/>
    <cellStyle name="Comma 26 10" xfId="6837"/>
    <cellStyle name="Comma 26 10 2" xfId="20967"/>
    <cellStyle name="Comma 26 10 3" xfId="15493"/>
    <cellStyle name="Comma 26 11" xfId="10101"/>
    <cellStyle name="Comma 26 2" xfId="1335"/>
    <cellStyle name="Comma 26 3" xfId="1580"/>
    <cellStyle name="Comma 26 3 10" xfId="9924"/>
    <cellStyle name="Comma 26 3 10 2" xfId="18364"/>
    <cellStyle name="Comma 26 3 11" xfId="23728"/>
    <cellStyle name="Comma 26 3 12" xfId="10137"/>
    <cellStyle name="Comma 26 3 13" xfId="2127"/>
    <cellStyle name="Comma 26 3 2" xfId="3010"/>
    <cellStyle name="Comma 26 3 2 10" xfId="10315"/>
    <cellStyle name="Comma 26 3 2 2" xfId="3640"/>
    <cellStyle name="Comma 26 3 2 2 2" xfId="3641"/>
    <cellStyle name="Comma 26 3 2 2 2 2" xfId="8652"/>
    <cellStyle name="Comma 26 3 2 2 2 2 2" xfId="22759"/>
    <cellStyle name="Comma 26 3 2 2 2 2 3" xfId="17286"/>
    <cellStyle name="Comma 26 3 2 2 2 3" xfId="13325"/>
    <cellStyle name="Comma 26 3 2 2 2 4" xfId="18864"/>
    <cellStyle name="Comma 26 3 2 2 2 5" xfId="11900"/>
    <cellStyle name="Comma 26 3 2 2 3" xfId="7860"/>
    <cellStyle name="Comma 26 3 2 2 3 2" xfId="21967"/>
    <cellStyle name="Comma 26 3 2 2 3 3" xfId="16494"/>
    <cellStyle name="Comma 26 3 2 2 4" xfId="13324"/>
    <cellStyle name="Comma 26 3 2 2 5" xfId="18863"/>
    <cellStyle name="Comma 26 3 2 2 6" xfId="24219"/>
    <cellStyle name="Comma 26 3 2 2 7" xfId="11107"/>
    <cellStyle name="Comma 26 3 2 3" xfId="3642"/>
    <cellStyle name="Comma 26 3 2 3 2" xfId="6591"/>
    <cellStyle name="Comma 26 3 2 3 2 2" xfId="9190"/>
    <cellStyle name="Comma 26 3 2 3 2 2 2" xfId="23291"/>
    <cellStyle name="Comma 26 3 2 3 2 2 3" xfId="17824"/>
    <cellStyle name="Comma 26 3 2 3 2 3" xfId="15376"/>
    <cellStyle name="Comma 26 3 2 3 2 4" xfId="20869"/>
    <cellStyle name="Comma 26 3 2 3 2 5" xfId="12435"/>
    <cellStyle name="Comma 26 3 2 3 3" xfId="7600"/>
    <cellStyle name="Comma 26 3 2 3 3 2" xfId="21707"/>
    <cellStyle name="Comma 26 3 2 3 3 3" xfId="16234"/>
    <cellStyle name="Comma 26 3 2 3 4" xfId="13326"/>
    <cellStyle name="Comma 26 3 2 3 5" xfId="18865"/>
    <cellStyle name="Comma 26 3 2 3 6" xfId="10847"/>
    <cellStyle name="Comma 26 3 2 4" xfId="3643"/>
    <cellStyle name="Comma 26 3 2 4 2" xfId="8392"/>
    <cellStyle name="Comma 26 3 2 4 2 2" xfId="22499"/>
    <cellStyle name="Comma 26 3 2 4 2 3" xfId="17026"/>
    <cellStyle name="Comma 26 3 2 4 3" xfId="13327"/>
    <cellStyle name="Comma 26 3 2 4 4" xfId="18866"/>
    <cellStyle name="Comma 26 3 2 4 5" xfId="11640"/>
    <cellStyle name="Comma 26 3 2 5" xfId="3644"/>
    <cellStyle name="Comma 26 3 2 5 2" xfId="9483"/>
    <cellStyle name="Comma 26 3 2 5 2 2" xfId="23530"/>
    <cellStyle name="Comma 26 3 2 5 2 3" xfId="18084"/>
    <cellStyle name="Comma 26 3 2 5 3" xfId="13328"/>
    <cellStyle name="Comma 26 3 2 5 4" xfId="18867"/>
    <cellStyle name="Comma 26 3 2 5 5" xfId="12684"/>
    <cellStyle name="Comma 26 3 2 6" xfId="7066"/>
    <cellStyle name="Comma 26 3 2 6 2" xfId="21175"/>
    <cellStyle name="Comma 26 3 2 6 3" xfId="15702"/>
    <cellStyle name="Comma 26 3 2 7" xfId="9785"/>
    <cellStyle name="Comma 26 3 2 7 2" xfId="12886"/>
    <cellStyle name="Comma 26 3 2 8" xfId="9998"/>
    <cellStyle name="Comma 26 3 2 8 2" xfId="18437"/>
    <cellStyle name="Comma 26 3 2 9" xfId="24022"/>
    <cellStyle name="Comma 26 3 3" xfId="3645"/>
    <cellStyle name="Comma 26 3 3 2" xfId="3646"/>
    <cellStyle name="Comma 26 3 3 2 2" xfId="8216"/>
    <cellStyle name="Comma 26 3 3 2 2 2" xfId="22323"/>
    <cellStyle name="Comma 26 3 3 2 2 3" xfId="16850"/>
    <cellStyle name="Comma 26 3 3 2 3" xfId="13330"/>
    <cellStyle name="Comma 26 3 3 2 4" xfId="18869"/>
    <cellStyle name="Comma 26 3 3 2 5" xfId="11463"/>
    <cellStyle name="Comma 26 3 3 3" xfId="3647"/>
    <cellStyle name="Comma 26 3 3 3 2" xfId="9014"/>
    <cellStyle name="Comma 26 3 3 3 2 2" xfId="23115"/>
    <cellStyle name="Comma 26 3 3 3 2 3" xfId="17648"/>
    <cellStyle name="Comma 26 3 3 3 3" xfId="13331"/>
    <cellStyle name="Comma 26 3 3 3 4" xfId="18870"/>
    <cellStyle name="Comma 26 3 3 3 5" xfId="12258"/>
    <cellStyle name="Comma 26 3 3 4" xfId="7424"/>
    <cellStyle name="Comma 26 3 3 4 2" xfId="21531"/>
    <cellStyle name="Comma 26 3 3 4 3" xfId="16058"/>
    <cellStyle name="Comma 26 3 3 5" xfId="13329"/>
    <cellStyle name="Comma 26 3 3 6" xfId="18868"/>
    <cellStyle name="Comma 26 3 3 7" xfId="24146"/>
    <cellStyle name="Comma 26 3 3 8" xfId="10671"/>
    <cellStyle name="Comma 26 3 4" xfId="3648"/>
    <cellStyle name="Comma 26 3 4 2" xfId="3649"/>
    <cellStyle name="Comma 26 3 4 2 2" xfId="8476"/>
    <cellStyle name="Comma 26 3 4 2 2 2" xfId="22583"/>
    <cellStyle name="Comma 26 3 4 2 2 3" xfId="17110"/>
    <cellStyle name="Comma 26 3 4 2 3" xfId="13333"/>
    <cellStyle name="Comma 26 3 4 2 4" xfId="18872"/>
    <cellStyle name="Comma 26 3 4 2 5" xfId="11724"/>
    <cellStyle name="Comma 26 3 4 3" xfId="7684"/>
    <cellStyle name="Comma 26 3 4 3 2" xfId="21791"/>
    <cellStyle name="Comma 26 3 4 3 3" xfId="16318"/>
    <cellStyle name="Comma 26 3 4 4" xfId="13332"/>
    <cellStyle name="Comma 26 3 4 5" xfId="18871"/>
    <cellStyle name="Comma 26 3 4 6" xfId="10931"/>
    <cellStyle name="Comma 26 3 5" xfId="3650"/>
    <cellStyle name="Comma 26 3 5 2" xfId="6402"/>
    <cellStyle name="Comma 26 3 5 2 2" xfId="8838"/>
    <cellStyle name="Comma 26 3 5 2 2 2" xfId="22939"/>
    <cellStyle name="Comma 26 3 5 2 2 3" xfId="17472"/>
    <cellStyle name="Comma 26 3 5 2 3" xfId="15231"/>
    <cellStyle name="Comma 26 3 5 2 4" xfId="20725"/>
    <cellStyle name="Comma 26 3 5 2 5" xfId="12082"/>
    <cellStyle name="Comma 26 3 5 3" xfId="7248"/>
    <cellStyle name="Comma 26 3 5 3 2" xfId="21355"/>
    <cellStyle name="Comma 26 3 5 3 3" xfId="15882"/>
    <cellStyle name="Comma 26 3 5 4" xfId="13334"/>
    <cellStyle name="Comma 26 3 5 5" xfId="18873"/>
    <cellStyle name="Comma 26 3 5 6" xfId="10495"/>
    <cellStyle name="Comma 26 3 6" xfId="3651"/>
    <cellStyle name="Comma 26 3 6 2" xfId="8040"/>
    <cellStyle name="Comma 26 3 6 2 2" xfId="22147"/>
    <cellStyle name="Comma 26 3 6 2 3" xfId="16674"/>
    <cellStyle name="Comma 26 3 6 3" xfId="13335"/>
    <cellStyle name="Comma 26 3 6 4" xfId="18874"/>
    <cellStyle name="Comma 26 3 6 5" xfId="11287"/>
    <cellStyle name="Comma 26 3 7" xfId="3652"/>
    <cellStyle name="Comma 26 3 7 2" xfId="9389"/>
    <cellStyle name="Comma 26 3 7 2 2" xfId="23457"/>
    <cellStyle name="Comma 26 3 7 2 3" xfId="18009"/>
    <cellStyle name="Comma 26 3 7 3" xfId="13336"/>
    <cellStyle name="Comma 26 3 7 4" xfId="18875"/>
    <cellStyle name="Comma 26 3 7 5" xfId="12606"/>
    <cellStyle name="Comma 26 3 8" xfId="6886"/>
    <cellStyle name="Comma 26 3 8 2" xfId="20999"/>
    <cellStyle name="Comma 26 3 8 3" xfId="15526"/>
    <cellStyle name="Comma 26 3 9" xfId="9695"/>
    <cellStyle name="Comma 26 3 9 2" xfId="12813"/>
    <cellStyle name="Comma 26 4" xfId="774"/>
    <cellStyle name="Comma 26 4 10" xfId="23975"/>
    <cellStyle name="Comma 26 4 11" xfId="10187"/>
    <cellStyle name="Comma 26 4 12" xfId="2591"/>
    <cellStyle name="Comma 26 4 2" xfId="3653"/>
    <cellStyle name="Comma 26 4 2 2" xfId="3654"/>
    <cellStyle name="Comma 26 4 2 2 2" xfId="8264"/>
    <cellStyle name="Comma 26 4 2 2 2 2" xfId="22371"/>
    <cellStyle name="Comma 26 4 2 2 2 3" xfId="16898"/>
    <cellStyle name="Comma 26 4 2 2 3" xfId="13338"/>
    <cellStyle name="Comma 26 4 2 2 4" xfId="18877"/>
    <cellStyle name="Comma 26 4 2 2 5" xfId="11511"/>
    <cellStyle name="Comma 26 4 2 3" xfId="3655"/>
    <cellStyle name="Comma 26 4 2 3 2" xfId="9062"/>
    <cellStyle name="Comma 26 4 2 3 2 2" xfId="23163"/>
    <cellStyle name="Comma 26 4 2 3 2 3" xfId="17696"/>
    <cellStyle name="Comma 26 4 2 3 3" xfId="13339"/>
    <cellStyle name="Comma 26 4 2 3 4" xfId="18878"/>
    <cellStyle name="Comma 26 4 2 3 5" xfId="12307"/>
    <cellStyle name="Comma 26 4 2 4" xfId="7472"/>
    <cellStyle name="Comma 26 4 2 4 2" xfId="21579"/>
    <cellStyle name="Comma 26 4 2 4 3" xfId="16106"/>
    <cellStyle name="Comma 26 4 2 5" xfId="13337"/>
    <cellStyle name="Comma 26 4 2 6" xfId="18876"/>
    <cellStyle name="Comma 26 4 2 7" xfId="24179"/>
    <cellStyle name="Comma 26 4 2 8" xfId="10719"/>
    <cellStyle name="Comma 26 4 3" xfId="3656"/>
    <cellStyle name="Comma 26 4 3 2" xfId="3657"/>
    <cellStyle name="Comma 26 4 3 2 2" xfId="8524"/>
    <cellStyle name="Comma 26 4 3 2 2 2" xfId="22631"/>
    <cellStyle name="Comma 26 4 3 2 2 3" xfId="17158"/>
    <cellStyle name="Comma 26 4 3 2 3" xfId="13341"/>
    <cellStyle name="Comma 26 4 3 2 4" xfId="18880"/>
    <cellStyle name="Comma 26 4 3 2 5" xfId="11772"/>
    <cellStyle name="Comma 26 4 3 3" xfId="7732"/>
    <cellStyle name="Comma 26 4 3 3 2" xfId="21839"/>
    <cellStyle name="Comma 26 4 3 3 3" xfId="16366"/>
    <cellStyle name="Comma 26 4 3 4" xfId="13340"/>
    <cellStyle name="Comma 26 4 3 5" xfId="18879"/>
    <cellStyle name="Comma 26 4 3 6" xfId="10979"/>
    <cellStyle name="Comma 26 4 4" xfId="3658"/>
    <cellStyle name="Comma 26 4 4 2" xfId="6450"/>
    <cellStyle name="Comma 26 4 4 2 2" xfId="8886"/>
    <cellStyle name="Comma 26 4 4 2 2 2" xfId="22987"/>
    <cellStyle name="Comma 26 4 4 2 2 3" xfId="17520"/>
    <cellStyle name="Comma 26 4 4 2 3" xfId="15279"/>
    <cellStyle name="Comma 26 4 4 2 4" xfId="20773"/>
    <cellStyle name="Comma 26 4 4 2 5" xfId="12130"/>
    <cellStyle name="Comma 26 4 4 3" xfId="7296"/>
    <cellStyle name="Comma 26 4 4 3 2" xfId="21403"/>
    <cellStyle name="Comma 26 4 4 3 3" xfId="15930"/>
    <cellStyle name="Comma 26 4 4 4" xfId="13342"/>
    <cellStyle name="Comma 26 4 4 5" xfId="18881"/>
    <cellStyle name="Comma 26 4 4 6" xfId="10543"/>
    <cellStyle name="Comma 26 4 5" xfId="3659"/>
    <cellStyle name="Comma 26 4 5 2" xfId="8088"/>
    <cellStyle name="Comma 26 4 5 2 2" xfId="22195"/>
    <cellStyle name="Comma 26 4 5 2 3" xfId="16722"/>
    <cellStyle name="Comma 26 4 5 3" xfId="13343"/>
    <cellStyle name="Comma 26 4 5 4" xfId="18882"/>
    <cellStyle name="Comma 26 4 5 5" xfId="11335"/>
    <cellStyle name="Comma 26 4 6" xfId="3660"/>
    <cellStyle name="Comma 26 4 6 2" xfId="9423"/>
    <cellStyle name="Comma 26 4 6 2 2" xfId="23490"/>
    <cellStyle name="Comma 26 4 6 2 3" xfId="18042"/>
    <cellStyle name="Comma 26 4 6 3" xfId="13344"/>
    <cellStyle name="Comma 26 4 6 4" xfId="18883"/>
    <cellStyle name="Comma 26 4 6 5" xfId="12640"/>
    <cellStyle name="Comma 26 4 7" xfId="6937"/>
    <cellStyle name="Comma 26 4 7 2" xfId="21047"/>
    <cellStyle name="Comma 26 4 7 3" xfId="15574"/>
    <cellStyle name="Comma 26 4 8" xfId="9738"/>
    <cellStyle name="Comma 26 4 8 2" xfId="12846"/>
    <cellStyle name="Comma 26 4 9" xfId="9958"/>
    <cellStyle name="Comma 26 4 9 2" xfId="18397"/>
    <cellStyle name="Comma 26 5" xfId="3661"/>
    <cellStyle name="Comma 26 5 10" xfId="41383"/>
    <cellStyle name="Comma 26 5 2" xfId="3662"/>
    <cellStyle name="Comma 26 5 2 2" xfId="3663"/>
    <cellStyle name="Comma 26 5 2 2 2" xfId="8360"/>
    <cellStyle name="Comma 26 5 2 2 2 2" xfId="22467"/>
    <cellStyle name="Comma 26 5 2 2 2 3" xfId="16994"/>
    <cellStyle name="Comma 26 5 2 2 3" xfId="13347"/>
    <cellStyle name="Comma 26 5 2 2 4" xfId="18886"/>
    <cellStyle name="Comma 26 5 2 2 5" xfId="11608"/>
    <cellStyle name="Comma 26 5 2 3" xfId="3664"/>
    <cellStyle name="Comma 26 5 2 3 2" xfId="9158"/>
    <cellStyle name="Comma 26 5 2 3 2 2" xfId="23259"/>
    <cellStyle name="Comma 26 5 2 3 2 3" xfId="17792"/>
    <cellStyle name="Comma 26 5 2 3 3" xfId="13348"/>
    <cellStyle name="Comma 26 5 2 3 4" xfId="18887"/>
    <cellStyle name="Comma 26 5 2 3 5" xfId="12403"/>
    <cellStyle name="Comma 26 5 2 4" xfId="7568"/>
    <cellStyle name="Comma 26 5 2 4 2" xfId="21675"/>
    <cellStyle name="Comma 26 5 2 4 3" xfId="16202"/>
    <cellStyle name="Comma 26 5 2 5" xfId="13346"/>
    <cellStyle name="Comma 26 5 2 6" xfId="18885"/>
    <cellStyle name="Comma 26 5 2 7" xfId="10815"/>
    <cellStyle name="Comma 26 5 3" xfId="3665"/>
    <cellStyle name="Comma 26 5 3 2" xfId="3666"/>
    <cellStyle name="Comma 26 5 3 2 2" xfId="8620"/>
    <cellStyle name="Comma 26 5 3 2 2 2" xfId="22727"/>
    <cellStyle name="Comma 26 5 3 2 2 3" xfId="17254"/>
    <cellStyle name="Comma 26 5 3 2 3" xfId="13350"/>
    <cellStyle name="Comma 26 5 3 2 4" xfId="18889"/>
    <cellStyle name="Comma 26 5 3 2 5" xfId="11868"/>
    <cellStyle name="Comma 26 5 3 3" xfId="7828"/>
    <cellStyle name="Comma 26 5 3 3 2" xfId="21935"/>
    <cellStyle name="Comma 26 5 3 3 3" xfId="16462"/>
    <cellStyle name="Comma 26 5 3 4" xfId="13349"/>
    <cellStyle name="Comma 26 5 3 5" xfId="18888"/>
    <cellStyle name="Comma 26 5 3 6" xfId="11075"/>
    <cellStyle name="Comma 26 5 4" xfId="3667"/>
    <cellStyle name="Comma 26 5 4 2" xfId="6370"/>
    <cellStyle name="Comma 26 5 4 2 2" xfId="8806"/>
    <cellStyle name="Comma 26 5 4 2 2 2" xfId="22907"/>
    <cellStyle name="Comma 26 5 4 2 2 3" xfId="17440"/>
    <cellStyle name="Comma 26 5 4 2 3" xfId="15199"/>
    <cellStyle name="Comma 26 5 4 2 4" xfId="20693"/>
    <cellStyle name="Comma 26 5 4 2 5" xfId="12050"/>
    <cellStyle name="Comma 26 5 4 3" xfId="7216"/>
    <cellStyle name="Comma 26 5 4 3 2" xfId="21323"/>
    <cellStyle name="Comma 26 5 4 3 3" xfId="15850"/>
    <cellStyle name="Comma 26 5 4 4" xfId="13351"/>
    <cellStyle name="Comma 26 5 4 5" xfId="18890"/>
    <cellStyle name="Comma 26 5 4 6" xfId="10463"/>
    <cellStyle name="Comma 26 5 5" xfId="3668"/>
    <cellStyle name="Comma 26 5 5 2" xfId="8008"/>
    <cellStyle name="Comma 26 5 5 2 2" xfId="22115"/>
    <cellStyle name="Comma 26 5 5 2 3" xfId="16642"/>
    <cellStyle name="Comma 26 5 5 3" xfId="13352"/>
    <cellStyle name="Comma 26 5 5 4" xfId="18891"/>
    <cellStyle name="Comma 26 5 5 5" xfId="11255"/>
    <cellStyle name="Comma 26 5 6" xfId="7033"/>
    <cellStyle name="Comma 26 5 6 2" xfId="21143"/>
    <cellStyle name="Comma 26 5 6 3" xfId="15670"/>
    <cellStyle name="Comma 26 5 7" xfId="13345"/>
    <cellStyle name="Comma 26 5 8" xfId="18884"/>
    <cellStyle name="Comma 26 5 9" xfId="10283"/>
    <cellStyle name="Comma 26 6" xfId="3669"/>
    <cellStyle name="Comma 26 6 2" xfId="3670"/>
    <cellStyle name="Comma 26 6 2 2" xfId="8184"/>
    <cellStyle name="Comma 26 6 2 2 2" xfId="22291"/>
    <cellStyle name="Comma 26 6 2 2 3" xfId="16818"/>
    <cellStyle name="Comma 26 6 2 3" xfId="13354"/>
    <cellStyle name="Comma 26 6 2 4" xfId="18893"/>
    <cellStyle name="Comma 26 6 2 5" xfId="11431"/>
    <cellStyle name="Comma 26 6 3" xfId="3671"/>
    <cellStyle name="Comma 26 6 3 2" xfId="8982"/>
    <cellStyle name="Comma 26 6 3 2 2" xfId="23083"/>
    <cellStyle name="Comma 26 6 3 2 3" xfId="17616"/>
    <cellStyle name="Comma 26 6 3 3" xfId="13355"/>
    <cellStyle name="Comma 26 6 3 4" xfId="18894"/>
    <cellStyle name="Comma 26 6 3 5" xfId="12226"/>
    <cellStyle name="Comma 26 6 4" xfId="7392"/>
    <cellStyle name="Comma 26 6 4 2" xfId="21499"/>
    <cellStyle name="Comma 26 6 4 3" xfId="16026"/>
    <cellStyle name="Comma 26 6 5" xfId="13353"/>
    <cellStyle name="Comma 26 6 6" xfId="18892"/>
    <cellStyle name="Comma 26 6 7" xfId="10639"/>
    <cellStyle name="Comma 26 6 8" xfId="41384"/>
    <cellStyle name="Comma 26 7" xfId="3672"/>
    <cellStyle name="Comma 26 7 2" xfId="3673"/>
    <cellStyle name="Comma 26 7 2 2" xfId="8444"/>
    <cellStyle name="Comma 26 7 2 2 2" xfId="22551"/>
    <cellStyle name="Comma 26 7 2 2 3" xfId="17078"/>
    <cellStyle name="Comma 26 7 2 3" xfId="13357"/>
    <cellStyle name="Comma 26 7 2 4" xfId="18896"/>
    <cellStyle name="Comma 26 7 2 5" xfId="11692"/>
    <cellStyle name="Comma 26 7 3" xfId="7652"/>
    <cellStyle name="Comma 26 7 3 2" xfId="21759"/>
    <cellStyle name="Comma 26 7 3 3" xfId="16286"/>
    <cellStyle name="Comma 26 7 4" xfId="13356"/>
    <cellStyle name="Comma 26 7 5" xfId="18895"/>
    <cellStyle name="Comma 26 7 6" xfId="10899"/>
    <cellStyle name="Comma 26 8" xfId="3674"/>
    <cellStyle name="Comma 26 8 2" xfId="6274"/>
    <cellStyle name="Comma 26 8 2 2" xfId="8710"/>
    <cellStyle name="Comma 26 8 2 2 2" xfId="22811"/>
    <cellStyle name="Comma 26 8 2 2 3" xfId="17344"/>
    <cellStyle name="Comma 26 8 2 3" xfId="15103"/>
    <cellStyle name="Comma 26 8 2 4" xfId="20597"/>
    <cellStyle name="Comma 26 8 2 5" xfId="11954"/>
    <cellStyle name="Comma 26 8 3" xfId="7120"/>
    <cellStyle name="Comma 26 8 3 2" xfId="21227"/>
    <cellStyle name="Comma 26 8 3 3" xfId="15754"/>
    <cellStyle name="Comma 26 8 4" xfId="13358"/>
    <cellStyle name="Comma 26 8 5" xfId="18897"/>
    <cellStyle name="Comma 26 8 6" xfId="10367"/>
    <cellStyle name="Comma 26 9" xfId="3675"/>
    <cellStyle name="Comma 26 9 2" xfId="7912"/>
    <cellStyle name="Comma 26 9 2 2" xfId="22019"/>
    <cellStyle name="Comma 26 9 2 3" xfId="16546"/>
    <cellStyle name="Comma 26 9 3" xfId="13359"/>
    <cellStyle name="Comma 26 9 4" xfId="18898"/>
    <cellStyle name="Comma 26 9 5" xfId="11159"/>
    <cellStyle name="Comma 260" xfId="25129"/>
    <cellStyle name="Comma 261" xfId="27998"/>
    <cellStyle name="Comma 262" xfId="26414"/>
    <cellStyle name="Comma 263" xfId="199"/>
    <cellStyle name="Comma 264" xfId="41215"/>
    <cellStyle name="Comma 265" xfId="42462"/>
    <cellStyle name="Comma 266" xfId="43259"/>
    <cellStyle name="Comma 267" xfId="43262"/>
    <cellStyle name="Comma 268" xfId="43264"/>
    <cellStyle name="Comma 269" xfId="43430"/>
    <cellStyle name="Comma 27" xfId="588"/>
    <cellStyle name="Comma 27 10" xfId="6848"/>
    <cellStyle name="Comma 27 10 2" xfId="20978"/>
    <cellStyle name="Comma 27 10 3" xfId="15504"/>
    <cellStyle name="Comma 27 11" xfId="10112"/>
    <cellStyle name="Comma 27 2" xfId="1336"/>
    <cellStyle name="Comma 27 3" xfId="1591"/>
    <cellStyle name="Comma 27 3 10" xfId="9935"/>
    <cellStyle name="Comma 27 3 10 2" xfId="18375"/>
    <cellStyle name="Comma 27 3 11" xfId="23739"/>
    <cellStyle name="Comma 27 3 12" xfId="10148"/>
    <cellStyle name="Comma 27 3 13" xfId="2138"/>
    <cellStyle name="Comma 27 3 2" xfId="3021"/>
    <cellStyle name="Comma 27 3 2 10" xfId="10326"/>
    <cellStyle name="Comma 27 3 2 2" xfId="3676"/>
    <cellStyle name="Comma 27 3 2 2 2" xfId="3677"/>
    <cellStyle name="Comma 27 3 2 2 2 2" xfId="8663"/>
    <cellStyle name="Comma 27 3 2 2 2 2 2" xfId="22770"/>
    <cellStyle name="Comma 27 3 2 2 2 2 3" xfId="17297"/>
    <cellStyle name="Comma 27 3 2 2 2 3" xfId="13361"/>
    <cellStyle name="Comma 27 3 2 2 2 4" xfId="18900"/>
    <cellStyle name="Comma 27 3 2 2 2 5" xfId="11911"/>
    <cellStyle name="Comma 27 3 2 2 3" xfId="7871"/>
    <cellStyle name="Comma 27 3 2 2 3 2" xfId="21978"/>
    <cellStyle name="Comma 27 3 2 2 3 3" xfId="16505"/>
    <cellStyle name="Comma 27 3 2 2 4" xfId="13360"/>
    <cellStyle name="Comma 27 3 2 2 5" xfId="18899"/>
    <cellStyle name="Comma 27 3 2 2 6" xfId="24230"/>
    <cellStyle name="Comma 27 3 2 2 7" xfId="11118"/>
    <cellStyle name="Comma 27 3 2 3" xfId="3678"/>
    <cellStyle name="Comma 27 3 2 3 2" xfId="6602"/>
    <cellStyle name="Comma 27 3 2 3 2 2" xfId="9201"/>
    <cellStyle name="Comma 27 3 2 3 2 2 2" xfId="23302"/>
    <cellStyle name="Comma 27 3 2 3 2 2 3" xfId="17835"/>
    <cellStyle name="Comma 27 3 2 3 2 3" xfId="15387"/>
    <cellStyle name="Comma 27 3 2 3 2 4" xfId="20880"/>
    <cellStyle name="Comma 27 3 2 3 2 5" xfId="12446"/>
    <cellStyle name="Comma 27 3 2 3 3" xfId="7611"/>
    <cellStyle name="Comma 27 3 2 3 3 2" xfId="21718"/>
    <cellStyle name="Comma 27 3 2 3 3 3" xfId="16245"/>
    <cellStyle name="Comma 27 3 2 3 4" xfId="13362"/>
    <cellStyle name="Comma 27 3 2 3 5" xfId="18901"/>
    <cellStyle name="Comma 27 3 2 3 6" xfId="10858"/>
    <cellStyle name="Comma 27 3 2 4" xfId="3679"/>
    <cellStyle name="Comma 27 3 2 4 2" xfId="8403"/>
    <cellStyle name="Comma 27 3 2 4 2 2" xfId="22510"/>
    <cellStyle name="Comma 27 3 2 4 2 3" xfId="17037"/>
    <cellStyle name="Comma 27 3 2 4 3" xfId="13363"/>
    <cellStyle name="Comma 27 3 2 4 4" xfId="18902"/>
    <cellStyle name="Comma 27 3 2 4 5" xfId="11651"/>
    <cellStyle name="Comma 27 3 2 5" xfId="3680"/>
    <cellStyle name="Comma 27 3 2 5 2" xfId="9494"/>
    <cellStyle name="Comma 27 3 2 5 2 2" xfId="23541"/>
    <cellStyle name="Comma 27 3 2 5 2 3" xfId="18095"/>
    <cellStyle name="Comma 27 3 2 5 3" xfId="13364"/>
    <cellStyle name="Comma 27 3 2 5 4" xfId="18903"/>
    <cellStyle name="Comma 27 3 2 5 5" xfId="12695"/>
    <cellStyle name="Comma 27 3 2 6" xfId="7077"/>
    <cellStyle name="Comma 27 3 2 6 2" xfId="21186"/>
    <cellStyle name="Comma 27 3 2 6 3" xfId="15713"/>
    <cellStyle name="Comma 27 3 2 7" xfId="9796"/>
    <cellStyle name="Comma 27 3 2 7 2" xfId="12897"/>
    <cellStyle name="Comma 27 3 2 8" xfId="10009"/>
    <cellStyle name="Comma 27 3 2 8 2" xfId="18448"/>
    <cellStyle name="Comma 27 3 2 9" xfId="24029"/>
    <cellStyle name="Comma 27 3 3" xfId="3681"/>
    <cellStyle name="Comma 27 3 3 2" xfId="3682"/>
    <cellStyle name="Comma 27 3 3 2 2" xfId="8227"/>
    <cellStyle name="Comma 27 3 3 2 2 2" xfId="22334"/>
    <cellStyle name="Comma 27 3 3 2 2 3" xfId="16861"/>
    <cellStyle name="Comma 27 3 3 2 3" xfId="13366"/>
    <cellStyle name="Comma 27 3 3 2 4" xfId="18905"/>
    <cellStyle name="Comma 27 3 3 2 5" xfId="11474"/>
    <cellStyle name="Comma 27 3 3 3" xfId="3683"/>
    <cellStyle name="Comma 27 3 3 3 2" xfId="9025"/>
    <cellStyle name="Comma 27 3 3 3 2 2" xfId="23126"/>
    <cellStyle name="Comma 27 3 3 3 2 3" xfId="17659"/>
    <cellStyle name="Comma 27 3 3 3 3" xfId="13367"/>
    <cellStyle name="Comma 27 3 3 3 4" xfId="18906"/>
    <cellStyle name="Comma 27 3 3 3 5" xfId="12269"/>
    <cellStyle name="Comma 27 3 3 4" xfId="7435"/>
    <cellStyle name="Comma 27 3 3 4 2" xfId="21542"/>
    <cellStyle name="Comma 27 3 3 4 3" xfId="16069"/>
    <cellStyle name="Comma 27 3 3 5" xfId="13365"/>
    <cellStyle name="Comma 27 3 3 6" xfId="18904"/>
    <cellStyle name="Comma 27 3 3 7" xfId="24157"/>
    <cellStyle name="Comma 27 3 3 8" xfId="10682"/>
    <cellStyle name="Comma 27 3 4" xfId="3684"/>
    <cellStyle name="Comma 27 3 4 2" xfId="3685"/>
    <cellStyle name="Comma 27 3 4 2 2" xfId="8487"/>
    <cellStyle name="Comma 27 3 4 2 2 2" xfId="22594"/>
    <cellStyle name="Comma 27 3 4 2 2 3" xfId="17121"/>
    <cellStyle name="Comma 27 3 4 2 3" xfId="13369"/>
    <cellStyle name="Comma 27 3 4 2 4" xfId="18908"/>
    <cellStyle name="Comma 27 3 4 2 5" xfId="11735"/>
    <cellStyle name="Comma 27 3 4 3" xfId="7695"/>
    <cellStyle name="Comma 27 3 4 3 2" xfId="21802"/>
    <cellStyle name="Comma 27 3 4 3 3" xfId="16329"/>
    <cellStyle name="Comma 27 3 4 4" xfId="13368"/>
    <cellStyle name="Comma 27 3 4 5" xfId="18907"/>
    <cellStyle name="Comma 27 3 4 6" xfId="10942"/>
    <cellStyle name="Comma 27 3 5" xfId="3686"/>
    <cellStyle name="Comma 27 3 5 2" xfId="6413"/>
    <cellStyle name="Comma 27 3 5 2 2" xfId="8849"/>
    <cellStyle name="Comma 27 3 5 2 2 2" xfId="22950"/>
    <cellStyle name="Comma 27 3 5 2 2 3" xfId="17483"/>
    <cellStyle name="Comma 27 3 5 2 3" xfId="15242"/>
    <cellStyle name="Comma 27 3 5 2 4" xfId="20736"/>
    <cellStyle name="Comma 27 3 5 2 5" xfId="12093"/>
    <cellStyle name="Comma 27 3 5 3" xfId="7259"/>
    <cellStyle name="Comma 27 3 5 3 2" xfId="21366"/>
    <cellStyle name="Comma 27 3 5 3 3" xfId="15893"/>
    <cellStyle name="Comma 27 3 5 4" xfId="13370"/>
    <cellStyle name="Comma 27 3 5 5" xfId="18909"/>
    <cellStyle name="Comma 27 3 5 6" xfId="10506"/>
    <cellStyle name="Comma 27 3 6" xfId="3687"/>
    <cellStyle name="Comma 27 3 6 2" xfId="8051"/>
    <cellStyle name="Comma 27 3 6 2 2" xfId="22158"/>
    <cellStyle name="Comma 27 3 6 2 3" xfId="16685"/>
    <cellStyle name="Comma 27 3 6 3" xfId="13371"/>
    <cellStyle name="Comma 27 3 6 4" xfId="18910"/>
    <cellStyle name="Comma 27 3 6 5" xfId="11298"/>
    <cellStyle name="Comma 27 3 7" xfId="3688"/>
    <cellStyle name="Comma 27 3 7 2" xfId="9400"/>
    <cellStyle name="Comma 27 3 7 2 2" xfId="23468"/>
    <cellStyle name="Comma 27 3 7 2 3" xfId="18020"/>
    <cellStyle name="Comma 27 3 7 3" xfId="13372"/>
    <cellStyle name="Comma 27 3 7 4" xfId="18911"/>
    <cellStyle name="Comma 27 3 7 5" xfId="12617"/>
    <cellStyle name="Comma 27 3 8" xfId="6897"/>
    <cellStyle name="Comma 27 3 8 2" xfId="21010"/>
    <cellStyle name="Comma 27 3 8 3" xfId="15537"/>
    <cellStyle name="Comma 27 3 9" xfId="9706"/>
    <cellStyle name="Comma 27 3 9 2" xfId="12824"/>
    <cellStyle name="Comma 27 4" xfId="817"/>
    <cellStyle name="Comma 27 4 10" xfId="23986"/>
    <cellStyle name="Comma 27 4 11" xfId="10198"/>
    <cellStyle name="Comma 27 4 12" xfId="2602"/>
    <cellStyle name="Comma 27 4 2" xfId="3689"/>
    <cellStyle name="Comma 27 4 2 2" xfId="3690"/>
    <cellStyle name="Comma 27 4 2 2 2" xfId="8275"/>
    <cellStyle name="Comma 27 4 2 2 2 2" xfId="22382"/>
    <cellStyle name="Comma 27 4 2 2 2 3" xfId="16909"/>
    <cellStyle name="Comma 27 4 2 2 3" xfId="13374"/>
    <cellStyle name="Comma 27 4 2 2 4" xfId="18913"/>
    <cellStyle name="Comma 27 4 2 2 5" xfId="11522"/>
    <cellStyle name="Comma 27 4 2 3" xfId="3691"/>
    <cellStyle name="Comma 27 4 2 3 2" xfId="9073"/>
    <cellStyle name="Comma 27 4 2 3 2 2" xfId="23174"/>
    <cellStyle name="Comma 27 4 2 3 2 3" xfId="17707"/>
    <cellStyle name="Comma 27 4 2 3 3" xfId="13375"/>
    <cellStyle name="Comma 27 4 2 3 4" xfId="18914"/>
    <cellStyle name="Comma 27 4 2 3 5" xfId="12318"/>
    <cellStyle name="Comma 27 4 2 4" xfId="7483"/>
    <cellStyle name="Comma 27 4 2 4 2" xfId="21590"/>
    <cellStyle name="Comma 27 4 2 4 3" xfId="16117"/>
    <cellStyle name="Comma 27 4 2 5" xfId="13373"/>
    <cellStyle name="Comma 27 4 2 6" xfId="18912"/>
    <cellStyle name="Comma 27 4 2 7" xfId="24190"/>
    <cellStyle name="Comma 27 4 2 8" xfId="10730"/>
    <cellStyle name="Comma 27 4 3" xfId="3692"/>
    <cellStyle name="Comma 27 4 3 2" xfId="3693"/>
    <cellStyle name="Comma 27 4 3 2 2" xfId="8535"/>
    <cellStyle name="Comma 27 4 3 2 2 2" xfId="22642"/>
    <cellStyle name="Comma 27 4 3 2 2 3" xfId="17169"/>
    <cellStyle name="Comma 27 4 3 2 3" xfId="13377"/>
    <cellStyle name="Comma 27 4 3 2 4" xfId="18916"/>
    <cellStyle name="Comma 27 4 3 2 5" xfId="11783"/>
    <cellStyle name="Comma 27 4 3 3" xfId="7743"/>
    <cellStyle name="Comma 27 4 3 3 2" xfId="21850"/>
    <cellStyle name="Comma 27 4 3 3 3" xfId="16377"/>
    <cellStyle name="Comma 27 4 3 4" xfId="13376"/>
    <cellStyle name="Comma 27 4 3 5" xfId="18915"/>
    <cellStyle name="Comma 27 4 3 6" xfId="10990"/>
    <cellStyle name="Comma 27 4 4" xfId="3694"/>
    <cellStyle name="Comma 27 4 4 2" xfId="6461"/>
    <cellStyle name="Comma 27 4 4 2 2" xfId="8897"/>
    <cellStyle name="Comma 27 4 4 2 2 2" xfId="22998"/>
    <cellStyle name="Comma 27 4 4 2 2 3" xfId="17531"/>
    <cellStyle name="Comma 27 4 4 2 3" xfId="15290"/>
    <cellStyle name="Comma 27 4 4 2 4" xfId="20784"/>
    <cellStyle name="Comma 27 4 4 2 5" xfId="12141"/>
    <cellStyle name="Comma 27 4 4 3" xfId="7307"/>
    <cellStyle name="Comma 27 4 4 3 2" xfId="21414"/>
    <cellStyle name="Comma 27 4 4 3 3" xfId="15941"/>
    <cellStyle name="Comma 27 4 4 4" xfId="13378"/>
    <cellStyle name="Comma 27 4 4 5" xfId="18917"/>
    <cellStyle name="Comma 27 4 4 6" xfId="10554"/>
    <cellStyle name="Comma 27 4 5" xfId="3695"/>
    <cellStyle name="Comma 27 4 5 2" xfId="8099"/>
    <cellStyle name="Comma 27 4 5 2 2" xfId="22206"/>
    <cellStyle name="Comma 27 4 5 2 3" xfId="16733"/>
    <cellStyle name="Comma 27 4 5 3" xfId="13379"/>
    <cellStyle name="Comma 27 4 5 4" xfId="18918"/>
    <cellStyle name="Comma 27 4 5 5" xfId="11346"/>
    <cellStyle name="Comma 27 4 6" xfId="3696"/>
    <cellStyle name="Comma 27 4 6 2" xfId="9434"/>
    <cellStyle name="Comma 27 4 6 2 2" xfId="23501"/>
    <cellStyle name="Comma 27 4 6 2 3" xfId="18053"/>
    <cellStyle name="Comma 27 4 6 3" xfId="13380"/>
    <cellStyle name="Comma 27 4 6 4" xfId="18919"/>
    <cellStyle name="Comma 27 4 6 5" xfId="12651"/>
    <cellStyle name="Comma 27 4 7" xfId="6948"/>
    <cellStyle name="Comma 27 4 7 2" xfId="21058"/>
    <cellStyle name="Comma 27 4 7 3" xfId="15585"/>
    <cellStyle name="Comma 27 4 8" xfId="9749"/>
    <cellStyle name="Comma 27 4 8 2" xfId="12857"/>
    <cellStyle name="Comma 27 4 9" xfId="9969"/>
    <cellStyle name="Comma 27 4 9 2" xfId="18408"/>
    <cellStyle name="Comma 27 5" xfId="3697"/>
    <cellStyle name="Comma 27 5 10" xfId="41385"/>
    <cellStyle name="Comma 27 5 2" xfId="3698"/>
    <cellStyle name="Comma 27 5 2 2" xfId="3699"/>
    <cellStyle name="Comma 27 5 2 2 2" xfId="8371"/>
    <cellStyle name="Comma 27 5 2 2 2 2" xfId="22478"/>
    <cellStyle name="Comma 27 5 2 2 2 3" xfId="17005"/>
    <cellStyle name="Comma 27 5 2 2 3" xfId="13383"/>
    <cellStyle name="Comma 27 5 2 2 4" xfId="18922"/>
    <cellStyle name="Comma 27 5 2 2 5" xfId="11619"/>
    <cellStyle name="Comma 27 5 2 3" xfId="3700"/>
    <cellStyle name="Comma 27 5 2 3 2" xfId="9169"/>
    <cellStyle name="Comma 27 5 2 3 2 2" xfId="23270"/>
    <cellStyle name="Comma 27 5 2 3 2 3" xfId="17803"/>
    <cellStyle name="Comma 27 5 2 3 3" xfId="13384"/>
    <cellStyle name="Comma 27 5 2 3 4" xfId="18923"/>
    <cellStyle name="Comma 27 5 2 3 5" xfId="12414"/>
    <cellStyle name="Comma 27 5 2 4" xfId="7579"/>
    <cellStyle name="Comma 27 5 2 4 2" xfId="21686"/>
    <cellStyle name="Comma 27 5 2 4 3" xfId="16213"/>
    <cellStyle name="Comma 27 5 2 5" xfId="13382"/>
    <cellStyle name="Comma 27 5 2 6" xfId="18921"/>
    <cellStyle name="Comma 27 5 2 7" xfId="10826"/>
    <cellStyle name="Comma 27 5 3" xfId="3701"/>
    <cellStyle name="Comma 27 5 3 2" xfId="3702"/>
    <cellStyle name="Comma 27 5 3 2 2" xfId="8631"/>
    <cellStyle name="Comma 27 5 3 2 2 2" xfId="22738"/>
    <cellStyle name="Comma 27 5 3 2 2 3" xfId="17265"/>
    <cellStyle name="Comma 27 5 3 2 3" xfId="13386"/>
    <cellStyle name="Comma 27 5 3 2 4" xfId="18925"/>
    <cellStyle name="Comma 27 5 3 2 5" xfId="11879"/>
    <cellStyle name="Comma 27 5 3 3" xfId="7839"/>
    <cellStyle name="Comma 27 5 3 3 2" xfId="21946"/>
    <cellStyle name="Comma 27 5 3 3 3" xfId="16473"/>
    <cellStyle name="Comma 27 5 3 4" xfId="13385"/>
    <cellStyle name="Comma 27 5 3 5" xfId="18924"/>
    <cellStyle name="Comma 27 5 3 6" xfId="11086"/>
    <cellStyle name="Comma 27 5 4" xfId="3703"/>
    <cellStyle name="Comma 27 5 4 2" xfId="6381"/>
    <cellStyle name="Comma 27 5 4 2 2" xfId="8817"/>
    <cellStyle name="Comma 27 5 4 2 2 2" xfId="22918"/>
    <cellStyle name="Comma 27 5 4 2 2 3" xfId="17451"/>
    <cellStyle name="Comma 27 5 4 2 3" xfId="15210"/>
    <cellStyle name="Comma 27 5 4 2 4" xfId="20704"/>
    <cellStyle name="Comma 27 5 4 2 5" xfId="12061"/>
    <cellStyle name="Comma 27 5 4 3" xfId="7227"/>
    <cellStyle name="Comma 27 5 4 3 2" xfId="21334"/>
    <cellStyle name="Comma 27 5 4 3 3" xfId="15861"/>
    <cellStyle name="Comma 27 5 4 4" xfId="13387"/>
    <cellStyle name="Comma 27 5 4 5" xfId="18926"/>
    <cellStyle name="Comma 27 5 4 6" xfId="10474"/>
    <cellStyle name="Comma 27 5 5" xfId="3704"/>
    <cellStyle name="Comma 27 5 5 2" xfId="8019"/>
    <cellStyle name="Comma 27 5 5 2 2" xfId="22126"/>
    <cellStyle name="Comma 27 5 5 2 3" xfId="16653"/>
    <cellStyle name="Comma 27 5 5 3" xfId="13388"/>
    <cellStyle name="Comma 27 5 5 4" xfId="18927"/>
    <cellStyle name="Comma 27 5 5 5" xfId="11266"/>
    <cellStyle name="Comma 27 5 6" xfId="7044"/>
    <cellStyle name="Comma 27 5 6 2" xfId="21154"/>
    <cellStyle name="Comma 27 5 6 3" xfId="15681"/>
    <cellStyle name="Comma 27 5 7" xfId="13381"/>
    <cellStyle name="Comma 27 5 8" xfId="18920"/>
    <cellStyle name="Comma 27 5 9" xfId="10294"/>
    <cellStyle name="Comma 27 6" xfId="3705"/>
    <cellStyle name="Comma 27 6 2" xfId="3706"/>
    <cellStyle name="Comma 27 6 2 2" xfId="8195"/>
    <cellStyle name="Comma 27 6 2 2 2" xfId="22302"/>
    <cellStyle name="Comma 27 6 2 2 3" xfId="16829"/>
    <cellStyle name="Comma 27 6 2 3" xfId="13390"/>
    <cellStyle name="Comma 27 6 2 4" xfId="18929"/>
    <cellStyle name="Comma 27 6 2 5" xfId="11442"/>
    <cellStyle name="Comma 27 6 3" xfId="3707"/>
    <cellStyle name="Comma 27 6 3 2" xfId="8993"/>
    <cellStyle name="Comma 27 6 3 2 2" xfId="23094"/>
    <cellStyle name="Comma 27 6 3 2 3" xfId="17627"/>
    <cellStyle name="Comma 27 6 3 3" xfId="13391"/>
    <cellStyle name="Comma 27 6 3 4" xfId="18930"/>
    <cellStyle name="Comma 27 6 3 5" xfId="12237"/>
    <cellStyle name="Comma 27 6 4" xfId="7403"/>
    <cellStyle name="Comma 27 6 4 2" xfId="21510"/>
    <cellStyle name="Comma 27 6 4 3" xfId="16037"/>
    <cellStyle name="Comma 27 6 5" xfId="13389"/>
    <cellStyle name="Comma 27 6 6" xfId="18928"/>
    <cellStyle name="Comma 27 6 7" xfId="10650"/>
    <cellStyle name="Comma 27 6 8" xfId="41386"/>
    <cellStyle name="Comma 27 7" xfId="3708"/>
    <cellStyle name="Comma 27 7 2" xfId="3709"/>
    <cellStyle name="Comma 27 7 2 2" xfId="8455"/>
    <cellStyle name="Comma 27 7 2 2 2" xfId="22562"/>
    <cellStyle name="Comma 27 7 2 2 3" xfId="17089"/>
    <cellStyle name="Comma 27 7 2 3" xfId="13393"/>
    <cellStyle name="Comma 27 7 2 4" xfId="18932"/>
    <cellStyle name="Comma 27 7 2 5" xfId="11703"/>
    <cellStyle name="Comma 27 7 3" xfId="7663"/>
    <cellStyle name="Comma 27 7 3 2" xfId="21770"/>
    <cellStyle name="Comma 27 7 3 3" xfId="16297"/>
    <cellStyle name="Comma 27 7 4" xfId="13392"/>
    <cellStyle name="Comma 27 7 5" xfId="18931"/>
    <cellStyle name="Comma 27 7 6" xfId="10910"/>
    <cellStyle name="Comma 27 8" xfId="3710"/>
    <cellStyle name="Comma 27 8 2" xfId="6285"/>
    <cellStyle name="Comma 27 8 2 2" xfId="8721"/>
    <cellStyle name="Comma 27 8 2 2 2" xfId="22822"/>
    <cellStyle name="Comma 27 8 2 2 3" xfId="17355"/>
    <cellStyle name="Comma 27 8 2 3" xfId="15114"/>
    <cellStyle name="Comma 27 8 2 4" xfId="20608"/>
    <cellStyle name="Comma 27 8 2 5" xfId="11965"/>
    <cellStyle name="Comma 27 8 3" xfId="7131"/>
    <cellStyle name="Comma 27 8 3 2" xfId="21238"/>
    <cellStyle name="Comma 27 8 3 3" xfId="15765"/>
    <cellStyle name="Comma 27 8 4" xfId="13394"/>
    <cellStyle name="Comma 27 8 5" xfId="18933"/>
    <cellStyle name="Comma 27 8 6" xfId="10378"/>
    <cellStyle name="Comma 27 9" xfId="3711"/>
    <cellStyle name="Comma 27 9 2" xfId="7923"/>
    <cellStyle name="Comma 27 9 2 2" xfId="22030"/>
    <cellStyle name="Comma 27 9 2 3" xfId="16557"/>
    <cellStyle name="Comma 27 9 3" xfId="13395"/>
    <cellStyle name="Comma 27 9 4" xfId="18934"/>
    <cellStyle name="Comma 27 9 5" xfId="11170"/>
    <cellStyle name="Comma 270" xfId="43268"/>
    <cellStyle name="Comma 271" xfId="43917"/>
    <cellStyle name="Comma 272" xfId="43824"/>
    <cellStyle name="Comma 273" xfId="44089"/>
    <cellStyle name="Comma 274" xfId="44094"/>
    <cellStyle name="Comma 275" xfId="44104"/>
    <cellStyle name="Comma 276" xfId="44109"/>
    <cellStyle name="Comma 277" xfId="44113"/>
    <cellStyle name="Comma 278" xfId="44096"/>
    <cellStyle name="Comma 279" xfId="44111"/>
    <cellStyle name="Comma 28" xfId="602"/>
    <cellStyle name="Comma 28 10" xfId="6828"/>
    <cellStyle name="Comma 28 10 2" xfId="20958"/>
    <cellStyle name="Comma 28 10 3" xfId="15484"/>
    <cellStyle name="Comma 28 11" xfId="10092"/>
    <cellStyle name="Comma 28 2" xfId="1337"/>
    <cellStyle name="Comma 28 3" xfId="1562"/>
    <cellStyle name="Comma 28 3 10" xfId="9915"/>
    <cellStyle name="Comma 28 3 10 2" xfId="18355"/>
    <cellStyle name="Comma 28 3 11" xfId="23719"/>
    <cellStyle name="Comma 28 3 12" xfId="10128"/>
    <cellStyle name="Comma 28 3 13" xfId="2113"/>
    <cellStyle name="Comma 28 3 2" xfId="2999"/>
    <cellStyle name="Comma 28 3 2 10" xfId="10306"/>
    <cellStyle name="Comma 28 3 2 2" xfId="3712"/>
    <cellStyle name="Comma 28 3 2 2 2" xfId="3713"/>
    <cellStyle name="Comma 28 3 2 2 2 2" xfId="8643"/>
    <cellStyle name="Comma 28 3 2 2 2 2 2" xfId="22750"/>
    <cellStyle name="Comma 28 3 2 2 2 2 3" xfId="17277"/>
    <cellStyle name="Comma 28 3 2 2 2 3" xfId="13397"/>
    <cellStyle name="Comma 28 3 2 2 2 4" xfId="18936"/>
    <cellStyle name="Comma 28 3 2 2 2 5" xfId="11891"/>
    <cellStyle name="Comma 28 3 2 2 3" xfId="7851"/>
    <cellStyle name="Comma 28 3 2 2 3 2" xfId="21958"/>
    <cellStyle name="Comma 28 3 2 2 3 3" xfId="16485"/>
    <cellStyle name="Comma 28 3 2 2 4" xfId="13396"/>
    <cellStyle name="Comma 28 3 2 2 5" xfId="18935"/>
    <cellStyle name="Comma 28 3 2 2 6" xfId="24210"/>
    <cellStyle name="Comma 28 3 2 2 7" xfId="11098"/>
    <cellStyle name="Comma 28 3 2 3" xfId="3714"/>
    <cellStyle name="Comma 28 3 2 3 2" xfId="6582"/>
    <cellStyle name="Comma 28 3 2 3 2 2" xfId="9181"/>
    <cellStyle name="Comma 28 3 2 3 2 2 2" xfId="23282"/>
    <cellStyle name="Comma 28 3 2 3 2 2 3" xfId="17815"/>
    <cellStyle name="Comma 28 3 2 3 2 3" xfId="15367"/>
    <cellStyle name="Comma 28 3 2 3 2 4" xfId="20860"/>
    <cellStyle name="Comma 28 3 2 3 2 5" xfId="12426"/>
    <cellStyle name="Comma 28 3 2 3 3" xfId="7591"/>
    <cellStyle name="Comma 28 3 2 3 3 2" xfId="21698"/>
    <cellStyle name="Comma 28 3 2 3 3 3" xfId="16225"/>
    <cellStyle name="Comma 28 3 2 3 4" xfId="13398"/>
    <cellStyle name="Comma 28 3 2 3 5" xfId="18937"/>
    <cellStyle name="Comma 28 3 2 3 6" xfId="10838"/>
    <cellStyle name="Comma 28 3 2 4" xfId="3715"/>
    <cellStyle name="Comma 28 3 2 4 2" xfId="8383"/>
    <cellStyle name="Comma 28 3 2 4 2 2" xfId="22490"/>
    <cellStyle name="Comma 28 3 2 4 2 3" xfId="17017"/>
    <cellStyle name="Comma 28 3 2 4 3" xfId="13399"/>
    <cellStyle name="Comma 28 3 2 4 4" xfId="18938"/>
    <cellStyle name="Comma 28 3 2 4 5" xfId="11631"/>
    <cellStyle name="Comma 28 3 2 5" xfId="3716"/>
    <cellStyle name="Comma 28 3 2 5 2" xfId="9474"/>
    <cellStyle name="Comma 28 3 2 5 2 2" xfId="23521"/>
    <cellStyle name="Comma 28 3 2 5 2 3" xfId="18075"/>
    <cellStyle name="Comma 28 3 2 5 3" xfId="13400"/>
    <cellStyle name="Comma 28 3 2 5 4" xfId="18939"/>
    <cellStyle name="Comma 28 3 2 5 5" xfId="12675"/>
    <cellStyle name="Comma 28 3 2 6" xfId="7057"/>
    <cellStyle name="Comma 28 3 2 6 2" xfId="21166"/>
    <cellStyle name="Comma 28 3 2 6 3" xfId="15693"/>
    <cellStyle name="Comma 28 3 2 7" xfId="9776"/>
    <cellStyle name="Comma 28 3 2 7 2" xfId="12877"/>
    <cellStyle name="Comma 28 3 2 8" xfId="9989"/>
    <cellStyle name="Comma 28 3 2 8 2" xfId="18428"/>
    <cellStyle name="Comma 28 3 2 9" xfId="24018"/>
    <cellStyle name="Comma 28 3 3" xfId="3717"/>
    <cellStyle name="Comma 28 3 3 2" xfId="3718"/>
    <cellStyle name="Comma 28 3 3 2 2" xfId="8207"/>
    <cellStyle name="Comma 28 3 3 2 2 2" xfId="22314"/>
    <cellStyle name="Comma 28 3 3 2 2 3" xfId="16841"/>
    <cellStyle name="Comma 28 3 3 2 3" xfId="13402"/>
    <cellStyle name="Comma 28 3 3 2 4" xfId="18941"/>
    <cellStyle name="Comma 28 3 3 2 5" xfId="11454"/>
    <cellStyle name="Comma 28 3 3 3" xfId="3719"/>
    <cellStyle name="Comma 28 3 3 3 2" xfId="9005"/>
    <cellStyle name="Comma 28 3 3 3 2 2" xfId="23106"/>
    <cellStyle name="Comma 28 3 3 3 2 3" xfId="17639"/>
    <cellStyle name="Comma 28 3 3 3 3" xfId="13403"/>
    <cellStyle name="Comma 28 3 3 3 4" xfId="18942"/>
    <cellStyle name="Comma 28 3 3 3 5" xfId="12249"/>
    <cellStyle name="Comma 28 3 3 4" xfId="7415"/>
    <cellStyle name="Comma 28 3 3 4 2" xfId="21522"/>
    <cellStyle name="Comma 28 3 3 4 3" xfId="16049"/>
    <cellStyle name="Comma 28 3 3 5" xfId="13401"/>
    <cellStyle name="Comma 28 3 3 6" xfId="18940"/>
    <cellStyle name="Comma 28 3 3 7" xfId="24137"/>
    <cellStyle name="Comma 28 3 3 8" xfId="10662"/>
    <cellStyle name="Comma 28 3 4" xfId="3720"/>
    <cellStyle name="Comma 28 3 4 2" xfId="3721"/>
    <cellStyle name="Comma 28 3 4 2 2" xfId="8467"/>
    <cellStyle name="Comma 28 3 4 2 2 2" xfId="22574"/>
    <cellStyle name="Comma 28 3 4 2 2 3" xfId="17101"/>
    <cellStyle name="Comma 28 3 4 2 3" xfId="13405"/>
    <cellStyle name="Comma 28 3 4 2 4" xfId="18944"/>
    <cellStyle name="Comma 28 3 4 2 5" xfId="11715"/>
    <cellStyle name="Comma 28 3 4 3" xfId="7675"/>
    <cellStyle name="Comma 28 3 4 3 2" xfId="21782"/>
    <cellStyle name="Comma 28 3 4 3 3" xfId="16309"/>
    <cellStyle name="Comma 28 3 4 4" xfId="13404"/>
    <cellStyle name="Comma 28 3 4 5" xfId="18943"/>
    <cellStyle name="Comma 28 3 4 6" xfId="10922"/>
    <cellStyle name="Comma 28 3 5" xfId="3722"/>
    <cellStyle name="Comma 28 3 5 2" xfId="6393"/>
    <cellStyle name="Comma 28 3 5 2 2" xfId="8829"/>
    <cellStyle name="Comma 28 3 5 2 2 2" xfId="22930"/>
    <cellStyle name="Comma 28 3 5 2 2 3" xfId="17463"/>
    <cellStyle name="Comma 28 3 5 2 3" xfId="15222"/>
    <cellStyle name="Comma 28 3 5 2 4" xfId="20716"/>
    <cellStyle name="Comma 28 3 5 2 5" xfId="12073"/>
    <cellStyle name="Comma 28 3 5 3" xfId="7239"/>
    <cellStyle name="Comma 28 3 5 3 2" xfId="21346"/>
    <cellStyle name="Comma 28 3 5 3 3" xfId="15873"/>
    <cellStyle name="Comma 28 3 5 4" xfId="13406"/>
    <cellStyle name="Comma 28 3 5 5" xfId="18945"/>
    <cellStyle name="Comma 28 3 5 6" xfId="10486"/>
    <cellStyle name="Comma 28 3 6" xfId="3723"/>
    <cellStyle name="Comma 28 3 6 2" xfId="8031"/>
    <cellStyle name="Comma 28 3 6 2 2" xfId="22138"/>
    <cellStyle name="Comma 28 3 6 2 3" xfId="16665"/>
    <cellStyle name="Comma 28 3 6 3" xfId="13407"/>
    <cellStyle name="Comma 28 3 6 4" xfId="18946"/>
    <cellStyle name="Comma 28 3 6 5" xfId="11278"/>
    <cellStyle name="Comma 28 3 7" xfId="3724"/>
    <cellStyle name="Comma 28 3 7 2" xfId="9379"/>
    <cellStyle name="Comma 28 3 7 2 2" xfId="23448"/>
    <cellStyle name="Comma 28 3 7 2 3" xfId="18000"/>
    <cellStyle name="Comma 28 3 7 3" xfId="13408"/>
    <cellStyle name="Comma 28 3 7 4" xfId="18947"/>
    <cellStyle name="Comma 28 3 7 5" xfId="12597"/>
    <cellStyle name="Comma 28 3 8" xfId="6877"/>
    <cellStyle name="Comma 28 3 8 2" xfId="20990"/>
    <cellStyle name="Comma 28 3 8 3" xfId="15517"/>
    <cellStyle name="Comma 28 3 9" xfId="9686"/>
    <cellStyle name="Comma 28 3 9 2" xfId="12804"/>
    <cellStyle name="Comma 28 4" xfId="838"/>
    <cellStyle name="Comma 28 4 10" xfId="23966"/>
    <cellStyle name="Comma 28 4 11" xfId="10178"/>
    <cellStyle name="Comma 28 4 12" xfId="2582"/>
    <cellStyle name="Comma 28 4 2" xfId="3725"/>
    <cellStyle name="Comma 28 4 2 2" xfId="3726"/>
    <cellStyle name="Comma 28 4 2 2 2" xfId="8255"/>
    <cellStyle name="Comma 28 4 2 2 2 2" xfId="22362"/>
    <cellStyle name="Comma 28 4 2 2 2 3" xfId="16889"/>
    <cellStyle name="Comma 28 4 2 2 3" xfId="13410"/>
    <cellStyle name="Comma 28 4 2 2 4" xfId="18949"/>
    <cellStyle name="Comma 28 4 2 2 5" xfId="11502"/>
    <cellStyle name="Comma 28 4 2 3" xfId="3727"/>
    <cellStyle name="Comma 28 4 2 3 2" xfId="9053"/>
    <cellStyle name="Comma 28 4 2 3 2 2" xfId="23154"/>
    <cellStyle name="Comma 28 4 2 3 2 3" xfId="17687"/>
    <cellStyle name="Comma 28 4 2 3 3" xfId="13411"/>
    <cellStyle name="Comma 28 4 2 3 4" xfId="18950"/>
    <cellStyle name="Comma 28 4 2 3 5" xfId="12298"/>
    <cellStyle name="Comma 28 4 2 4" xfId="7463"/>
    <cellStyle name="Comma 28 4 2 4 2" xfId="21570"/>
    <cellStyle name="Comma 28 4 2 4 3" xfId="16097"/>
    <cellStyle name="Comma 28 4 2 5" xfId="13409"/>
    <cellStyle name="Comma 28 4 2 6" xfId="18948"/>
    <cellStyle name="Comma 28 4 2 7" xfId="24170"/>
    <cellStyle name="Comma 28 4 2 8" xfId="10710"/>
    <cellStyle name="Comma 28 4 3" xfId="3728"/>
    <cellStyle name="Comma 28 4 3 2" xfId="3729"/>
    <cellStyle name="Comma 28 4 3 2 2" xfId="8515"/>
    <cellStyle name="Comma 28 4 3 2 2 2" xfId="22622"/>
    <cellStyle name="Comma 28 4 3 2 2 3" xfId="17149"/>
    <cellStyle name="Comma 28 4 3 2 3" xfId="13413"/>
    <cellStyle name="Comma 28 4 3 2 4" xfId="18952"/>
    <cellStyle name="Comma 28 4 3 2 5" xfId="11763"/>
    <cellStyle name="Comma 28 4 3 3" xfId="7723"/>
    <cellStyle name="Comma 28 4 3 3 2" xfId="21830"/>
    <cellStyle name="Comma 28 4 3 3 3" xfId="16357"/>
    <cellStyle name="Comma 28 4 3 4" xfId="13412"/>
    <cellStyle name="Comma 28 4 3 5" xfId="18951"/>
    <cellStyle name="Comma 28 4 3 6" xfId="10970"/>
    <cellStyle name="Comma 28 4 4" xfId="3730"/>
    <cellStyle name="Comma 28 4 4 2" xfId="6441"/>
    <cellStyle name="Comma 28 4 4 2 2" xfId="8877"/>
    <cellStyle name="Comma 28 4 4 2 2 2" xfId="22978"/>
    <cellStyle name="Comma 28 4 4 2 2 3" xfId="17511"/>
    <cellStyle name="Comma 28 4 4 2 3" xfId="15270"/>
    <cellStyle name="Comma 28 4 4 2 4" xfId="20764"/>
    <cellStyle name="Comma 28 4 4 2 5" xfId="12121"/>
    <cellStyle name="Comma 28 4 4 3" xfId="7287"/>
    <cellStyle name="Comma 28 4 4 3 2" xfId="21394"/>
    <cellStyle name="Comma 28 4 4 3 3" xfId="15921"/>
    <cellStyle name="Comma 28 4 4 4" xfId="13414"/>
    <cellStyle name="Comma 28 4 4 5" xfId="18953"/>
    <cellStyle name="Comma 28 4 4 6" xfId="10534"/>
    <cellStyle name="Comma 28 4 5" xfId="3731"/>
    <cellStyle name="Comma 28 4 5 2" xfId="8079"/>
    <cellStyle name="Comma 28 4 5 2 2" xfId="22186"/>
    <cellStyle name="Comma 28 4 5 2 3" xfId="16713"/>
    <cellStyle name="Comma 28 4 5 3" xfId="13415"/>
    <cellStyle name="Comma 28 4 5 4" xfId="18954"/>
    <cellStyle name="Comma 28 4 5 5" xfId="11326"/>
    <cellStyle name="Comma 28 4 6" xfId="3732"/>
    <cellStyle name="Comma 28 4 6 2" xfId="9414"/>
    <cellStyle name="Comma 28 4 6 2 2" xfId="23481"/>
    <cellStyle name="Comma 28 4 6 2 3" xfId="18033"/>
    <cellStyle name="Comma 28 4 6 3" xfId="13416"/>
    <cellStyle name="Comma 28 4 6 4" xfId="18955"/>
    <cellStyle name="Comma 28 4 6 5" xfId="12631"/>
    <cellStyle name="Comma 28 4 7" xfId="6928"/>
    <cellStyle name="Comma 28 4 7 2" xfId="21038"/>
    <cellStyle name="Comma 28 4 7 3" xfId="15565"/>
    <cellStyle name="Comma 28 4 8" xfId="9729"/>
    <cellStyle name="Comma 28 4 8 2" xfId="12837"/>
    <cellStyle name="Comma 28 4 9" xfId="9949"/>
    <cellStyle name="Comma 28 4 9 2" xfId="18388"/>
    <cellStyle name="Comma 28 5" xfId="3733"/>
    <cellStyle name="Comma 28 5 10" xfId="41387"/>
    <cellStyle name="Comma 28 5 2" xfId="3734"/>
    <cellStyle name="Comma 28 5 2 2" xfId="3735"/>
    <cellStyle name="Comma 28 5 2 2 2" xfId="8351"/>
    <cellStyle name="Comma 28 5 2 2 2 2" xfId="22458"/>
    <cellStyle name="Comma 28 5 2 2 2 3" xfId="16985"/>
    <cellStyle name="Comma 28 5 2 2 3" xfId="13419"/>
    <cellStyle name="Comma 28 5 2 2 4" xfId="18958"/>
    <cellStyle name="Comma 28 5 2 2 5" xfId="11599"/>
    <cellStyle name="Comma 28 5 2 3" xfId="3736"/>
    <cellStyle name="Comma 28 5 2 3 2" xfId="9149"/>
    <cellStyle name="Comma 28 5 2 3 2 2" xfId="23250"/>
    <cellStyle name="Comma 28 5 2 3 2 3" xfId="17783"/>
    <cellStyle name="Comma 28 5 2 3 3" xfId="13420"/>
    <cellStyle name="Comma 28 5 2 3 4" xfId="18959"/>
    <cellStyle name="Comma 28 5 2 3 5" xfId="12394"/>
    <cellStyle name="Comma 28 5 2 4" xfId="7559"/>
    <cellStyle name="Comma 28 5 2 4 2" xfId="21666"/>
    <cellStyle name="Comma 28 5 2 4 3" xfId="16193"/>
    <cellStyle name="Comma 28 5 2 5" xfId="13418"/>
    <cellStyle name="Comma 28 5 2 6" xfId="18957"/>
    <cellStyle name="Comma 28 5 2 7" xfId="10806"/>
    <cellStyle name="Comma 28 5 3" xfId="3737"/>
    <cellStyle name="Comma 28 5 3 2" xfId="3738"/>
    <cellStyle name="Comma 28 5 3 2 2" xfId="8611"/>
    <cellStyle name="Comma 28 5 3 2 2 2" xfId="22718"/>
    <cellStyle name="Comma 28 5 3 2 2 3" xfId="17245"/>
    <cellStyle name="Comma 28 5 3 2 3" xfId="13422"/>
    <cellStyle name="Comma 28 5 3 2 4" xfId="18961"/>
    <cellStyle name="Comma 28 5 3 2 5" xfId="11859"/>
    <cellStyle name="Comma 28 5 3 3" xfId="7819"/>
    <cellStyle name="Comma 28 5 3 3 2" xfId="21926"/>
    <cellStyle name="Comma 28 5 3 3 3" xfId="16453"/>
    <cellStyle name="Comma 28 5 3 4" xfId="13421"/>
    <cellStyle name="Comma 28 5 3 5" xfId="18960"/>
    <cellStyle name="Comma 28 5 3 6" xfId="11066"/>
    <cellStyle name="Comma 28 5 4" xfId="3739"/>
    <cellStyle name="Comma 28 5 4 2" xfId="6361"/>
    <cellStyle name="Comma 28 5 4 2 2" xfId="8797"/>
    <cellStyle name="Comma 28 5 4 2 2 2" xfId="22898"/>
    <cellStyle name="Comma 28 5 4 2 2 3" xfId="17431"/>
    <cellStyle name="Comma 28 5 4 2 3" xfId="15190"/>
    <cellStyle name="Comma 28 5 4 2 4" xfId="20684"/>
    <cellStyle name="Comma 28 5 4 2 5" xfId="12041"/>
    <cellStyle name="Comma 28 5 4 3" xfId="7207"/>
    <cellStyle name="Comma 28 5 4 3 2" xfId="21314"/>
    <cellStyle name="Comma 28 5 4 3 3" xfId="15841"/>
    <cellStyle name="Comma 28 5 4 4" xfId="13423"/>
    <cellStyle name="Comma 28 5 4 5" xfId="18962"/>
    <cellStyle name="Comma 28 5 4 6" xfId="10454"/>
    <cellStyle name="Comma 28 5 5" xfId="3740"/>
    <cellStyle name="Comma 28 5 5 2" xfId="7999"/>
    <cellStyle name="Comma 28 5 5 2 2" xfId="22106"/>
    <cellStyle name="Comma 28 5 5 2 3" xfId="16633"/>
    <cellStyle name="Comma 28 5 5 3" xfId="13424"/>
    <cellStyle name="Comma 28 5 5 4" xfId="18963"/>
    <cellStyle name="Comma 28 5 5 5" xfId="11246"/>
    <cellStyle name="Comma 28 5 6" xfId="7024"/>
    <cellStyle name="Comma 28 5 6 2" xfId="21134"/>
    <cellStyle name="Comma 28 5 6 3" xfId="15661"/>
    <cellStyle name="Comma 28 5 7" xfId="13417"/>
    <cellStyle name="Comma 28 5 8" xfId="18956"/>
    <cellStyle name="Comma 28 5 9" xfId="10274"/>
    <cellStyle name="Comma 28 6" xfId="3741"/>
    <cellStyle name="Comma 28 6 2" xfId="3742"/>
    <cellStyle name="Comma 28 6 2 2" xfId="8175"/>
    <cellStyle name="Comma 28 6 2 2 2" xfId="22282"/>
    <cellStyle name="Comma 28 6 2 2 3" xfId="16809"/>
    <cellStyle name="Comma 28 6 2 3" xfId="13426"/>
    <cellStyle name="Comma 28 6 2 4" xfId="18965"/>
    <cellStyle name="Comma 28 6 2 5" xfId="11422"/>
    <cellStyle name="Comma 28 6 3" xfId="3743"/>
    <cellStyle name="Comma 28 6 3 2" xfId="8973"/>
    <cellStyle name="Comma 28 6 3 2 2" xfId="23074"/>
    <cellStyle name="Comma 28 6 3 2 3" xfId="17607"/>
    <cellStyle name="Comma 28 6 3 3" xfId="13427"/>
    <cellStyle name="Comma 28 6 3 4" xfId="18966"/>
    <cellStyle name="Comma 28 6 3 5" xfId="12217"/>
    <cellStyle name="Comma 28 6 4" xfId="7383"/>
    <cellStyle name="Comma 28 6 4 2" xfId="21490"/>
    <cellStyle name="Comma 28 6 4 3" xfId="16017"/>
    <cellStyle name="Comma 28 6 5" xfId="13425"/>
    <cellStyle name="Comma 28 6 6" xfId="18964"/>
    <cellStyle name="Comma 28 6 7" xfId="10630"/>
    <cellStyle name="Comma 28 6 8" xfId="41388"/>
    <cellStyle name="Comma 28 7" xfId="3744"/>
    <cellStyle name="Comma 28 7 2" xfId="3745"/>
    <cellStyle name="Comma 28 7 2 2" xfId="8435"/>
    <cellStyle name="Comma 28 7 2 2 2" xfId="22542"/>
    <cellStyle name="Comma 28 7 2 2 3" xfId="17069"/>
    <cellStyle name="Comma 28 7 2 3" xfId="13429"/>
    <cellStyle name="Comma 28 7 2 4" xfId="18968"/>
    <cellStyle name="Comma 28 7 2 5" xfId="11683"/>
    <cellStyle name="Comma 28 7 3" xfId="7643"/>
    <cellStyle name="Comma 28 7 3 2" xfId="21750"/>
    <cellStyle name="Comma 28 7 3 3" xfId="16277"/>
    <cellStyle name="Comma 28 7 4" xfId="13428"/>
    <cellStyle name="Comma 28 7 5" xfId="18967"/>
    <cellStyle name="Comma 28 7 6" xfId="10890"/>
    <cellStyle name="Comma 28 8" xfId="3746"/>
    <cellStyle name="Comma 28 8 2" xfId="6265"/>
    <cellStyle name="Comma 28 8 2 2" xfId="8701"/>
    <cellStyle name="Comma 28 8 2 2 2" xfId="22802"/>
    <cellStyle name="Comma 28 8 2 2 3" xfId="17335"/>
    <cellStyle name="Comma 28 8 2 3" xfId="15094"/>
    <cellStyle name="Comma 28 8 2 4" xfId="20588"/>
    <cellStyle name="Comma 28 8 2 5" xfId="11945"/>
    <cellStyle name="Comma 28 8 3" xfId="7111"/>
    <cellStyle name="Comma 28 8 3 2" xfId="21218"/>
    <cellStyle name="Comma 28 8 3 3" xfId="15745"/>
    <cellStyle name="Comma 28 8 4" xfId="13430"/>
    <cellStyle name="Comma 28 8 5" xfId="18969"/>
    <cellStyle name="Comma 28 8 6" xfId="10358"/>
    <cellStyle name="Comma 28 9" xfId="3747"/>
    <cellStyle name="Comma 28 9 2" xfId="7903"/>
    <cellStyle name="Comma 28 9 2 2" xfId="22010"/>
    <cellStyle name="Comma 28 9 2 3" xfId="16537"/>
    <cellStyle name="Comma 28 9 3" xfId="13431"/>
    <cellStyle name="Comma 28 9 4" xfId="18970"/>
    <cellStyle name="Comma 28 9 5" xfId="11150"/>
    <cellStyle name="Comma 280" xfId="44106"/>
    <cellStyle name="Comma 281" xfId="44118"/>
    <cellStyle name="Comma 282" xfId="44098"/>
    <cellStyle name="Comma 283" xfId="44120"/>
    <cellStyle name="Comma 284" xfId="44112"/>
    <cellStyle name="Comma 285" xfId="44122"/>
    <cellStyle name="Comma 286" xfId="44124"/>
    <cellStyle name="Comma 287" xfId="44129"/>
    <cellStyle name="Comma 288" xfId="44131"/>
    <cellStyle name="Comma 289" xfId="44134"/>
    <cellStyle name="Comma 29" xfId="604"/>
    <cellStyle name="Comma 29 10" xfId="6846"/>
    <cellStyle name="Comma 29 10 2" xfId="20976"/>
    <cellStyle name="Comma 29 10 3" xfId="15502"/>
    <cellStyle name="Comma 29 11" xfId="10110"/>
    <cellStyle name="Comma 29 2" xfId="1338"/>
    <cellStyle name="Comma 29 3" xfId="1589"/>
    <cellStyle name="Comma 29 3 10" xfId="9933"/>
    <cellStyle name="Comma 29 3 10 2" xfId="18373"/>
    <cellStyle name="Comma 29 3 11" xfId="23737"/>
    <cellStyle name="Comma 29 3 12" xfId="10146"/>
    <cellStyle name="Comma 29 3 13" xfId="2136"/>
    <cellStyle name="Comma 29 3 2" xfId="3019"/>
    <cellStyle name="Comma 29 3 2 10" xfId="10324"/>
    <cellStyle name="Comma 29 3 2 2" xfId="3748"/>
    <cellStyle name="Comma 29 3 2 2 2" xfId="3749"/>
    <cellStyle name="Comma 29 3 2 2 2 2" xfId="8661"/>
    <cellStyle name="Comma 29 3 2 2 2 2 2" xfId="22768"/>
    <cellStyle name="Comma 29 3 2 2 2 2 3" xfId="17295"/>
    <cellStyle name="Comma 29 3 2 2 2 3" xfId="13433"/>
    <cellStyle name="Comma 29 3 2 2 2 4" xfId="18972"/>
    <cellStyle name="Comma 29 3 2 2 2 5" xfId="11909"/>
    <cellStyle name="Comma 29 3 2 2 3" xfId="7869"/>
    <cellStyle name="Comma 29 3 2 2 3 2" xfId="21976"/>
    <cellStyle name="Comma 29 3 2 2 3 3" xfId="16503"/>
    <cellStyle name="Comma 29 3 2 2 4" xfId="13432"/>
    <cellStyle name="Comma 29 3 2 2 5" xfId="18971"/>
    <cellStyle name="Comma 29 3 2 2 6" xfId="24228"/>
    <cellStyle name="Comma 29 3 2 2 7" xfId="11116"/>
    <cellStyle name="Comma 29 3 2 3" xfId="3750"/>
    <cellStyle name="Comma 29 3 2 3 2" xfId="6600"/>
    <cellStyle name="Comma 29 3 2 3 2 2" xfId="9199"/>
    <cellStyle name="Comma 29 3 2 3 2 2 2" xfId="23300"/>
    <cellStyle name="Comma 29 3 2 3 2 2 3" xfId="17833"/>
    <cellStyle name="Comma 29 3 2 3 2 3" xfId="15385"/>
    <cellStyle name="Comma 29 3 2 3 2 4" xfId="20878"/>
    <cellStyle name="Comma 29 3 2 3 2 5" xfId="12444"/>
    <cellStyle name="Comma 29 3 2 3 3" xfId="7609"/>
    <cellStyle name="Comma 29 3 2 3 3 2" xfId="21716"/>
    <cellStyle name="Comma 29 3 2 3 3 3" xfId="16243"/>
    <cellStyle name="Comma 29 3 2 3 4" xfId="13434"/>
    <cellStyle name="Comma 29 3 2 3 5" xfId="18973"/>
    <cellStyle name="Comma 29 3 2 3 6" xfId="10856"/>
    <cellStyle name="Comma 29 3 2 4" xfId="3751"/>
    <cellStyle name="Comma 29 3 2 4 2" xfId="8401"/>
    <cellStyle name="Comma 29 3 2 4 2 2" xfId="22508"/>
    <cellStyle name="Comma 29 3 2 4 2 3" xfId="17035"/>
    <cellStyle name="Comma 29 3 2 4 3" xfId="13435"/>
    <cellStyle name="Comma 29 3 2 4 4" xfId="18974"/>
    <cellStyle name="Comma 29 3 2 4 5" xfId="11649"/>
    <cellStyle name="Comma 29 3 2 5" xfId="3752"/>
    <cellStyle name="Comma 29 3 2 5 2" xfId="9492"/>
    <cellStyle name="Comma 29 3 2 5 2 2" xfId="23539"/>
    <cellStyle name="Comma 29 3 2 5 2 3" xfId="18093"/>
    <cellStyle name="Comma 29 3 2 5 3" xfId="13436"/>
    <cellStyle name="Comma 29 3 2 5 4" xfId="18975"/>
    <cellStyle name="Comma 29 3 2 5 5" xfId="12693"/>
    <cellStyle name="Comma 29 3 2 6" xfId="7075"/>
    <cellStyle name="Comma 29 3 2 6 2" xfId="21184"/>
    <cellStyle name="Comma 29 3 2 6 3" xfId="15711"/>
    <cellStyle name="Comma 29 3 2 7" xfId="9794"/>
    <cellStyle name="Comma 29 3 2 7 2" xfId="12895"/>
    <cellStyle name="Comma 29 3 2 8" xfId="10007"/>
    <cellStyle name="Comma 29 3 2 8 2" xfId="18446"/>
    <cellStyle name="Comma 29 3 2 9" xfId="24028"/>
    <cellStyle name="Comma 29 3 3" xfId="3753"/>
    <cellStyle name="Comma 29 3 3 2" xfId="3754"/>
    <cellStyle name="Comma 29 3 3 2 2" xfId="8225"/>
    <cellStyle name="Comma 29 3 3 2 2 2" xfId="22332"/>
    <cellStyle name="Comma 29 3 3 2 2 3" xfId="16859"/>
    <cellStyle name="Comma 29 3 3 2 3" xfId="13438"/>
    <cellStyle name="Comma 29 3 3 2 4" xfId="18977"/>
    <cellStyle name="Comma 29 3 3 2 5" xfId="11472"/>
    <cellStyle name="Comma 29 3 3 3" xfId="3755"/>
    <cellStyle name="Comma 29 3 3 3 2" xfId="9023"/>
    <cellStyle name="Comma 29 3 3 3 2 2" xfId="23124"/>
    <cellStyle name="Comma 29 3 3 3 2 3" xfId="17657"/>
    <cellStyle name="Comma 29 3 3 3 3" xfId="13439"/>
    <cellStyle name="Comma 29 3 3 3 4" xfId="18978"/>
    <cellStyle name="Comma 29 3 3 3 5" xfId="12267"/>
    <cellStyle name="Comma 29 3 3 4" xfId="7433"/>
    <cellStyle name="Comma 29 3 3 4 2" xfId="21540"/>
    <cellStyle name="Comma 29 3 3 4 3" xfId="16067"/>
    <cellStyle name="Comma 29 3 3 5" xfId="13437"/>
    <cellStyle name="Comma 29 3 3 6" xfId="18976"/>
    <cellStyle name="Comma 29 3 3 7" xfId="24155"/>
    <cellStyle name="Comma 29 3 3 8" xfId="10680"/>
    <cellStyle name="Comma 29 3 4" xfId="3756"/>
    <cellStyle name="Comma 29 3 4 2" xfId="3757"/>
    <cellStyle name="Comma 29 3 4 2 2" xfId="8485"/>
    <cellStyle name="Comma 29 3 4 2 2 2" xfId="22592"/>
    <cellStyle name="Comma 29 3 4 2 2 3" xfId="17119"/>
    <cellStyle name="Comma 29 3 4 2 3" xfId="13441"/>
    <cellStyle name="Comma 29 3 4 2 4" xfId="18980"/>
    <cellStyle name="Comma 29 3 4 2 5" xfId="11733"/>
    <cellStyle name="Comma 29 3 4 3" xfId="7693"/>
    <cellStyle name="Comma 29 3 4 3 2" xfId="21800"/>
    <cellStyle name="Comma 29 3 4 3 3" xfId="16327"/>
    <cellStyle name="Comma 29 3 4 4" xfId="13440"/>
    <cellStyle name="Comma 29 3 4 5" xfId="18979"/>
    <cellStyle name="Comma 29 3 4 6" xfId="10940"/>
    <cellStyle name="Comma 29 3 5" xfId="3758"/>
    <cellStyle name="Comma 29 3 5 2" xfId="6411"/>
    <cellStyle name="Comma 29 3 5 2 2" xfId="8847"/>
    <cellStyle name="Comma 29 3 5 2 2 2" xfId="22948"/>
    <cellStyle name="Comma 29 3 5 2 2 3" xfId="17481"/>
    <cellStyle name="Comma 29 3 5 2 3" xfId="15240"/>
    <cellStyle name="Comma 29 3 5 2 4" xfId="20734"/>
    <cellStyle name="Comma 29 3 5 2 5" xfId="12091"/>
    <cellStyle name="Comma 29 3 5 3" xfId="7257"/>
    <cellStyle name="Comma 29 3 5 3 2" xfId="21364"/>
    <cellStyle name="Comma 29 3 5 3 3" xfId="15891"/>
    <cellStyle name="Comma 29 3 5 4" xfId="13442"/>
    <cellStyle name="Comma 29 3 5 5" xfId="18981"/>
    <cellStyle name="Comma 29 3 5 6" xfId="10504"/>
    <cellStyle name="Comma 29 3 6" xfId="3759"/>
    <cellStyle name="Comma 29 3 6 2" xfId="8049"/>
    <cellStyle name="Comma 29 3 6 2 2" xfId="22156"/>
    <cellStyle name="Comma 29 3 6 2 3" xfId="16683"/>
    <cellStyle name="Comma 29 3 6 3" xfId="13443"/>
    <cellStyle name="Comma 29 3 6 4" xfId="18982"/>
    <cellStyle name="Comma 29 3 6 5" xfId="11296"/>
    <cellStyle name="Comma 29 3 7" xfId="3760"/>
    <cellStyle name="Comma 29 3 7 2" xfId="9398"/>
    <cellStyle name="Comma 29 3 7 2 2" xfId="23466"/>
    <cellStyle name="Comma 29 3 7 2 3" xfId="18018"/>
    <cellStyle name="Comma 29 3 7 3" xfId="13444"/>
    <cellStyle name="Comma 29 3 7 4" xfId="18983"/>
    <cellStyle name="Comma 29 3 7 5" xfId="12615"/>
    <cellStyle name="Comma 29 3 8" xfId="6895"/>
    <cellStyle name="Comma 29 3 8 2" xfId="21008"/>
    <cellStyle name="Comma 29 3 8 3" xfId="15535"/>
    <cellStyle name="Comma 29 3 9" xfId="9704"/>
    <cellStyle name="Comma 29 3 9 2" xfId="12822"/>
    <cellStyle name="Comma 29 4" xfId="810"/>
    <cellStyle name="Comma 29 4 10" xfId="23984"/>
    <cellStyle name="Comma 29 4 11" xfId="10196"/>
    <cellStyle name="Comma 29 4 12" xfId="2600"/>
    <cellStyle name="Comma 29 4 2" xfId="3761"/>
    <cellStyle name="Comma 29 4 2 2" xfId="3762"/>
    <cellStyle name="Comma 29 4 2 2 2" xfId="8273"/>
    <cellStyle name="Comma 29 4 2 2 2 2" xfId="22380"/>
    <cellStyle name="Comma 29 4 2 2 2 3" xfId="16907"/>
    <cellStyle name="Comma 29 4 2 2 3" xfId="13446"/>
    <cellStyle name="Comma 29 4 2 2 4" xfId="18985"/>
    <cellStyle name="Comma 29 4 2 2 5" xfId="11520"/>
    <cellStyle name="Comma 29 4 2 3" xfId="3763"/>
    <cellStyle name="Comma 29 4 2 3 2" xfId="9071"/>
    <cellStyle name="Comma 29 4 2 3 2 2" xfId="23172"/>
    <cellStyle name="Comma 29 4 2 3 2 3" xfId="17705"/>
    <cellStyle name="Comma 29 4 2 3 3" xfId="13447"/>
    <cellStyle name="Comma 29 4 2 3 4" xfId="18986"/>
    <cellStyle name="Comma 29 4 2 3 5" xfId="12316"/>
    <cellStyle name="Comma 29 4 2 4" xfId="7481"/>
    <cellStyle name="Comma 29 4 2 4 2" xfId="21588"/>
    <cellStyle name="Comma 29 4 2 4 3" xfId="16115"/>
    <cellStyle name="Comma 29 4 2 5" xfId="13445"/>
    <cellStyle name="Comma 29 4 2 6" xfId="18984"/>
    <cellStyle name="Comma 29 4 2 7" xfId="24188"/>
    <cellStyle name="Comma 29 4 2 8" xfId="10728"/>
    <cellStyle name="Comma 29 4 3" xfId="3764"/>
    <cellStyle name="Comma 29 4 3 2" xfId="3765"/>
    <cellStyle name="Comma 29 4 3 2 2" xfId="8533"/>
    <cellStyle name="Comma 29 4 3 2 2 2" xfId="22640"/>
    <cellStyle name="Comma 29 4 3 2 2 3" xfId="17167"/>
    <cellStyle name="Comma 29 4 3 2 3" xfId="13449"/>
    <cellStyle name="Comma 29 4 3 2 4" xfId="18988"/>
    <cellStyle name="Comma 29 4 3 2 5" xfId="11781"/>
    <cellStyle name="Comma 29 4 3 3" xfId="7741"/>
    <cellStyle name="Comma 29 4 3 3 2" xfId="21848"/>
    <cellStyle name="Comma 29 4 3 3 3" xfId="16375"/>
    <cellStyle name="Comma 29 4 3 4" xfId="13448"/>
    <cellStyle name="Comma 29 4 3 5" xfId="18987"/>
    <cellStyle name="Comma 29 4 3 6" xfId="10988"/>
    <cellStyle name="Comma 29 4 4" xfId="3766"/>
    <cellStyle name="Comma 29 4 4 2" xfId="6459"/>
    <cellStyle name="Comma 29 4 4 2 2" xfId="8895"/>
    <cellStyle name="Comma 29 4 4 2 2 2" xfId="22996"/>
    <cellStyle name="Comma 29 4 4 2 2 3" xfId="17529"/>
    <cellStyle name="Comma 29 4 4 2 3" xfId="15288"/>
    <cellStyle name="Comma 29 4 4 2 4" xfId="20782"/>
    <cellStyle name="Comma 29 4 4 2 5" xfId="12139"/>
    <cellStyle name="Comma 29 4 4 3" xfId="7305"/>
    <cellStyle name="Comma 29 4 4 3 2" xfId="21412"/>
    <cellStyle name="Comma 29 4 4 3 3" xfId="15939"/>
    <cellStyle name="Comma 29 4 4 4" xfId="13450"/>
    <cellStyle name="Comma 29 4 4 5" xfId="18989"/>
    <cellStyle name="Comma 29 4 4 6" xfId="10552"/>
    <cellStyle name="Comma 29 4 5" xfId="3767"/>
    <cellStyle name="Comma 29 4 5 2" xfId="8097"/>
    <cellStyle name="Comma 29 4 5 2 2" xfId="22204"/>
    <cellStyle name="Comma 29 4 5 2 3" xfId="16731"/>
    <cellStyle name="Comma 29 4 5 3" xfId="13451"/>
    <cellStyle name="Comma 29 4 5 4" xfId="18990"/>
    <cellStyle name="Comma 29 4 5 5" xfId="11344"/>
    <cellStyle name="Comma 29 4 6" xfId="3768"/>
    <cellStyle name="Comma 29 4 6 2" xfId="9432"/>
    <cellStyle name="Comma 29 4 6 2 2" xfId="23499"/>
    <cellStyle name="Comma 29 4 6 2 3" xfId="18051"/>
    <cellStyle name="Comma 29 4 6 3" xfId="13452"/>
    <cellStyle name="Comma 29 4 6 4" xfId="18991"/>
    <cellStyle name="Comma 29 4 6 5" xfId="12649"/>
    <cellStyle name="Comma 29 4 7" xfId="6946"/>
    <cellStyle name="Comma 29 4 7 2" xfId="21056"/>
    <cellStyle name="Comma 29 4 7 3" xfId="15583"/>
    <cellStyle name="Comma 29 4 8" xfId="9747"/>
    <cellStyle name="Comma 29 4 8 2" xfId="12855"/>
    <cellStyle name="Comma 29 4 9" xfId="9967"/>
    <cellStyle name="Comma 29 4 9 2" xfId="18406"/>
    <cellStyle name="Comma 29 5" xfId="3769"/>
    <cellStyle name="Comma 29 5 10" xfId="41389"/>
    <cellStyle name="Comma 29 5 2" xfId="3770"/>
    <cellStyle name="Comma 29 5 2 2" xfId="3771"/>
    <cellStyle name="Comma 29 5 2 2 2" xfId="8369"/>
    <cellStyle name="Comma 29 5 2 2 2 2" xfId="22476"/>
    <cellStyle name="Comma 29 5 2 2 2 3" xfId="17003"/>
    <cellStyle name="Comma 29 5 2 2 3" xfId="13455"/>
    <cellStyle name="Comma 29 5 2 2 4" xfId="18994"/>
    <cellStyle name="Comma 29 5 2 2 5" xfId="11617"/>
    <cellStyle name="Comma 29 5 2 3" xfId="3772"/>
    <cellStyle name="Comma 29 5 2 3 2" xfId="9167"/>
    <cellStyle name="Comma 29 5 2 3 2 2" xfId="23268"/>
    <cellStyle name="Comma 29 5 2 3 2 3" xfId="17801"/>
    <cellStyle name="Comma 29 5 2 3 3" xfId="13456"/>
    <cellStyle name="Comma 29 5 2 3 4" xfId="18995"/>
    <cellStyle name="Comma 29 5 2 3 5" xfId="12412"/>
    <cellStyle name="Comma 29 5 2 4" xfId="7577"/>
    <cellStyle name="Comma 29 5 2 4 2" xfId="21684"/>
    <cellStyle name="Comma 29 5 2 4 3" xfId="16211"/>
    <cellStyle name="Comma 29 5 2 5" xfId="13454"/>
    <cellStyle name="Comma 29 5 2 6" xfId="18993"/>
    <cellStyle name="Comma 29 5 2 7" xfId="10824"/>
    <cellStyle name="Comma 29 5 3" xfId="3773"/>
    <cellStyle name="Comma 29 5 3 2" xfId="3774"/>
    <cellStyle name="Comma 29 5 3 2 2" xfId="8629"/>
    <cellStyle name="Comma 29 5 3 2 2 2" xfId="22736"/>
    <cellStyle name="Comma 29 5 3 2 2 3" xfId="17263"/>
    <cellStyle name="Comma 29 5 3 2 3" xfId="13458"/>
    <cellStyle name="Comma 29 5 3 2 4" xfId="18997"/>
    <cellStyle name="Comma 29 5 3 2 5" xfId="11877"/>
    <cellStyle name="Comma 29 5 3 3" xfId="7837"/>
    <cellStyle name="Comma 29 5 3 3 2" xfId="21944"/>
    <cellStyle name="Comma 29 5 3 3 3" xfId="16471"/>
    <cellStyle name="Comma 29 5 3 4" xfId="13457"/>
    <cellStyle name="Comma 29 5 3 5" xfId="18996"/>
    <cellStyle name="Comma 29 5 3 6" xfId="11084"/>
    <cellStyle name="Comma 29 5 4" xfId="3775"/>
    <cellStyle name="Comma 29 5 4 2" xfId="6379"/>
    <cellStyle name="Comma 29 5 4 2 2" xfId="8815"/>
    <cellStyle name="Comma 29 5 4 2 2 2" xfId="22916"/>
    <cellStyle name="Comma 29 5 4 2 2 3" xfId="17449"/>
    <cellStyle name="Comma 29 5 4 2 3" xfId="15208"/>
    <cellStyle name="Comma 29 5 4 2 4" xfId="20702"/>
    <cellStyle name="Comma 29 5 4 2 5" xfId="12059"/>
    <cellStyle name="Comma 29 5 4 3" xfId="7225"/>
    <cellStyle name="Comma 29 5 4 3 2" xfId="21332"/>
    <cellStyle name="Comma 29 5 4 3 3" xfId="15859"/>
    <cellStyle name="Comma 29 5 4 4" xfId="13459"/>
    <cellStyle name="Comma 29 5 4 5" xfId="18998"/>
    <cellStyle name="Comma 29 5 4 6" xfId="10472"/>
    <cellStyle name="Comma 29 5 5" xfId="3776"/>
    <cellStyle name="Comma 29 5 5 2" xfId="8017"/>
    <cellStyle name="Comma 29 5 5 2 2" xfId="22124"/>
    <cellStyle name="Comma 29 5 5 2 3" xfId="16651"/>
    <cellStyle name="Comma 29 5 5 3" xfId="13460"/>
    <cellStyle name="Comma 29 5 5 4" xfId="18999"/>
    <cellStyle name="Comma 29 5 5 5" xfId="11264"/>
    <cellStyle name="Comma 29 5 6" xfId="7042"/>
    <cellStyle name="Comma 29 5 6 2" xfId="21152"/>
    <cellStyle name="Comma 29 5 6 3" xfId="15679"/>
    <cellStyle name="Comma 29 5 7" xfId="13453"/>
    <cellStyle name="Comma 29 5 8" xfId="18992"/>
    <cellStyle name="Comma 29 5 9" xfId="10292"/>
    <cellStyle name="Comma 29 6" xfId="3777"/>
    <cellStyle name="Comma 29 6 2" xfId="3778"/>
    <cellStyle name="Comma 29 6 2 2" xfId="8193"/>
    <cellStyle name="Comma 29 6 2 2 2" xfId="22300"/>
    <cellStyle name="Comma 29 6 2 2 3" xfId="16827"/>
    <cellStyle name="Comma 29 6 2 3" xfId="13462"/>
    <cellStyle name="Comma 29 6 2 4" xfId="19001"/>
    <cellStyle name="Comma 29 6 2 5" xfId="11440"/>
    <cellStyle name="Comma 29 6 3" xfId="3779"/>
    <cellStyle name="Comma 29 6 3 2" xfId="8991"/>
    <cellStyle name="Comma 29 6 3 2 2" xfId="23092"/>
    <cellStyle name="Comma 29 6 3 2 3" xfId="17625"/>
    <cellStyle name="Comma 29 6 3 3" xfId="13463"/>
    <cellStyle name="Comma 29 6 3 4" xfId="19002"/>
    <cellStyle name="Comma 29 6 3 5" xfId="12235"/>
    <cellStyle name="Comma 29 6 4" xfId="7401"/>
    <cellStyle name="Comma 29 6 4 2" xfId="21508"/>
    <cellStyle name="Comma 29 6 4 3" xfId="16035"/>
    <cellStyle name="Comma 29 6 5" xfId="13461"/>
    <cellStyle name="Comma 29 6 6" xfId="19000"/>
    <cellStyle name="Comma 29 6 7" xfId="10648"/>
    <cellStyle name="Comma 29 6 8" xfId="41390"/>
    <cellStyle name="Comma 29 7" xfId="3780"/>
    <cellStyle name="Comma 29 7 2" xfId="3781"/>
    <cellStyle name="Comma 29 7 2 2" xfId="8453"/>
    <cellStyle name="Comma 29 7 2 2 2" xfId="22560"/>
    <cellStyle name="Comma 29 7 2 2 3" xfId="17087"/>
    <cellStyle name="Comma 29 7 2 3" xfId="13465"/>
    <cellStyle name="Comma 29 7 2 4" xfId="19004"/>
    <cellStyle name="Comma 29 7 2 5" xfId="11701"/>
    <cellStyle name="Comma 29 7 3" xfId="7661"/>
    <cellStyle name="Comma 29 7 3 2" xfId="21768"/>
    <cellStyle name="Comma 29 7 3 3" xfId="16295"/>
    <cellStyle name="Comma 29 7 4" xfId="13464"/>
    <cellStyle name="Comma 29 7 5" xfId="19003"/>
    <cellStyle name="Comma 29 7 6" xfId="10908"/>
    <cellStyle name="Comma 29 8" xfId="3782"/>
    <cellStyle name="Comma 29 8 2" xfId="6283"/>
    <cellStyle name="Comma 29 8 2 2" xfId="8719"/>
    <cellStyle name="Comma 29 8 2 2 2" xfId="22820"/>
    <cellStyle name="Comma 29 8 2 2 3" xfId="17353"/>
    <cellStyle name="Comma 29 8 2 3" xfId="15112"/>
    <cellStyle name="Comma 29 8 2 4" xfId="20606"/>
    <cellStyle name="Comma 29 8 2 5" xfId="11963"/>
    <cellStyle name="Comma 29 8 3" xfId="7129"/>
    <cellStyle name="Comma 29 8 3 2" xfId="21236"/>
    <cellStyle name="Comma 29 8 3 3" xfId="15763"/>
    <cellStyle name="Comma 29 8 4" xfId="13466"/>
    <cellStyle name="Comma 29 8 5" xfId="19005"/>
    <cellStyle name="Comma 29 8 6" xfId="10376"/>
    <cellStyle name="Comma 29 9" xfId="3783"/>
    <cellStyle name="Comma 29 9 2" xfId="7921"/>
    <cellStyle name="Comma 29 9 2 2" xfId="22028"/>
    <cellStyle name="Comma 29 9 2 3" xfId="16555"/>
    <cellStyle name="Comma 29 9 3" xfId="13467"/>
    <cellStyle name="Comma 29 9 4" xfId="19006"/>
    <cellStyle name="Comma 29 9 5" xfId="11168"/>
    <cellStyle name="Comma 290" xfId="44138"/>
    <cellStyle name="Comma 291" xfId="44185"/>
    <cellStyle name="Comma 292" xfId="44192"/>
    <cellStyle name="Comma 293" xfId="44196"/>
    <cellStyle name="Comma 294" xfId="44193"/>
    <cellStyle name="Comma 295" xfId="44092"/>
    <cellStyle name="Comma 296" xfId="44243"/>
    <cellStyle name="Comma 297" xfId="53"/>
    <cellStyle name="Comma 3" xfId="71"/>
    <cellStyle name="Comma 3 10" xfId="44271"/>
    <cellStyle name="Comma 3 11" xfId="173"/>
    <cellStyle name="Comma 3 2" xfId="75"/>
    <cellStyle name="Comma 3 2 10" xfId="3784"/>
    <cellStyle name="Comma 3 2 10 2" xfId="7910"/>
    <cellStyle name="Comma 3 2 10 2 2" xfId="22017"/>
    <cellStyle name="Comma 3 2 10 2 3" xfId="16544"/>
    <cellStyle name="Comma 3 2 10 3" xfId="13468"/>
    <cellStyle name="Comma 3 2 10 4" xfId="19007"/>
    <cellStyle name="Comma 3 2 10 5" xfId="11157"/>
    <cellStyle name="Comma 3 2 11" xfId="6835"/>
    <cellStyle name="Comma 3 2 11 2" xfId="20965"/>
    <cellStyle name="Comma 3 2 11 3" xfId="15491"/>
    <cellStyle name="Comma 3 2 12" xfId="10099"/>
    <cellStyle name="Comma 3 2 13" xfId="41392"/>
    <cellStyle name="Comma 3 2 14" xfId="317"/>
    <cellStyle name="Comma 3 2 15" xfId="44279"/>
    <cellStyle name="Comma 3 2 16" xfId="175"/>
    <cellStyle name="Comma 3 2 2" xfId="79"/>
    <cellStyle name="Comma 3 2 2 2" xfId="129"/>
    <cellStyle name="Comma 3 2 2 2 2" xfId="145"/>
    <cellStyle name="Comma 3 2 2 2 2 2" xfId="43225"/>
    <cellStyle name="Comma 3 2 2 2 3" xfId="188"/>
    <cellStyle name="Comma 3 2 2 3" xfId="137"/>
    <cellStyle name="Comma 3 2 2 3 2" xfId="43218"/>
    <cellStyle name="Comma 3 2 2 3 3" xfId="196"/>
    <cellStyle name="Comma 3 2 2 4" xfId="168"/>
    <cellStyle name="Comma 3 2 2 4 2" xfId="41393"/>
    <cellStyle name="Comma 3 2 2 5" xfId="1596"/>
    <cellStyle name="Comma 3 2 2 6" xfId="44291"/>
    <cellStyle name="Comma 3 2 2 7" xfId="179"/>
    <cellStyle name="Comma 3 2 3" xfId="125"/>
    <cellStyle name="Comma 3 2 3 2" xfId="141"/>
    <cellStyle name="Comma 3 2 3 2 2" xfId="6774"/>
    <cellStyle name="Comma 3 2 3 2 2 2" xfId="20924"/>
    <cellStyle name="Comma 3 2 3 2 2 3" xfId="24217"/>
    <cellStyle name="Comma 3 2 3 2 2 4" xfId="15450"/>
    <cellStyle name="Comma 3 2 3 2 3" xfId="9481"/>
    <cellStyle name="Comma 3 2 3 2 3 2" xfId="23528"/>
    <cellStyle name="Comma 3 2 3 2 3 3" xfId="18082"/>
    <cellStyle name="Comma 3 2 3 2 4" xfId="9783"/>
    <cellStyle name="Comma 3 2 3 2 4 2" xfId="12884"/>
    <cellStyle name="Comma 3 2 3 2 5" xfId="9996"/>
    <cellStyle name="Comma 3 2 3 2 5 2" xfId="18435"/>
    <cellStyle name="Comma 3 2 3 2 6" xfId="24021"/>
    <cellStyle name="Comma 3 2 3 2 7" xfId="12682"/>
    <cellStyle name="Comma 3 2 3 2 8" xfId="3007"/>
    <cellStyle name="Comma 3 2 3 3" xfId="23836"/>
    <cellStyle name="Comma 3 2 3 3 2" xfId="43221"/>
    <cellStyle name="Comma 3 2 3 4" xfId="23726"/>
    <cellStyle name="Comma 3 2 3 5" xfId="2144"/>
    <cellStyle name="Comma 3 2 3 6" xfId="41394"/>
    <cellStyle name="Comma 3 2 3 7" xfId="1573"/>
    <cellStyle name="Comma 3 2 3 8" xfId="184"/>
    <cellStyle name="Comma 3 2 4" xfId="133"/>
    <cellStyle name="Comma 3 2 4 10" xfId="9922"/>
    <cellStyle name="Comma 3 2 4 10 2" xfId="18362"/>
    <cellStyle name="Comma 3 2 4 11" xfId="23826"/>
    <cellStyle name="Comma 3 2 4 12" xfId="10135"/>
    <cellStyle name="Comma 3 2 4 13" xfId="44200"/>
    <cellStyle name="Comma 3 2 4 14" xfId="2123"/>
    <cellStyle name="Comma 3 2 4 15" xfId="192"/>
    <cellStyle name="Comma 3 2 4 2" xfId="3785"/>
    <cellStyle name="Comma 3 2 4 2 2" xfId="3786"/>
    <cellStyle name="Comma 3 2 4 2 2 2" xfId="3787"/>
    <cellStyle name="Comma 3 2 4 2 2 2 2" xfId="8650"/>
    <cellStyle name="Comma 3 2 4 2 2 2 2 2" xfId="22757"/>
    <cellStyle name="Comma 3 2 4 2 2 2 2 3" xfId="17284"/>
    <cellStyle name="Comma 3 2 4 2 2 2 3" xfId="13471"/>
    <cellStyle name="Comma 3 2 4 2 2 2 4" xfId="19010"/>
    <cellStyle name="Comma 3 2 4 2 2 2 5" xfId="11898"/>
    <cellStyle name="Comma 3 2 4 2 2 3" xfId="7858"/>
    <cellStyle name="Comma 3 2 4 2 2 3 2" xfId="21965"/>
    <cellStyle name="Comma 3 2 4 2 2 3 3" xfId="16492"/>
    <cellStyle name="Comma 3 2 4 2 2 4" xfId="13470"/>
    <cellStyle name="Comma 3 2 4 2 2 5" xfId="19009"/>
    <cellStyle name="Comma 3 2 4 2 2 6" xfId="11105"/>
    <cellStyle name="Comma 3 2 4 2 3" xfId="3788"/>
    <cellStyle name="Comma 3 2 4 2 3 2" xfId="6589"/>
    <cellStyle name="Comma 3 2 4 2 3 2 2" xfId="9188"/>
    <cellStyle name="Comma 3 2 4 2 3 2 2 2" xfId="23289"/>
    <cellStyle name="Comma 3 2 4 2 3 2 2 3" xfId="17822"/>
    <cellStyle name="Comma 3 2 4 2 3 2 3" xfId="15374"/>
    <cellStyle name="Comma 3 2 4 2 3 2 4" xfId="20867"/>
    <cellStyle name="Comma 3 2 4 2 3 2 5" xfId="12433"/>
    <cellStyle name="Comma 3 2 4 2 3 3" xfId="7598"/>
    <cellStyle name="Comma 3 2 4 2 3 3 2" xfId="21705"/>
    <cellStyle name="Comma 3 2 4 2 3 3 3" xfId="16232"/>
    <cellStyle name="Comma 3 2 4 2 3 4" xfId="13472"/>
    <cellStyle name="Comma 3 2 4 2 3 5" xfId="19011"/>
    <cellStyle name="Comma 3 2 4 2 3 6" xfId="10845"/>
    <cellStyle name="Comma 3 2 4 2 4" xfId="3789"/>
    <cellStyle name="Comma 3 2 4 2 4 2" xfId="8390"/>
    <cellStyle name="Comma 3 2 4 2 4 2 2" xfId="22497"/>
    <cellStyle name="Comma 3 2 4 2 4 2 3" xfId="17024"/>
    <cellStyle name="Comma 3 2 4 2 4 3" xfId="13473"/>
    <cellStyle name="Comma 3 2 4 2 4 4" xfId="19012"/>
    <cellStyle name="Comma 3 2 4 2 4 5" xfId="11638"/>
    <cellStyle name="Comma 3 2 4 2 5" xfId="7064"/>
    <cellStyle name="Comma 3 2 4 2 5 2" xfId="21173"/>
    <cellStyle name="Comma 3 2 4 2 5 3" xfId="15700"/>
    <cellStyle name="Comma 3 2 4 2 6" xfId="13469"/>
    <cellStyle name="Comma 3 2 4 2 7" xfId="19008"/>
    <cellStyle name="Comma 3 2 4 2 8" xfId="24144"/>
    <cellStyle name="Comma 3 2 4 2 9" xfId="10313"/>
    <cellStyle name="Comma 3 2 4 3" xfId="3790"/>
    <cellStyle name="Comma 3 2 4 3 2" xfId="3791"/>
    <cellStyle name="Comma 3 2 4 3 2 2" xfId="8214"/>
    <cellStyle name="Comma 3 2 4 3 2 2 2" xfId="22321"/>
    <cellStyle name="Comma 3 2 4 3 2 2 3" xfId="16848"/>
    <cellStyle name="Comma 3 2 4 3 2 3" xfId="13475"/>
    <cellStyle name="Comma 3 2 4 3 2 4" xfId="19014"/>
    <cellStyle name="Comma 3 2 4 3 2 5" xfId="11461"/>
    <cellStyle name="Comma 3 2 4 3 3" xfId="3792"/>
    <cellStyle name="Comma 3 2 4 3 3 2" xfId="9012"/>
    <cellStyle name="Comma 3 2 4 3 3 2 2" xfId="23113"/>
    <cellStyle name="Comma 3 2 4 3 3 2 3" xfId="17646"/>
    <cellStyle name="Comma 3 2 4 3 3 3" xfId="13476"/>
    <cellStyle name="Comma 3 2 4 3 3 4" xfId="19015"/>
    <cellStyle name="Comma 3 2 4 3 3 5" xfId="12256"/>
    <cellStyle name="Comma 3 2 4 3 4" xfId="7422"/>
    <cellStyle name="Comma 3 2 4 3 4 2" xfId="21529"/>
    <cellStyle name="Comma 3 2 4 3 4 3" xfId="16056"/>
    <cellStyle name="Comma 3 2 4 3 5" xfId="13474"/>
    <cellStyle name="Comma 3 2 4 3 6" xfId="19013"/>
    <cellStyle name="Comma 3 2 4 3 7" xfId="10669"/>
    <cellStyle name="Comma 3 2 4 4" xfId="3793"/>
    <cellStyle name="Comma 3 2 4 4 2" xfId="3794"/>
    <cellStyle name="Comma 3 2 4 4 2 2" xfId="8474"/>
    <cellStyle name="Comma 3 2 4 4 2 2 2" xfId="22581"/>
    <cellStyle name="Comma 3 2 4 4 2 2 3" xfId="17108"/>
    <cellStyle name="Comma 3 2 4 4 2 3" xfId="13478"/>
    <cellStyle name="Comma 3 2 4 4 2 4" xfId="19017"/>
    <cellStyle name="Comma 3 2 4 4 2 5" xfId="11722"/>
    <cellStyle name="Comma 3 2 4 4 3" xfId="7682"/>
    <cellStyle name="Comma 3 2 4 4 3 2" xfId="21789"/>
    <cellStyle name="Comma 3 2 4 4 3 3" xfId="16316"/>
    <cellStyle name="Comma 3 2 4 4 4" xfId="13477"/>
    <cellStyle name="Comma 3 2 4 4 5" xfId="19016"/>
    <cellStyle name="Comma 3 2 4 4 6" xfId="10929"/>
    <cellStyle name="Comma 3 2 4 5" xfId="3795"/>
    <cellStyle name="Comma 3 2 4 5 2" xfId="6400"/>
    <cellStyle name="Comma 3 2 4 5 2 2" xfId="8836"/>
    <cellStyle name="Comma 3 2 4 5 2 2 2" xfId="22937"/>
    <cellStyle name="Comma 3 2 4 5 2 2 3" xfId="17470"/>
    <cellStyle name="Comma 3 2 4 5 2 3" xfId="15229"/>
    <cellStyle name="Comma 3 2 4 5 2 4" xfId="20723"/>
    <cellStyle name="Comma 3 2 4 5 2 5" xfId="12080"/>
    <cellStyle name="Comma 3 2 4 5 3" xfId="7246"/>
    <cellStyle name="Comma 3 2 4 5 3 2" xfId="21353"/>
    <cellStyle name="Comma 3 2 4 5 3 3" xfId="15880"/>
    <cellStyle name="Comma 3 2 4 5 4" xfId="13479"/>
    <cellStyle name="Comma 3 2 4 5 5" xfId="19018"/>
    <cellStyle name="Comma 3 2 4 5 6" xfId="10493"/>
    <cellStyle name="Comma 3 2 4 6" xfId="3796"/>
    <cellStyle name="Comma 3 2 4 6 2" xfId="8038"/>
    <cellStyle name="Comma 3 2 4 6 2 2" xfId="22145"/>
    <cellStyle name="Comma 3 2 4 6 2 3" xfId="16672"/>
    <cellStyle name="Comma 3 2 4 6 3" xfId="13480"/>
    <cellStyle name="Comma 3 2 4 6 4" xfId="19019"/>
    <cellStyle name="Comma 3 2 4 6 5" xfId="11285"/>
    <cellStyle name="Comma 3 2 4 7" xfId="3797"/>
    <cellStyle name="Comma 3 2 4 7 2" xfId="9386"/>
    <cellStyle name="Comma 3 2 4 7 2 2" xfId="23455"/>
    <cellStyle name="Comma 3 2 4 7 2 3" xfId="18007"/>
    <cellStyle name="Comma 3 2 4 7 3" xfId="13481"/>
    <cellStyle name="Comma 3 2 4 7 4" xfId="19020"/>
    <cellStyle name="Comma 3 2 4 7 5" xfId="12604"/>
    <cellStyle name="Comma 3 2 4 8" xfId="6884"/>
    <cellStyle name="Comma 3 2 4 8 2" xfId="20997"/>
    <cellStyle name="Comma 3 2 4 8 3" xfId="15524"/>
    <cellStyle name="Comma 3 2 4 9" xfId="9693"/>
    <cellStyle name="Comma 3 2 4 9 2" xfId="12811"/>
    <cellStyle name="Comma 3 2 5" xfId="160"/>
    <cellStyle name="Comma 3 2 5 10" xfId="23973"/>
    <cellStyle name="Comma 3 2 5 11" xfId="10185"/>
    <cellStyle name="Comma 3 2 5 12" xfId="2589"/>
    <cellStyle name="Comma 3 2 5 2" xfId="3798"/>
    <cellStyle name="Comma 3 2 5 2 2" xfId="3799"/>
    <cellStyle name="Comma 3 2 5 2 2 2" xfId="8262"/>
    <cellStyle name="Comma 3 2 5 2 2 2 2" xfId="22369"/>
    <cellStyle name="Comma 3 2 5 2 2 2 3" xfId="16896"/>
    <cellStyle name="Comma 3 2 5 2 2 3" xfId="13483"/>
    <cellStyle name="Comma 3 2 5 2 2 4" xfId="19022"/>
    <cellStyle name="Comma 3 2 5 2 2 5" xfId="11509"/>
    <cellStyle name="Comma 3 2 5 2 3" xfId="3800"/>
    <cellStyle name="Comma 3 2 5 2 3 2" xfId="9060"/>
    <cellStyle name="Comma 3 2 5 2 3 2 2" xfId="23161"/>
    <cellStyle name="Comma 3 2 5 2 3 2 3" xfId="17694"/>
    <cellStyle name="Comma 3 2 5 2 3 3" xfId="13484"/>
    <cellStyle name="Comma 3 2 5 2 3 4" xfId="19023"/>
    <cellStyle name="Comma 3 2 5 2 3 5" xfId="12305"/>
    <cellStyle name="Comma 3 2 5 2 4" xfId="7470"/>
    <cellStyle name="Comma 3 2 5 2 4 2" xfId="21577"/>
    <cellStyle name="Comma 3 2 5 2 4 3" xfId="16104"/>
    <cellStyle name="Comma 3 2 5 2 5" xfId="13482"/>
    <cellStyle name="Comma 3 2 5 2 6" xfId="19021"/>
    <cellStyle name="Comma 3 2 5 2 7" xfId="24177"/>
    <cellStyle name="Comma 3 2 5 2 8" xfId="10717"/>
    <cellStyle name="Comma 3 2 5 3" xfId="3801"/>
    <cellStyle name="Comma 3 2 5 3 2" xfId="3802"/>
    <cellStyle name="Comma 3 2 5 3 2 2" xfId="8522"/>
    <cellStyle name="Comma 3 2 5 3 2 2 2" xfId="22629"/>
    <cellStyle name="Comma 3 2 5 3 2 2 3" xfId="17156"/>
    <cellStyle name="Comma 3 2 5 3 2 3" xfId="13486"/>
    <cellStyle name="Comma 3 2 5 3 2 4" xfId="19025"/>
    <cellStyle name="Comma 3 2 5 3 2 5" xfId="11770"/>
    <cellStyle name="Comma 3 2 5 3 3" xfId="7730"/>
    <cellStyle name="Comma 3 2 5 3 3 2" xfId="21837"/>
    <cellStyle name="Comma 3 2 5 3 3 3" xfId="16364"/>
    <cellStyle name="Comma 3 2 5 3 4" xfId="13485"/>
    <cellStyle name="Comma 3 2 5 3 5" xfId="19024"/>
    <cellStyle name="Comma 3 2 5 3 6" xfId="10977"/>
    <cellStyle name="Comma 3 2 5 4" xfId="3803"/>
    <cellStyle name="Comma 3 2 5 4 2" xfId="6448"/>
    <cellStyle name="Comma 3 2 5 4 2 2" xfId="8884"/>
    <cellStyle name="Comma 3 2 5 4 2 2 2" xfId="22985"/>
    <cellStyle name="Comma 3 2 5 4 2 2 3" xfId="17518"/>
    <cellStyle name="Comma 3 2 5 4 2 3" xfId="15277"/>
    <cellStyle name="Comma 3 2 5 4 2 4" xfId="20771"/>
    <cellStyle name="Comma 3 2 5 4 2 5" xfId="12128"/>
    <cellStyle name="Comma 3 2 5 4 3" xfId="7294"/>
    <cellStyle name="Comma 3 2 5 4 3 2" xfId="21401"/>
    <cellStyle name="Comma 3 2 5 4 3 3" xfId="15928"/>
    <cellStyle name="Comma 3 2 5 4 4" xfId="13487"/>
    <cellStyle name="Comma 3 2 5 4 5" xfId="19026"/>
    <cellStyle name="Comma 3 2 5 4 6" xfId="10541"/>
    <cellStyle name="Comma 3 2 5 5" xfId="3804"/>
    <cellStyle name="Comma 3 2 5 5 2" xfId="8086"/>
    <cellStyle name="Comma 3 2 5 5 2 2" xfId="22193"/>
    <cellStyle name="Comma 3 2 5 5 2 3" xfId="16720"/>
    <cellStyle name="Comma 3 2 5 5 3" xfId="13488"/>
    <cellStyle name="Comma 3 2 5 5 4" xfId="19027"/>
    <cellStyle name="Comma 3 2 5 5 5" xfId="11333"/>
    <cellStyle name="Comma 3 2 5 6" xfId="3805"/>
    <cellStyle name="Comma 3 2 5 6 2" xfId="9421"/>
    <cellStyle name="Comma 3 2 5 6 2 2" xfId="23488"/>
    <cellStyle name="Comma 3 2 5 6 2 3" xfId="18040"/>
    <cellStyle name="Comma 3 2 5 6 3" xfId="13489"/>
    <cellStyle name="Comma 3 2 5 6 4" xfId="19028"/>
    <cellStyle name="Comma 3 2 5 6 5" xfId="12638"/>
    <cellStyle name="Comma 3 2 5 7" xfId="6935"/>
    <cellStyle name="Comma 3 2 5 7 2" xfId="21045"/>
    <cellStyle name="Comma 3 2 5 7 3" xfId="15572"/>
    <cellStyle name="Comma 3 2 5 8" xfId="9736"/>
    <cellStyle name="Comma 3 2 5 8 2" xfId="12844"/>
    <cellStyle name="Comma 3 2 5 9" xfId="9956"/>
    <cellStyle name="Comma 3 2 5 9 2" xfId="18395"/>
    <cellStyle name="Comma 3 2 6" xfId="3806"/>
    <cellStyle name="Comma 3 2 6 10" xfId="43060"/>
    <cellStyle name="Comma 3 2 6 2" xfId="3807"/>
    <cellStyle name="Comma 3 2 6 2 2" xfId="3808"/>
    <cellStyle name="Comma 3 2 6 2 2 2" xfId="8358"/>
    <cellStyle name="Comma 3 2 6 2 2 2 2" xfId="22465"/>
    <cellStyle name="Comma 3 2 6 2 2 2 3" xfId="16992"/>
    <cellStyle name="Comma 3 2 6 2 2 3" xfId="13492"/>
    <cellStyle name="Comma 3 2 6 2 2 4" xfId="19031"/>
    <cellStyle name="Comma 3 2 6 2 2 5" xfId="11606"/>
    <cellStyle name="Comma 3 2 6 2 3" xfId="3809"/>
    <cellStyle name="Comma 3 2 6 2 3 2" xfId="9156"/>
    <cellStyle name="Comma 3 2 6 2 3 2 2" xfId="23257"/>
    <cellStyle name="Comma 3 2 6 2 3 2 3" xfId="17790"/>
    <cellStyle name="Comma 3 2 6 2 3 3" xfId="13493"/>
    <cellStyle name="Comma 3 2 6 2 3 4" xfId="19032"/>
    <cellStyle name="Comma 3 2 6 2 3 5" xfId="12401"/>
    <cellStyle name="Comma 3 2 6 2 4" xfId="7566"/>
    <cellStyle name="Comma 3 2 6 2 4 2" xfId="21673"/>
    <cellStyle name="Comma 3 2 6 2 4 3" xfId="16200"/>
    <cellStyle name="Comma 3 2 6 2 5" xfId="13491"/>
    <cellStyle name="Comma 3 2 6 2 6" xfId="19030"/>
    <cellStyle name="Comma 3 2 6 2 7" xfId="10813"/>
    <cellStyle name="Comma 3 2 6 3" xfId="3810"/>
    <cellStyle name="Comma 3 2 6 3 2" xfId="3811"/>
    <cellStyle name="Comma 3 2 6 3 2 2" xfId="8618"/>
    <cellStyle name="Comma 3 2 6 3 2 2 2" xfId="22725"/>
    <cellStyle name="Comma 3 2 6 3 2 2 3" xfId="17252"/>
    <cellStyle name="Comma 3 2 6 3 2 3" xfId="13495"/>
    <cellStyle name="Comma 3 2 6 3 2 4" xfId="19034"/>
    <cellStyle name="Comma 3 2 6 3 2 5" xfId="11866"/>
    <cellStyle name="Comma 3 2 6 3 3" xfId="7826"/>
    <cellStyle name="Comma 3 2 6 3 3 2" xfId="21933"/>
    <cellStyle name="Comma 3 2 6 3 3 3" xfId="16460"/>
    <cellStyle name="Comma 3 2 6 3 4" xfId="13494"/>
    <cellStyle name="Comma 3 2 6 3 5" xfId="19033"/>
    <cellStyle name="Comma 3 2 6 3 6" xfId="11073"/>
    <cellStyle name="Comma 3 2 6 4" xfId="3812"/>
    <cellStyle name="Comma 3 2 6 4 2" xfId="6368"/>
    <cellStyle name="Comma 3 2 6 4 2 2" xfId="8804"/>
    <cellStyle name="Comma 3 2 6 4 2 2 2" xfId="22905"/>
    <cellStyle name="Comma 3 2 6 4 2 2 3" xfId="17438"/>
    <cellStyle name="Comma 3 2 6 4 2 3" xfId="15197"/>
    <cellStyle name="Comma 3 2 6 4 2 4" xfId="20691"/>
    <cellStyle name="Comma 3 2 6 4 2 5" xfId="12048"/>
    <cellStyle name="Comma 3 2 6 4 3" xfId="7214"/>
    <cellStyle name="Comma 3 2 6 4 3 2" xfId="21321"/>
    <cellStyle name="Comma 3 2 6 4 3 3" xfId="15848"/>
    <cellStyle name="Comma 3 2 6 4 4" xfId="13496"/>
    <cellStyle name="Comma 3 2 6 4 5" xfId="19035"/>
    <cellStyle name="Comma 3 2 6 4 6" xfId="10461"/>
    <cellStyle name="Comma 3 2 6 5" xfId="3813"/>
    <cellStyle name="Comma 3 2 6 5 2" xfId="8006"/>
    <cellStyle name="Comma 3 2 6 5 2 2" xfId="22113"/>
    <cellStyle name="Comma 3 2 6 5 2 3" xfId="16640"/>
    <cellStyle name="Comma 3 2 6 5 3" xfId="13497"/>
    <cellStyle name="Comma 3 2 6 5 4" xfId="19036"/>
    <cellStyle name="Comma 3 2 6 5 5" xfId="11253"/>
    <cellStyle name="Comma 3 2 6 6" xfId="7031"/>
    <cellStyle name="Comma 3 2 6 6 2" xfId="21141"/>
    <cellStyle name="Comma 3 2 6 6 3" xfId="15668"/>
    <cellStyle name="Comma 3 2 6 7" xfId="13490"/>
    <cellStyle name="Comma 3 2 6 8" xfId="19029"/>
    <cellStyle name="Comma 3 2 6 9" xfId="10281"/>
    <cellStyle name="Comma 3 2 7" xfId="3814"/>
    <cellStyle name="Comma 3 2 7 2" xfId="3815"/>
    <cellStyle name="Comma 3 2 7 2 2" xfId="8182"/>
    <cellStyle name="Comma 3 2 7 2 2 2" xfId="22289"/>
    <cellStyle name="Comma 3 2 7 2 2 3" xfId="16816"/>
    <cellStyle name="Comma 3 2 7 2 3" xfId="13499"/>
    <cellStyle name="Comma 3 2 7 2 4" xfId="19038"/>
    <cellStyle name="Comma 3 2 7 2 5" xfId="11429"/>
    <cellStyle name="Comma 3 2 7 3" xfId="3816"/>
    <cellStyle name="Comma 3 2 7 3 2" xfId="8980"/>
    <cellStyle name="Comma 3 2 7 3 2 2" xfId="23081"/>
    <cellStyle name="Comma 3 2 7 3 2 3" xfId="17614"/>
    <cellStyle name="Comma 3 2 7 3 3" xfId="13500"/>
    <cellStyle name="Comma 3 2 7 3 4" xfId="19039"/>
    <cellStyle name="Comma 3 2 7 3 5" xfId="12224"/>
    <cellStyle name="Comma 3 2 7 4" xfId="7390"/>
    <cellStyle name="Comma 3 2 7 4 2" xfId="21497"/>
    <cellStyle name="Comma 3 2 7 4 3" xfId="16024"/>
    <cellStyle name="Comma 3 2 7 5" xfId="13498"/>
    <cellStyle name="Comma 3 2 7 6" xfId="19037"/>
    <cellStyle name="Comma 3 2 7 7" xfId="10637"/>
    <cellStyle name="Comma 3 2 7 8" xfId="43211"/>
    <cellStyle name="Comma 3 2 8" xfId="3817"/>
    <cellStyle name="Comma 3 2 8 2" xfId="3818"/>
    <cellStyle name="Comma 3 2 8 2 2" xfId="8442"/>
    <cellStyle name="Comma 3 2 8 2 2 2" xfId="22549"/>
    <cellStyle name="Comma 3 2 8 2 2 3" xfId="17076"/>
    <cellStyle name="Comma 3 2 8 2 3" xfId="13502"/>
    <cellStyle name="Comma 3 2 8 2 4" xfId="19041"/>
    <cellStyle name="Comma 3 2 8 2 5" xfId="11690"/>
    <cellStyle name="Comma 3 2 8 3" xfId="7650"/>
    <cellStyle name="Comma 3 2 8 3 2" xfId="21757"/>
    <cellStyle name="Comma 3 2 8 3 3" xfId="16284"/>
    <cellStyle name="Comma 3 2 8 4" xfId="13501"/>
    <cellStyle name="Comma 3 2 8 5" xfId="19040"/>
    <cellStyle name="Comma 3 2 8 6" xfId="10897"/>
    <cellStyle name="Comma 3 2 9" xfId="3819"/>
    <cellStyle name="Comma 3 2 9 2" xfId="6272"/>
    <cellStyle name="Comma 3 2 9 2 2" xfId="8708"/>
    <cellStyle name="Comma 3 2 9 2 2 2" xfId="22809"/>
    <cellStyle name="Comma 3 2 9 2 2 3" xfId="17342"/>
    <cellStyle name="Comma 3 2 9 2 3" xfId="15101"/>
    <cellStyle name="Comma 3 2 9 2 4" xfId="20595"/>
    <cellStyle name="Comma 3 2 9 2 5" xfId="11952"/>
    <cellStyle name="Comma 3 2 9 3" xfId="7118"/>
    <cellStyle name="Comma 3 2 9 3 2" xfId="21225"/>
    <cellStyle name="Comma 3 2 9 3 3" xfId="15752"/>
    <cellStyle name="Comma 3 2 9 4" xfId="13503"/>
    <cellStyle name="Comma 3 2 9 5" xfId="19042"/>
    <cellStyle name="Comma 3 2 9 6" xfId="10365"/>
    <cellStyle name="Comma 3 3" xfId="77"/>
    <cellStyle name="Comma 3 3 2" xfId="127"/>
    <cellStyle name="Comma 3 3 2 2" xfId="143"/>
    <cellStyle name="Comma 3 3 2 2 2" xfId="43223"/>
    <cellStyle name="Comma 3 3 2 3" xfId="41396"/>
    <cellStyle name="Comma 3 3 2 4" xfId="1266"/>
    <cellStyle name="Comma 3 3 2 5" xfId="44295"/>
    <cellStyle name="Comma 3 3 2 6" xfId="186"/>
    <cellStyle name="Comma 3 3 3" xfId="135"/>
    <cellStyle name="Comma 3 3 3 10" xfId="1278"/>
    <cellStyle name="Comma 3 3 3 11" xfId="194"/>
    <cellStyle name="Comma 3 3 3 2" xfId="6773"/>
    <cellStyle name="Comma 3 3 3 2 2" xfId="20923"/>
    <cellStyle name="Comma 3 3 3 2 3" xfId="24203"/>
    <cellStyle name="Comma 3 3 3 2 4" xfId="15449"/>
    <cellStyle name="Comma 3 3 3 3" xfId="9465"/>
    <cellStyle name="Comma 3 3 3 3 2" xfId="23514"/>
    <cellStyle name="Comma 3 3 3 3 3" xfId="18068"/>
    <cellStyle name="Comma 3 3 3 4" xfId="9766"/>
    <cellStyle name="Comma 3 3 3 4 2" xfId="12870"/>
    <cellStyle name="Comma 3 3 3 5" xfId="9982"/>
    <cellStyle name="Comma 3 3 3 5 2" xfId="18421"/>
    <cellStyle name="Comma 3 3 3 6" xfId="23711"/>
    <cellStyle name="Comma 3 3 3 7" xfId="12668"/>
    <cellStyle name="Comma 3 3 3 8" xfId="2922"/>
    <cellStyle name="Comma 3 3 3 9" xfId="44201"/>
    <cellStyle name="Comma 3 3 4" xfId="164"/>
    <cellStyle name="Comma 3 3 4 2" xfId="43061"/>
    <cellStyle name="Comma 3 3 5" xfId="43216"/>
    <cellStyle name="Comma 3 3 6" xfId="41395"/>
    <cellStyle name="Comma 3 3 7" xfId="318"/>
    <cellStyle name="Comma 3 3 8" xfId="44283"/>
    <cellStyle name="Comma 3 3 9" xfId="177"/>
    <cellStyle name="Comma 3 4" xfId="123"/>
    <cellStyle name="Comma 3 4 2" xfId="139"/>
    <cellStyle name="Comma 3 4 2 2" xfId="3820"/>
    <cellStyle name="Comma 3 4 2 3" xfId="6157"/>
    <cellStyle name="Comma 3 4 2 4" xfId="965"/>
    <cellStyle name="Comma 3 4 3" xfId="1917"/>
    <cellStyle name="Comma 3 4 3 2" xfId="41397"/>
    <cellStyle name="Comma 3 4 4" xfId="3821"/>
    <cellStyle name="Comma 3 4 4 2" xfId="24291"/>
    <cellStyle name="Comma 3 4 5" xfId="6034"/>
    <cellStyle name="Comma 3 4 5 2" xfId="20557"/>
    <cellStyle name="Comma 3 4 5 3" xfId="15053"/>
    <cellStyle name="Comma 3 4 5 4" xfId="43065"/>
    <cellStyle name="Comma 3 4 6" xfId="43220"/>
    <cellStyle name="Comma 3 4 7" xfId="552"/>
    <cellStyle name="Comma 3 4 8" xfId="44287"/>
    <cellStyle name="Comma 3 4 9" xfId="182"/>
    <cellStyle name="Comma 3 5" xfId="131"/>
    <cellStyle name="Comma 3 5 2" xfId="24575"/>
    <cellStyle name="Comma 3 5 3" xfId="44198"/>
    <cellStyle name="Comma 3 5 4" xfId="624"/>
    <cellStyle name="Comma 3 5 5" xfId="190"/>
    <cellStyle name="Comma 3 6" xfId="150"/>
    <cellStyle name="Comma 3 6 2" xfId="10068"/>
    <cellStyle name="Comma 3 6 3" xfId="9593"/>
    <cellStyle name="Comma 3 7" xfId="9567"/>
    <cellStyle name="Comma 3 7 2" xfId="43206"/>
    <cellStyle name="Comma 3 7 3" xfId="42745"/>
    <cellStyle name="Comma 3 8" xfId="41391"/>
    <cellStyle name="Comma 3 9" xfId="205"/>
    <cellStyle name="Comma 30" xfId="610"/>
    <cellStyle name="Comma 30 10" xfId="6824"/>
    <cellStyle name="Comma 30 10 2" xfId="20956"/>
    <cellStyle name="Comma 30 10 3" xfId="15482"/>
    <cellStyle name="Comma 30 11" xfId="10090"/>
    <cellStyle name="Comma 30 2" xfId="1339"/>
    <cellStyle name="Comma 30 3" xfId="1534"/>
    <cellStyle name="Comma 30 3 10" xfId="9913"/>
    <cellStyle name="Comma 30 3 10 2" xfId="18353"/>
    <cellStyle name="Comma 30 3 11" xfId="23717"/>
    <cellStyle name="Comma 30 3 12" xfId="10126"/>
    <cellStyle name="Comma 30 3 13" xfId="2098"/>
    <cellStyle name="Comma 30 3 2" xfId="2987"/>
    <cellStyle name="Comma 30 3 2 10" xfId="10304"/>
    <cellStyle name="Comma 30 3 2 2" xfId="3822"/>
    <cellStyle name="Comma 30 3 2 2 2" xfId="3823"/>
    <cellStyle name="Comma 30 3 2 2 2 2" xfId="8641"/>
    <cellStyle name="Comma 30 3 2 2 2 2 2" xfId="22748"/>
    <cellStyle name="Comma 30 3 2 2 2 2 3" xfId="17275"/>
    <cellStyle name="Comma 30 3 2 2 2 3" xfId="13505"/>
    <cellStyle name="Comma 30 3 2 2 2 4" xfId="19044"/>
    <cellStyle name="Comma 30 3 2 2 2 5" xfId="11889"/>
    <cellStyle name="Comma 30 3 2 2 3" xfId="7849"/>
    <cellStyle name="Comma 30 3 2 2 3 2" xfId="21956"/>
    <cellStyle name="Comma 30 3 2 2 3 3" xfId="16483"/>
    <cellStyle name="Comma 30 3 2 2 4" xfId="13504"/>
    <cellStyle name="Comma 30 3 2 2 5" xfId="19043"/>
    <cellStyle name="Comma 30 3 2 2 6" xfId="24208"/>
    <cellStyle name="Comma 30 3 2 2 7" xfId="11096"/>
    <cellStyle name="Comma 30 3 2 3" xfId="3824"/>
    <cellStyle name="Comma 30 3 2 3 2" xfId="6580"/>
    <cellStyle name="Comma 30 3 2 3 2 2" xfId="9179"/>
    <cellStyle name="Comma 30 3 2 3 2 2 2" xfId="23280"/>
    <cellStyle name="Comma 30 3 2 3 2 2 3" xfId="17813"/>
    <cellStyle name="Comma 30 3 2 3 2 3" xfId="15365"/>
    <cellStyle name="Comma 30 3 2 3 2 4" xfId="20858"/>
    <cellStyle name="Comma 30 3 2 3 2 5" xfId="12424"/>
    <cellStyle name="Comma 30 3 2 3 3" xfId="7589"/>
    <cellStyle name="Comma 30 3 2 3 3 2" xfId="21696"/>
    <cellStyle name="Comma 30 3 2 3 3 3" xfId="16223"/>
    <cellStyle name="Comma 30 3 2 3 4" xfId="13506"/>
    <cellStyle name="Comma 30 3 2 3 5" xfId="19045"/>
    <cellStyle name="Comma 30 3 2 3 6" xfId="10836"/>
    <cellStyle name="Comma 30 3 2 4" xfId="3825"/>
    <cellStyle name="Comma 30 3 2 4 2" xfId="8381"/>
    <cellStyle name="Comma 30 3 2 4 2 2" xfId="22488"/>
    <cellStyle name="Comma 30 3 2 4 2 3" xfId="17015"/>
    <cellStyle name="Comma 30 3 2 4 3" xfId="13507"/>
    <cellStyle name="Comma 30 3 2 4 4" xfId="19046"/>
    <cellStyle name="Comma 30 3 2 4 5" xfId="11629"/>
    <cellStyle name="Comma 30 3 2 5" xfId="3826"/>
    <cellStyle name="Comma 30 3 2 5 2" xfId="9472"/>
    <cellStyle name="Comma 30 3 2 5 2 2" xfId="23519"/>
    <cellStyle name="Comma 30 3 2 5 2 3" xfId="18073"/>
    <cellStyle name="Comma 30 3 2 5 3" xfId="13508"/>
    <cellStyle name="Comma 30 3 2 5 4" xfId="19047"/>
    <cellStyle name="Comma 30 3 2 5 5" xfId="12673"/>
    <cellStyle name="Comma 30 3 2 6" xfId="7055"/>
    <cellStyle name="Comma 30 3 2 6 2" xfId="21164"/>
    <cellStyle name="Comma 30 3 2 6 3" xfId="15691"/>
    <cellStyle name="Comma 30 3 2 7" xfId="9774"/>
    <cellStyle name="Comma 30 3 2 7 2" xfId="12875"/>
    <cellStyle name="Comma 30 3 2 8" xfId="9987"/>
    <cellStyle name="Comma 30 3 2 8 2" xfId="18426"/>
    <cellStyle name="Comma 30 3 2 9" xfId="24016"/>
    <cellStyle name="Comma 30 3 3" xfId="3827"/>
    <cellStyle name="Comma 30 3 3 2" xfId="3828"/>
    <cellStyle name="Comma 30 3 3 2 2" xfId="8205"/>
    <cellStyle name="Comma 30 3 3 2 2 2" xfId="22312"/>
    <cellStyle name="Comma 30 3 3 2 2 3" xfId="16839"/>
    <cellStyle name="Comma 30 3 3 2 3" xfId="13510"/>
    <cellStyle name="Comma 30 3 3 2 4" xfId="19049"/>
    <cellStyle name="Comma 30 3 3 2 5" xfId="11452"/>
    <cellStyle name="Comma 30 3 3 3" xfId="3829"/>
    <cellStyle name="Comma 30 3 3 3 2" xfId="9003"/>
    <cellStyle name="Comma 30 3 3 3 2 2" xfId="23104"/>
    <cellStyle name="Comma 30 3 3 3 2 3" xfId="17637"/>
    <cellStyle name="Comma 30 3 3 3 3" xfId="13511"/>
    <cellStyle name="Comma 30 3 3 3 4" xfId="19050"/>
    <cellStyle name="Comma 30 3 3 3 5" xfId="12247"/>
    <cellStyle name="Comma 30 3 3 4" xfId="7413"/>
    <cellStyle name="Comma 30 3 3 4 2" xfId="21520"/>
    <cellStyle name="Comma 30 3 3 4 3" xfId="16047"/>
    <cellStyle name="Comma 30 3 3 5" xfId="13509"/>
    <cellStyle name="Comma 30 3 3 6" xfId="19048"/>
    <cellStyle name="Comma 30 3 3 7" xfId="24135"/>
    <cellStyle name="Comma 30 3 3 8" xfId="10660"/>
    <cellStyle name="Comma 30 3 4" xfId="3830"/>
    <cellStyle name="Comma 30 3 4 2" xfId="3831"/>
    <cellStyle name="Comma 30 3 4 2 2" xfId="8465"/>
    <cellStyle name="Comma 30 3 4 2 2 2" xfId="22572"/>
    <cellStyle name="Comma 30 3 4 2 2 3" xfId="17099"/>
    <cellStyle name="Comma 30 3 4 2 3" xfId="13513"/>
    <cellStyle name="Comma 30 3 4 2 4" xfId="19052"/>
    <cellStyle name="Comma 30 3 4 2 5" xfId="11713"/>
    <cellStyle name="Comma 30 3 4 3" xfId="7673"/>
    <cellStyle name="Comma 30 3 4 3 2" xfId="21780"/>
    <cellStyle name="Comma 30 3 4 3 3" xfId="16307"/>
    <cellStyle name="Comma 30 3 4 4" xfId="13512"/>
    <cellStyle name="Comma 30 3 4 5" xfId="19051"/>
    <cellStyle name="Comma 30 3 4 6" xfId="10920"/>
    <cellStyle name="Comma 30 3 5" xfId="3832"/>
    <cellStyle name="Comma 30 3 5 2" xfId="6391"/>
    <cellStyle name="Comma 30 3 5 2 2" xfId="8827"/>
    <cellStyle name="Comma 30 3 5 2 2 2" xfId="22928"/>
    <cellStyle name="Comma 30 3 5 2 2 3" xfId="17461"/>
    <cellStyle name="Comma 30 3 5 2 3" xfId="15220"/>
    <cellStyle name="Comma 30 3 5 2 4" xfId="20714"/>
    <cellStyle name="Comma 30 3 5 2 5" xfId="12071"/>
    <cellStyle name="Comma 30 3 5 3" xfId="7237"/>
    <cellStyle name="Comma 30 3 5 3 2" xfId="21344"/>
    <cellStyle name="Comma 30 3 5 3 3" xfId="15871"/>
    <cellStyle name="Comma 30 3 5 4" xfId="13514"/>
    <cellStyle name="Comma 30 3 5 5" xfId="19053"/>
    <cellStyle name="Comma 30 3 5 6" xfId="10484"/>
    <cellStyle name="Comma 30 3 6" xfId="3833"/>
    <cellStyle name="Comma 30 3 6 2" xfId="8029"/>
    <cellStyle name="Comma 30 3 6 2 2" xfId="22136"/>
    <cellStyle name="Comma 30 3 6 2 3" xfId="16663"/>
    <cellStyle name="Comma 30 3 6 3" xfId="13515"/>
    <cellStyle name="Comma 30 3 6 4" xfId="19054"/>
    <cellStyle name="Comma 30 3 6 5" xfId="11276"/>
    <cellStyle name="Comma 30 3 7" xfId="3834"/>
    <cellStyle name="Comma 30 3 7 2" xfId="9377"/>
    <cellStyle name="Comma 30 3 7 2 2" xfId="23446"/>
    <cellStyle name="Comma 30 3 7 2 3" xfId="17998"/>
    <cellStyle name="Comma 30 3 7 3" xfId="13516"/>
    <cellStyle name="Comma 30 3 7 4" xfId="19055"/>
    <cellStyle name="Comma 30 3 7 5" xfId="12595"/>
    <cellStyle name="Comma 30 3 8" xfId="6873"/>
    <cellStyle name="Comma 30 3 8 2" xfId="20988"/>
    <cellStyle name="Comma 30 3 8 3" xfId="15515"/>
    <cellStyle name="Comma 30 3 9" xfId="9683"/>
    <cellStyle name="Comma 30 3 9 2" xfId="12802"/>
    <cellStyle name="Comma 30 4" xfId="2580"/>
    <cellStyle name="Comma 30 4 10" xfId="23964"/>
    <cellStyle name="Comma 30 4 11" xfId="10176"/>
    <cellStyle name="Comma 30 4 2" xfId="3835"/>
    <cellStyle name="Comma 30 4 2 2" xfId="3836"/>
    <cellStyle name="Comma 30 4 2 2 2" xfId="8253"/>
    <cellStyle name="Comma 30 4 2 2 2 2" xfId="22360"/>
    <cellStyle name="Comma 30 4 2 2 2 3" xfId="16887"/>
    <cellStyle name="Comma 30 4 2 2 3" xfId="13518"/>
    <cellStyle name="Comma 30 4 2 2 4" xfId="19057"/>
    <cellStyle name="Comma 30 4 2 2 5" xfId="11500"/>
    <cellStyle name="Comma 30 4 2 3" xfId="3837"/>
    <cellStyle name="Comma 30 4 2 3 2" xfId="9051"/>
    <cellStyle name="Comma 30 4 2 3 2 2" xfId="23152"/>
    <cellStyle name="Comma 30 4 2 3 2 3" xfId="17685"/>
    <cellStyle name="Comma 30 4 2 3 3" xfId="13519"/>
    <cellStyle name="Comma 30 4 2 3 4" xfId="19058"/>
    <cellStyle name="Comma 30 4 2 3 5" xfId="12296"/>
    <cellStyle name="Comma 30 4 2 4" xfId="7461"/>
    <cellStyle name="Comma 30 4 2 4 2" xfId="21568"/>
    <cellStyle name="Comma 30 4 2 4 3" xfId="16095"/>
    <cellStyle name="Comma 30 4 2 5" xfId="13517"/>
    <cellStyle name="Comma 30 4 2 6" xfId="19056"/>
    <cellStyle name="Comma 30 4 2 7" xfId="24168"/>
    <cellStyle name="Comma 30 4 2 8" xfId="10708"/>
    <cellStyle name="Comma 30 4 3" xfId="3838"/>
    <cellStyle name="Comma 30 4 3 2" xfId="3839"/>
    <cellStyle name="Comma 30 4 3 2 2" xfId="8513"/>
    <cellStyle name="Comma 30 4 3 2 2 2" xfId="22620"/>
    <cellStyle name="Comma 30 4 3 2 2 3" xfId="17147"/>
    <cellStyle name="Comma 30 4 3 2 3" xfId="13521"/>
    <cellStyle name="Comma 30 4 3 2 4" xfId="19060"/>
    <cellStyle name="Comma 30 4 3 2 5" xfId="11761"/>
    <cellStyle name="Comma 30 4 3 3" xfId="7721"/>
    <cellStyle name="Comma 30 4 3 3 2" xfId="21828"/>
    <cellStyle name="Comma 30 4 3 3 3" xfId="16355"/>
    <cellStyle name="Comma 30 4 3 4" xfId="13520"/>
    <cellStyle name="Comma 30 4 3 5" xfId="19059"/>
    <cellStyle name="Comma 30 4 3 6" xfId="10968"/>
    <cellStyle name="Comma 30 4 4" xfId="3840"/>
    <cellStyle name="Comma 30 4 4 2" xfId="6439"/>
    <cellStyle name="Comma 30 4 4 2 2" xfId="8875"/>
    <cellStyle name="Comma 30 4 4 2 2 2" xfId="22976"/>
    <cellStyle name="Comma 30 4 4 2 2 3" xfId="17509"/>
    <cellStyle name="Comma 30 4 4 2 3" xfId="15268"/>
    <cellStyle name="Comma 30 4 4 2 4" xfId="20762"/>
    <cellStyle name="Comma 30 4 4 2 5" xfId="12119"/>
    <cellStyle name="Comma 30 4 4 3" xfId="7285"/>
    <cellStyle name="Comma 30 4 4 3 2" xfId="21392"/>
    <cellStyle name="Comma 30 4 4 3 3" xfId="15919"/>
    <cellStyle name="Comma 30 4 4 4" xfId="13522"/>
    <cellStyle name="Comma 30 4 4 5" xfId="19061"/>
    <cellStyle name="Comma 30 4 4 6" xfId="10532"/>
    <cellStyle name="Comma 30 4 5" xfId="3841"/>
    <cellStyle name="Comma 30 4 5 2" xfId="8077"/>
    <cellStyle name="Comma 30 4 5 2 2" xfId="22184"/>
    <cellStyle name="Comma 30 4 5 2 3" xfId="16711"/>
    <cellStyle name="Comma 30 4 5 3" xfId="13523"/>
    <cellStyle name="Comma 30 4 5 4" xfId="19062"/>
    <cellStyle name="Comma 30 4 5 5" xfId="11324"/>
    <cellStyle name="Comma 30 4 6" xfId="3842"/>
    <cellStyle name="Comma 30 4 6 2" xfId="9412"/>
    <cellStyle name="Comma 30 4 6 2 2" xfId="23479"/>
    <cellStyle name="Comma 30 4 6 2 3" xfId="18031"/>
    <cellStyle name="Comma 30 4 6 3" xfId="13524"/>
    <cellStyle name="Comma 30 4 6 4" xfId="19063"/>
    <cellStyle name="Comma 30 4 6 5" xfId="12629"/>
    <cellStyle name="Comma 30 4 7" xfId="6926"/>
    <cellStyle name="Comma 30 4 7 2" xfId="21036"/>
    <cellStyle name="Comma 30 4 7 3" xfId="15563"/>
    <cellStyle name="Comma 30 4 8" xfId="9727"/>
    <cellStyle name="Comma 30 4 8 2" xfId="12835"/>
    <cellStyle name="Comma 30 4 9" xfId="9947"/>
    <cellStyle name="Comma 30 4 9 2" xfId="18386"/>
    <cellStyle name="Comma 30 5" xfId="3843"/>
    <cellStyle name="Comma 30 5 10" xfId="41398"/>
    <cellStyle name="Comma 30 5 2" xfId="3844"/>
    <cellStyle name="Comma 30 5 2 2" xfId="3845"/>
    <cellStyle name="Comma 30 5 2 2 2" xfId="8349"/>
    <cellStyle name="Comma 30 5 2 2 2 2" xfId="22456"/>
    <cellStyle name="Comma 30 5 2 2 2 3" xfId="16983"/>
    <cellStyle name="Comma 30 5 2 2 3" xfId="13527"/>
    <cellStyle name="Comma 30 5 2 2 4" xfId="19066"/>
    <cellStyle name="Comma 30 5 2 2 5" xfId="11597"/>
    <cellStyle name="Comma 30 5 2 3" xfId="3846"/>
    <cellStyle name="Comma 30 5 2 3 2" xfId="9147"/>
    <cellStyle name="Comma 30 5 2 3 2 2" xfId="23248"/>
    <cellStyle name="Comma 30 5 2 3 2 3" xfId="17781"/>
    <cellStyle name="Comma 30 5 2 3 3" xfId="13528"/>
    <cellStyle name="Comma 30 5 2 3 4" xfId="19067"/>
    <cellStyle name="Comma 30 5 2 3 5" xfId="12392"/>
    <cellStyle name="Comma 30 5 2 4" xfId="7557"/>
    <cellStyle name="Comma 30 5 2 4 2" xfId="21664"/>
    <cellStyle name="Comma 30 5 2 4 3" xfId="16191"/>
    <cellStyle name="Comma 30 5 2 5" xfId="13526"/>
    <cellStyle name="Comma 30 5 2 6" xfId="19065"/>
    <cellStyle name="Comma 30 5 2 7" xfId="10804"/>
    <cellStyle name="Comma 30 5 3" xfId="3847"/>
    <cellStyle name="Comma 30 5 3 2" xfId="3848"/>
    <cellStyle name="Comma 30 5 3 2 2" xfId="8609"/>
    <cellStyle name="Comma 30 5 3 2 2 2" xfId="22716"/>
    <cellStyle name="Comma 30 5 3 2 2 3" xfId="17243"/>
    <cellStyle name="Comma 30 5 3 2 3" xfId="13530"/>
    <cellStyle name="Comma 30 5 3 2 4" xfId="19069"/>
    <cellStyle name="Comma 30 5 3 2 5" xfId="11857"/>
    <cellStyle name="Comma 30 5 3 3" xfId="7817"/>
    <cellStyle name="Comma 30 5 3 3 2" xfId="21924"/>
    <cellStyle name="Comma 30 5 3 3 3" xfId="16451"/>
    <cellStyle name="Comma 30 5 3 4" xfId="13529"/>
    <cellStyle name="Comma 30 5 3 5" xfId="19068"/>
    <cellStyle name="Comma 30 5 3 6" xfId="11064"/>
    <cellStyle name="Comma 30 5 4" xfId="3849"/>
    <cellStyle name="Comma 30 5 4 2" xfId="6359"/>
    <cellStyle name="Comma 30 5 4 2 2" xfId="8795"/>
    <cellStyle name="Comma 30 5 4 2 2 2" xfId="22896"/>
    <cellStyle name="Comma 30 5 4 2 2 3" xfId="17429"/>
    <cellStyle name="Comma 30 5 4 2 3" xfId="15188"/>
    <cellStyle name="Comma 30 5 4 2 4" xfId="20682"/>
    <cellStyle name="Comma 30 5 4 2 5" xfId="12039"/>
    <cellStyle name="Comma 30 5 4 3" xfId="7205"/>
    <cellStyle name="Comma 30 5 4 3 2" xfId="21312"/>
    <cellStyle name="Comma 30 5 4 3 3" xfId="15839"/>
    <cellStyle name="Comma 30 5 4 4" xfId="13531"/>
    <cellStyle name="Comma 30 5 4 5" xfId="19070"/>
    <cellStyle name="Comma 30 5 4 6" xfId="10452"/>
    <cellStyle name="Comma 30 5 5" xfId="3850"/>
    <cellStyle name="Comma 30 5 5 2" xfId="7997"/>
    <cellStyle name="Comma 30 5 5 2 2" xfId="22104"/>
    <cellStyle name="Comma 30 5 5 2 3" xfId="16631"/>
    <cellStyle name="Comma 30 5 5 3" xfId="13532"/>
    <cellStyle name="Comma 30 5 5 4" xfId="19071"/>
    <cellStyle name="Comma 30 5 5 5" xfId="11244"/>
    <cellStyle name="Comma 30 5 6" xfId="7022"/>
    <cellStyle name="Comma 30 5 6 2" xfId="21132"/>
    <cellStyle name="Comma 30 5 6 3" xfId="15659"/>
    <cellStyle name="Comma 30 5 7" xfId="13525"/>
    <cellStyle name="Comma 30 5 8" xfId="19064"/>
    <cellStyle name="Comma 30 5 9" xfId="10272"/>
    <cellStyle name="Comma 30 6" xfId="3851"/>
    <cellStyle name="Comma 30 6 2" xfId="3852"/>
    <cellStyle name="Comma 30 6 2 2" xfId="8173"/>
    <cellStyle name="Comma 30 6 2 2 2" xfId="22280"/>
    <cellStyle name="Comma 30 6 2 2 3" xfId="16807"/>
    <cellStyle name="Comma 30 6 2 3" xfId="13534"/>
    <cellStyle name="Comma 30 6 2 4" xfId="19073"/>
    <cellStyle name="Comma 30 6 2 5" xfId="11420"/>
    <cellStyle name="Comma 30 6 3" xfId="3853"/>
    <cellStyle name="Comma 30 6 3 2" xfId="8971"/>
    <cellStyle name="Comma 30 6 3 2 2" xfId="23072"/>
    <cellStyle name="Comma 30 6 3 2 3" xfId="17605"/>
    <cellStyle name="Comma 30 6 3 3" xfId="13535"/>
    <cellStyle name="Comma 30 6 3 4" xfId="19074"/>
    <cellStyle name="Comma 30 6 3 5" xfId="12215"/>
    <cellStyle name="Comma 30 6 4" xfId="7381"/>
    <cellStyle name="Comma 30 6 4 2" xfId="21488"/>
    <cellStyle name="Comma 30 6 4 3" xfId="16015"/>
    <cellStyle name="Comma 30 6 5" xfId="13533"/>
    <cellStyle name="Comma 30 6 6" xfId="19072"/>
    <cellStyle name="Comma 30 6 7" xfId="10628"/>
    <cellStyle name="Comma 30 6 8" xfId="41399"/>
    <cellStyle name="Comma 30 7" xfId="3854"/>
    <cellStyle name="Comma 30 7 2" xfId="3855"/>
    <cellStyle name="Comma 30 7 2 2" xfId="8433"/>
    <cellStyle name="Comma 30 7 2 2 2" xfId="22540"/>
    <cellStyle name="Comma 30 7 2 2 3" xfId="17067"/>
    <cellStyle name="Comma 30 7 2 3" xfId="13537"/>
    <cellStyle name="Comma 30 7 2 4" xfId="19076"/>
    <cellStyle name="Comma 30 7 2 5" xfId="11681"/>
    <cellStyle name="Comma 30 7 3" xfId="7641"/>
    <cellStyle name="Comma 30 7 3 2" xfId="21748"/>
    <cellStyle name="Comma 30 7 3 3" xfId="16275"/>
    <cellStyle name="Comma 30 7 4" xfId="13536"/>
    <cellStyle name="Comma 30 7 5" xfId="19075"/>
    <cellStyle name="Comma 30 7 6" xfId="10888"/>
    <cellStyle name="Comma 30 8" xfId="3856"/>
    <cellStyle name="Comma 30 8 2" xfId="6263"/>
    <cellStyle name="Comma 30 8 2 2" xfId="8699"/>
    <cellStyle name="Comma 30 8 2 2 2" xfId="22800"/>
    <cellStyle name="Comma 30 8 2 2 3" xfId="17333"/>
    <cellStyle name="Comma 30 8 2 3" xfId="15092"/>
    <cellStyle name="Comma 30 8 2 4" xfId="20586"/>
    <cellStyle name="Comma 30 8 2 5" xfId="11943"/>
    <cellStyle name="Comma 30 8 3" xfId="7109"/>
    <cellStyle name="Comma 30 8 3 2" xfId="21216"/>
    <cellStyle name="Comma 30 8 3 3" xfId="15743"/>
    <cellStyle name="Comma 30 8 4" xfId="13538"/>
    <cellStyle name="Comma 30 8 5" xfId="19077"/>
    <cellStyle name="Comma 30 8 6" xfId="10356"/>
    <cellStyle name="Comma 30 9" xfId="3857"/>
    <cellStyle name="Comma 30 9 2" xfId="7901"/>
    <cellStyle name="Comma 30 9 2 2" xfId="22008"/>
    <cellStyle name="Comma 30 9 2 3" xfId="16535"/>
    <cellStyle name="Comma 30 9 3" xfId="13539"/>
    <cellStyle name="Comma 30 9 4" xfId="19078"/>
    <cellStyle name="Comma 30 9 5" xfId="11148"/>
    <cellStyle name="Comma 31" xfId="619"/>
    <cellStyle name="Comma 31 10" xfId="6844"/>
    <cellStyle name="Comma 31 10 2" xfId="20974"/>
    <cellStyle name="Comma 31 10 3" xfId="15500"/>
    <cellStyle name="Comma 31 11" xfId="10108"/>
    <cellStyle name="Comma 31 2" xfId="1340"/>
    <cellStyle name="Comma 31 3" xfId="1587"/>
    <cellStyle name="Comma 31 3 10" xfId="9931"/>
    <cellStyle name="Comma 31 3 10 2" xfId="18371"/>
    <cellStyle name="Comma 31 3 11" xfId="23735"/>
    <cellStyle name="Comma 31 3 12" xfId="10144"/>
    <cellStyle name="Comma 31 3 13" xfId="2134"/>
    <cellStyle name="Comma 31 3 2" xfId="3017"/>
    <cellStyle name="Comma 31 3 2 10" xfId="10322"/>
    <cellStyle name="Comma 31 3 2 2" xfId="3858"/>
    <cellStyle name="Comma 31 3 2 2 2" xfId="3859"/>
    <cellStyle name="Comma 31 3 2 2 2 2" xfId="8659"/>
    <cellStyle name="Comma 31 3 2 2 2 2 2" xfId="22766"/>
    <cellStyle name="Comma 31 3 2 2 2 2 3" xfId="17293"/>
    <cellStyle name="Comma 31 3 2 2 2 3" xfId="13541"/>
    <cellStyle name="Comma 31 3 2 2 2 4" xfId="19080"/>
    <cellStyle name="Comma 31 3 2 2 2 5" xfId="11907"/>
    <cellStyle name="Comma 31 3 2 2 3" xfId="7867"/>
    <cellStyle name="Comma 31 3 2 2 3 2" xfId="21974"/>
    <cellStyle name="Comma 31 3 2 2 3 3" xfId="16501"/>
    <cellStyle name="Comma 31 3 2 2 4" xfId="13540"/>
    <cellStyle name="Comma 31 3 2 2 5" xfId="19079"/>
    <cellStyle name="Comma 31 3 2 2 6" xfId="24226"/>
    <cellStyle name="Comma 31 3 2 2 7" xfId="11114"/>
    <cellStyle name="Comma 31 3 2 3" xfId="3860"/>
    <cellStyle name="Comma 31 3 2 3 2" xfId="6598"/>
    <cellStyle name="Comma 31 3 2 3 2 2" xfId="9197"/>
    <cellStyle name="Comma 31 3 2 3 2 2 2" xfId="23298"/>
    <cellStyle name="Comma 31 3 2 3 2 2 3" xfId="17831"/>
    <cellStyle name="Comma 31 3 2 3 2 3" xfId="15383"/>
    <cellStyle name="Comma 31 3 2 3 2 4" xfId="20876"/>
    <cellStyle name="Comma 31 3 2 3 2 5" xfId="12442"/>
    <cellStyle name="Comma 31 3 2 3 3" xfId="7607"/>
    <cellStyle name="Comma 31 3 2 3 3 2" xfId="21714"/>
    <cellStyle name="Comma 31 3 2 3 3 3" xfId="16241"/>
    <cellStyle name="Comma 31 3 2 3 4" xfId="13542"/>
    <cellStyle name="Comma 31 3 2 3 5" xfId="19081"/>
    <cellStyle name="Comma 31 3 2 3 6" xfId="10854"/>
    <cellStyle name="Comma 31 3 2 4" xfId="3861"/>
    <cellStyle name="Comma 31 3 2 4 2" xfId="8399"/>
    <cellStyle name="Comma 31 3 2 4 2 2" xfId="22506"/>
    <cellStyle name="Comma 31 3 2 4 2 3" xfId="17033"/>
    <cellStyle name="Comma 31 3 2 4 3" xfId="13543"/>
    <cellStyle name="Comma 31 3 2 4 4" xfId="19082"/>
    <cellStyle name="Comma 31 3 2 4 5" xfId="11647"/>
    <cellStyle name="Comma 31 3 2 5" xfId="3862"/>
    <cellStyle name="Comma 31 3 2 5 2" xfId="9490"/>
    <cellStyle name="Comma 31 3 2 5 2 2" xfId="23537"/>
    <cellStyle name="Comma 31 3 2 5 2 3" xfId="18091"/>
    <cellStyle name="Comma 31 3 2 5 3" xfId="13544"/>
    <cellStyle name="Comma 31 3 2 5 4" xfId="19083"/>
    <cellStyle name="Comma 31 3 2 5 5" xfId="12691"/>
    <cellStyle name="Comma 31 3 2 6" xfId="7073"/>
    <cellStyle name="Comma 31 3 2 6 2" xfId="21182"/>
    <cellStyle name="Comma 31 3 2 6 3" xfId="15709"/>
    <cellStyle name="Comma 31 3 2 7" xfId="9792"/>
    <cellStyle name="Comma 31 3 2 7 2" xfId="12893"/>
    <cellStyle name="Comma 31 3 2 8" xfId="10005"/>
    <cellStyle name="Comma 31 3 2 8 2" xfId="18444"/>
    <cellStyle name="Comma 31 3 2 9" xfId="24026"/>
    <cellStyle name="Comma 31 3 3" xfId="3863"/>
    <cellStyle name="Comma 31 3 3 2" xfId="3864"/>
    <cellStyle name="Comma 31 3 3 2 2" xfId="8223"/>
    <cellStyle name="Comma 31 3 3 2 2 2" xfId="22330"/>
    <cellStyle name="Comma 31 3 3 2 2 3" xfId="16857"/>
    <cellStyle name="Comma 31 3 3 2 3" xfId="13546"/>
    <cellStyle name="Comma 31 3 3 2 4" xfId="19085"/>
    <cellStyle name="Comma 31 3 3 2 5" xfId="11470"/>
    <cellStyle name="Comma 31 3 3 3" xfId="3865"/>
    <cellStyle name="Comma 31 3 3 3 2" xfId="9021"/>
    <cellStyle name="Comma 31 3 3 3 2 2" xfId="23122"/>
    <cellStyle name="Comma 31 3 3 3 2 3" xfId="17655"/>
    <cellStyle name="Comma 31 3 3 3 3" xfId="13547"/>
    <cellStyle name="Comma 31 3 3 3 4" xfId="19086"/>
    <cellStyle name="Comma 31 3 3 3 5" xfId="12265"/>
    <cellStyle name="Comma 31 3 3 4" xfId="7431"/>
    <cellStyle name="Comma 31 3 3 4 2" xfId="21538"/>
    <cellStyle name="Comma 31 3 3 4 3" xfId="16065"/>
    <cellStyle name="Comma 31 3 3 5" xfId="13545"/>
    <cellStyle name="Comma 31 3 3 6" xfId="19084"/>
    <cellStyle name="Comma 31 3 3 7" xfId="24153"/>
    <cellStyle name="Comma 31 3 3 8" xfId="10678"/>
    <cellStyle name="Comma 31 3 4" xfId="3866"/>
    <cellStyle name="Comma 31 3 4 2" xfId="3867"/>
    <cellStyle name="Comma 31 3 4 2 2" xfId="8483"/>
    <cellStyle name="Comma 31 3 4 2 2 2" xfId="22590"/>
    <cellStyle name="Comma 31 3 4 2 2 3" xfId="17117"/>
    <cellStyle name="Comma 31 3 4 2 3" xfId="13549"/>
    <cellStyle name="Comma 31 3 4 2 4" xfId="19088"/>
    <cellStyle name="Comma 31 3 4 2 5" xfId="11731"/>
    <cellStyle name="Comma 31 3 4 3" xfId="7691"/>
    <cellStyle name="Comma 31 3 4 3 2" xfId="21798"/>
    <cellStyle name="Comma 31 3 4 3 3" xfId="16325"/>
    <cellStyle name="Comma 31 3 4 4" xfId="13548"/>
    <cellStyle name="Comma 31 3 4 5" xfId="19087"/>
    <cellStyle name="Comma 31 3 4 6" xfId="10938"/>
    <cellStyle name="Comma 31 3 5" xfId="3868"/>
    <cellStyle name="Comma 31 3 5 2" xfId="6409"/>
    <cellStyle name="Comma 31 3 5 2 2" xfId="8845"/>
    <cellStyle name="Comma 31 3 5 2 2 2" xfId="22946"/>
    <cellStyle name="Comma 31 3 5 2 2 3" xfId="17479"/>
    <cellStyle name="Comma 31 3 5 2 3" xfId="15238"/>
    <cellStyle name="Comma 31 3 5 2 4" xfId="20732"/>
    <cellStyle name="Comma 31 3 5 2 5" xfId="12089"/>
    <cellStyle name="Comma 31 3 5 3" xfId="7255"/>
    <cellStyle name="Comma 31 3 5 3 2" xfId="21362"/>
    <cellStyle name="Comma 31 3 5 3 3" xfId="15889"/>
    <cellStyle name="Comma 31 3 5 4" xfId="13550"/>
    <cellStyle name="Comma 31 3 5 5" xfId="19089"/>
    <cellStyle name="Comma 31 3 5 6" xfId="10502"/>
    <cellStyle name="Comma 31 3 6" xfId="3869"/>
    <cellStyle name="Comma 31 3 6 2" xfId="8047"/>
    <cellStyle name="Comma 31 3 6 2 2" xfId="22154"/>
    <cellStyle name="Comma 31 3 6 2 3" xfId="16681"/>
    <cellStyle name="Comma 31 3 6 3" xfId="13551"/>
    <cellStyle name="Comma 31 3 6 4" xfId="19090"/>
    <cellStyle name="Comma 31 3 6 5" xfId="11294"/>
    <cellStyle name="Comma 31 3 7" xfId="3870"/>
    <cellStyle name="Comma 31 3 7 2" xfId="9396"/>
    <cellStyle name="Comma 31 3 7 2 2" xfId="23464"/>
    <cellStyle name="Comma 31 3 7 2 3" xfId="18016"/>
    <cellStyle name="Comma 31 3 7 3" xfId="13552"/>
    <cellStyle name="Comma 31 3 7 4" xfId="19091"/>
    <cellStyle name="Comma 31 3 7 5" xfId="12613"/>
    <cellStyle name="Comma 31 3 8" xfId="6893"/>
    <cellStyle name="Comma 31 3 8 2" xfId="21006"/>
    <cellStyle name="Comma 31 3 8 3" xfId="15533"/>
    <cellStyle name="Comma 31 3 9" xfId="9702"/>
    <cellStyle name="Comma 31 3 9 2" xfId="12820"/>
    <cellStyle name="Comma 31 4" xfId="2598"/>
    <cellStyle name="Comma 31 4 10" xfId="23982"/>
    <cellStyle name="Comma 31 4 11" xfId="10194"/>
    <cellStyle name="Comma 31 4 2" xfId="3871"/>
    <cellStyle name="Comma 31 4 2 2" xfId="3872"/>
    <cellStyle name="Comma 31 4 2 2 2" xfId="8271"/>
    <cellStyle name="Comma 31 4 2 2 2 2" xfId="22378"/>
    <cellStyle name="Comma 31 4 2 2 2 3" xfId="16905"/>
    <cellStyle name="Comma 31 4 2 2 3" xfId="13554"/>
    <cellStyle name="Comma 31 4 2 2 4" xfId="19093"/>
    <cellStyle name="Comma 31 4 2 2 5" xfId="11518"/>
    <cellStyle name="Comma 31 4 2 3" xfId="3873"/>
    <cellStyle name="Comma 31 4 2 3 2" xfId="9069"/>
    <cellStyle name="Comma 31 4 2 3 2 2" xfId="23170"/>
    <cellStyle name="Comma 31 4 2 3 2 3" xfId="17703"/>
    <cellStyle name="Comma 31 4 2 3 3" xfId="13555"/>
    <cellStyle name="Comma 31 4 2 3 4" xfId="19094"/>
    <cellStyle name="Comma 31 4 2 3 5" xfId="12314"/>
    <cellStyle name="Comma 31 4 2 4" xfId="7479"/>
    <cellStyle name="Comma 31 4 2 4 2" xfId="21586"/>
    <cellStyle name="Comma 31 4 2 4 3" xfId="16113"/>
    <cellStyle name="Comma 31 4 2 5" xfId="13553"/>
    <cellStyle name="Comma 31 4 2 6" xfId="19092"/>
    <cellStyle name="Comma 31 4 2 7" xfId="24186"/>
    <cellStyle name="Comma 31 4 2 8" xfId="10726"/>
    <cellStyle name="Comma 31 4 3" xfId="3874"/>
    <cellStyle name="Comma 31 4 3 2" xfId="3875"/>
    <cellStyle name="Comma 31 4 3 2 2" xfId="8531"/>
    <cellStyle name="Comma 31 4 3 2 2 2" xfId="22638"/>
    <cellStyle name="Comma 31 4 3 2 2 3" xfId="17165"/>
    <cellStyle name="Comma 31 4 3 2 3" xfId="13557"/>
    <cellStyle name="Comma 31 4 3 2 4" xfId="19096"/>
    <cellStyle name="Comma 31 4 3 2 5" xfId="11779"/>
    <cellStyle name="Comma 31 4 3 3" xfId="7739"/>
    <cellStyle name="Comma 31 4 3 3 2" xfId="21846"/>
    <cellStyle name="Comma 31 4 3 3 3" xfId="16373"/>
    <cellStyle name="Comma 31 4 3 4" xfId="13556"/>
    <cellStyle name="Comma 31 4 3 5" xfId="19095"/>
    <cellStyle name="Comma 31 4 3 6" xfId="10986"/>
    <cellStyle name="Comma 31 4 4" xfId="3876"/>
    <cellStyle name="Comma 31 4 4 2" xfId="6457"/>
    <cellStyle name="Comma 31 4 4 2 2" xfId="8893"/>
    <cellStyle name="Comma 31 4 4 2 2 2" xfId="22994"/>
    <cellStyle name="Comma 31 4 4 2 2 3" xfId="17527"/>
    <cellStyle name="Comma 31 4 4 2 3" xfId="15286"/>
    <cellStyle name="Comma 31 4 4 2 4" xfId="20780"/>
    <cellStyle name="Comma 31 4 4 2 5" xfId="12137"/>
    <cellStyle name="Comma 31 4 4 3" xfId="7303"/>
    <cellStyle name="Comma 31 4 4 3 2" xfId="21410"/>
    <cellStyle name="Comma 31 4 4 3 3" xfId="15937"/>
    <cellStyle name="Comma 31 4 4 4" xfId="13558"/>
    <cellStyle name="Comma 31 4 4 5" xfId="19097"/>
    <cellStyle name="Comma 31 4 4 6" xfId="10550"/>
    <cellStyle name="Comma 31 4 5" xfId="3877"/>
    <cellStyle name="Comma 31 4 5 2" xfId="8095"/>
    <cellStyle name="Comma 31 4 5 2 2" xfId="22202"/>
    <cellStyle name="Comma 31 4 5 2 3" xfId="16729"/>
    <cellStyle name="Comma 31 4 5 3" xfId="13559"/>
    <cellStyle name="Comma 31 4 5 4" xfId="19098"/>
    <cellStyle name="Comma 31 4 5 5" xfId="11342"/>
    <cellStyle name="Comma 31 4 6" xfId="3878"/>
    <cellStyle name="Comma 31 4 6 2" xfId="9430"/>
    <cellStyle name="Comma 31 4 6 2 2" xfId="23497"/>
    <cellStyle name="Comma 31 4 6 2 3" xfId="18049"/>
    <cellStyle name="Comma 31 4 6 3" xfId="13560"/>
    <cellStyle name="Comma 31 4 6 4" xfId="19099"/>
    <cellStyle name="Comma 31 4 6 5" xfId="12647"/>
    <cellStyle name="Comma 31 4 7" xfId="6944"/>
    <cellStyle name="Comma 31 4 7 2" xfId="21054"/>
    <cellStyle name="Comma 31 4 7 3" xfId="15581"/>
    <cellStyle name="Comma 31 4 8" xfId="9745"/>
    <cellStyle name="Comma 31 4 8 2" xfId="12853"/>
    <cellStyle name="Comma 31 4 9" xfId="9965"/>
    <cellStyle name="Comma 31 4 9 2" xfId="18404"/>
    <cellStyle name="Comma 31 5" xfId="3879"/>
    <cellStyle name="Comma 31 5 10" xfId="41400"/>
    <cellStyle name="Comma 31 5 2" xfId="3880"/>
    <cellStyle name="Comma 31 5 2 2" xfId="3881"/>
    <cellStyle name="Comma 31 5 2 2 2" xfId="8367"/>
    <cellStyle name="Comma 31 5 2 2 2 2" xfId="22474"/>
    <cellStyle name="Comma 31 5 2 2 2 3" xfId="17001"/>
    <cellStyle name="Comma 31 5 2 2 3" xfId="13563"/>
    <cellStyle name="Comma 31 5 2 2 4" xfId="19102"/>
    <cellStyle name="Comma 31 5 2 2 5" xfId="11615"/>
    <cellStyle name="Comma 31 5 2 3" xfId="3882"/>
    <cellStyle name="Comma 31 5 2 3 2" xfId="9165"/>
    <cellStyle name="Comma 31 5 2 3 2 2" xfId="23266"/>
    <cellStyle name="Comma 31 5 2 3 2 3" xfId="17799"/>
    <cellStyle name="Comma 31 5 2 3 3" xfId="13564"/>
    <cellStyle name="Comma 31 5 2 3 4" xfId="19103"/>
    <cellStyle name="Comma 31 5 2 3 5" xfId="12410"/>
    <cellStyle name="Comma 31 5 2 4" xfId="7575"/>
    <cellStyle name="Comma 31 5 2 4 2" xfId="21682"/>
    <cellStyle name="Comma 31 5 2 4 3" xfId="16209"/>
    <cellStyle name="Comma 31 5 2 5" xfId="13562"/>
    <cellStyle name="Comma 31 5 2 6" xfId="19101"/>
    <cellStyle name="Comma 31 5 2 7" xfId="10822"/>
    <cellStyle name="Comma 31 5 3" xfId="3883"/>
    <cellStyle name="Comma 31 5 3 2" xfId="3884"/>
    <cellStyle name="Comma 31 5 3 2 2" xfId="8627"/>
    <cellStyle name="Comma 31 5 3 2 2 2" xfId="22734"/>
    <cellStyle name="Comma 31 5 3 2 2 3" xfId="17261"/>
    <cellStyle name="Comma 31 5 3 2 3" xfId="13566"/>
    <cellStyle name="Comma 31 5 3 2 4" xfId="19105"/>
    <cellStyle name="Comma 31 5 3 2 5" xfId="11875"/>
    <cellStyle name="Comma 31 5 3 3" xfId="7835"/>
    <cellStyle name="Comma 31 5 3 3 2" xfId="21942"/>
    <cellStyle name="Comma 31 5 3 3 3" xfId="16469"/>
    <cellStyle name="Comma 31 5 3 4" xfId="13565"/>
    <cellStyle name="Comma 31 5 3 5" xfId="19104"/>
    <cellStyle name="Comma 31 5 3 6" xfId="11082"/>
    <cellStyle name="Comma 31 5 4" xfId="3885"/>
    <cellStyle name="Comma 31 5 4 2" xfId="6377"/>
    <cellStyle name="Comma 31 5 4 2 2" xfId="8813"/>
    <cellStyle name="Comma 31 5 4 2 2 2" xfId="22914"/>
    <cellStyle name="Comma 31 5 4 2 2 3" xfId="17447"/>
    <cellStyle name="Comma 31 5 4 2 3" xfId="15206"/>
    <cellStyle name="Comma 31 5 4 2 4" xfId="20700"/>
    <cellStyle name="Comma 31 5 4 2 5" xfId="12057"/>
    <cellStyle name="Comma 31 5 4 3" xfId="7223"/>
    <cellStyle name="Comma 31 5 4 3 2" xfId="21330"/>
    <cellStyle name="Comma 31 5 4 3 3" xfId="15857"/>
    <cellStyle name="Comma 31 5 4 4" xfId="13567"/>
    <cellStyle name="Comma 31 5 4 5" xfId="19106"/>
    <cellStyle name="Comma 31 5 4 6" xfId="10470"/>
    <cellStyle name="Comma 31 5 5" xfId="3886"/>
    <cellStyle name="Comma 31 5 5 2" xfId="8015"/>
    <cellStyle name="Comma 31 5 5 2 2" xfId="22122"/>
    <cellStyle name="Comma 31 5 5 2 3" xfId="16649"/>
    <cellStyle name="Comma 31 5 5 3" xfId="13568"/>
    <cellStyle name="Comma 31 5 5 4" xfId="19107"/>
    <cellStyle name="Comma 31 5 5 5" xfId="11262"/>
    <cellStyle name="Comma 31 5 6" xfId="7040"/>
    <cellStyle name="Comma 31 5 6 2" xfId="21150"/>
    <cellStyle name="Comma 31 5 6 3" xfId="15677"/>
    <cellStyle name="Comma 31 5 7" xfId="13561"/>
    <cellStyle name="Comma 31 5 8" xfId="19100"/>
    <cellStyle name="Comma 31 5 9" xfId="10290"/>
    <cellStyle name="Comma 31 6" xfId="3887"/>
    <cellStyle name="Comma 31 6 2" xfId="3888"/>
    <cellStyle name="Comma 31 6 2 2" xfId="8191"/>
    <cellStyle name="Comma 31 6 2 2 2" xfId="22298"/>
    <cellStyle name="Comma 31 6 2 2 3" xfId="16825"/>
    <cellStyle name="Comma 31 6 2 3" xfId="13570"/>
    <cellStyle name="Comma 31 6 2 4" xfId="19109"/>
    <cellStyle name="Comma 31 6 2 5" xfId="11438"/>
    <cellStyle name="Comma 31 6 3" xfId="3889"/>
    <cellStyle name="Comma 31 6 3 2" xfId="8989"/>
    <cellStyle name="Comma 31 6 3 2 2" xfId="23090"/>
    <cellStyle name="Comma 31 6 3 2 3" xfId="17623"/>
    <cellStyle name="Comma 31 6 3 3" xfId="13571"/>
    <cellStyle name="Comma 31 6 3 4" xfId="19110"/>
    <cellStyle name="Comma 31 6 3 5" xfId="12233"/>
    <cellStyle name="Comma 31 6 4" xfId="7399"/>
    <cellStyle name="Comma 31 6 4 2" xfId="21506"/>
    <cellStyle name="Comma 31 6 4 3" xfId="16033"/>
    <cellStyle name="Comma 31 6 5" xfId="13569"/>
    <cellStyle name="Comma 31 6 6" xfId="19108"/>
    <cellStyle name="Comma 31 6 7" xfId="10646"/>
    <cellStyle name="Comma 31 6 8" xfId="41401"/>
    <cellStyle name="Comma 31 7" xfId="3890"/>
    <cellStyle name="Comma 31 7 2" xfId="3891"/>
    <cellStyle name="Comma 31 7 2 2" xfId="8451"/>
    <cellStyle name="Comma 31 7 2 2 2" xfId="22558"/>
    <cellStyle name="Comma 31 7 2 2 3" xfId="17085"/>
    <cellStyle name="Comma 31 7 2 3" xfId="13573"/>
    <cellStyle name="Comma 31 7 2 4" xfId="19112"/>
    <cellStyle name="Comma 31 7 2 5" xfId="11699"/>
    <cellStyle name="Comma 31 7 3" xfId="7659"/>
    <cellStyle name="Comma 31 7 3 2" xfId="21766"/>
    <cellStyle name="Comma 31 7 3 3" xfId="16293"/>
    <cellStyle name="Comma 31 7 4" xfId="13572"/>
    <cellStyle name="Comma 31 7 5" xfId="19111"/>
    <cellStyle name="Comma 31 7 6" xfId="10906"/>
    <cellStyle name="Comma 31 8" xfId="3892"/>
    <cellStyle name="Comma 31 8 2" xfId="6281"/>
    <cellStyle name="Comma 31 8 2 2" xfId="8717"/>
    <cellStyle name="Comma 31 8 2 2 2" xfId="22818"/>
    <cellStyle name="Comma 31 8 2 2 3" xfId="17351"/>
    <cellStyle name="Comma 31 8 2 3" xfId="15110"/>
    <cellStyle name="Comma 31 8 2 4" xfId="20604"/>
    <cellStyle name="Comma 31 8 2 5" xfId="11961"/>
    <cellStyle name="Comma 31 8 3" xfId="7127"/>
    <cellStyle name="Comma 31 8 3 2" xfId="21234"/>
    <cellStyle name="Comma 31 8 3 3" xfId="15761"/>
    <cellStyle name="Comma 31 8 4" xfId="13574"/>
    <cellStyle name="Comma 31 8 5" xfId="19113"/>
    <cellStyle name="Comma 31 8 6" xfId="10374"/>
    <cellStyle name="Comma 31 9" xfId="3893"/>
    <cellStyle name="Comma 31 9 2" xfId="7919"/>
    <cellStyle name="Comma 31 9 2 2" xfId="22026"/>
    <cellStyle name="Comma 31 9 2 3" xfId="16553"/>
    <cellStyle name="Comma 31 9 3" xfId="13575"/>
    <cellStyle name="Comma 31 9 4" xfId="19114"/>
    <cellStyle name="Comma 31 9 5" xfId="11166"/>
    <cellStyle name="Comma 32" xfId="781"/>
    <cellStyle name="Comma 32 10" xfId="6852"/>
    <cellStyle name="Comma 32 10 2" xfId="20982"/>
    <cellStyle name="Comma 32 10 3" xfId="15508"/>
    <cellStyle name="Comma 32 11" xfId="10116"/>
    <cellStyle name="Comma 32 2" xfId="1341"/>
    <cellStyle name="Comma 32 3" xfId="1595"/>
    <cellStyle name="Comma 32 3 10" xfId="9939"/>
    <cellStyle name="Comma 32 3 10 2" xfId="18379"/>
    <cellStyle name="Comma 32 3 11" xfId="23743"/>
    <cellStyle name="Comma 32 3 12" xfId="10152"/>
    <cellStyle name="Comma 32 3 13" xfId="2142"/>
    <cellStyle name="Comma 32 3 2" xfId="3025"/>
    <cellStyle name="Comma 32 3 2 10" xfId="10330"/>
    <cellStyle name="Comma 32 3 2 2" xfId="3894"/>
    <cellStyle name="Comma 32 3 2 2 2" xfId="3895"/>
    <cellStyle name="Comma 32 3 2 2 2 2" xfId="8667"/>
    <cellStyle name="Comma 32 3 2 2 2 2 2" xfId="22774"/>
    <cellStyle name="Comma 32 3 2 2 2 2 3" xfId="17301"/>
    <cellStyle name="Comma 32 3 2 2 2 3" xfId="13577"/>
    <cellStyle name="Comma 32 3 2 2 2 4" xfId="19116"/>
    <cellStyle name="Comma 32 3 2 2 2 5" xfId="11915"/>
    <cellStyle name="Comma 32 3 2 2 3" xfId="7875"/>
    <cellStyle name="Comma 32 3 2 2 3 2" xfId="21982"/>
    <cellStyle name="Comma 32 3 2 2 3 3" xfId="16509"/>
    <cellStyle name="Comma 32 3 2 2 4" xfId="13576"/>
    <cellStyle name="Comma 32 3 2 2 5" xfId="19115"/>
    <cellStyle name="Comma 32 3 2 2 6" xfId="24234"/>
    <cellStyle name="Comma 32 3 2 2 7" xfId="11122"/>
    <cellStyle name="Comma 32 3 2 3" xfId="3896"/>
    <cellStyle name="Comma 32 3 2 3 2" xfId="6606"/>
    <cellStyle name="Comma 32 3 2 3 2 2" xfId="9205"/>
    <cellStyle name="Comma 32 3 2 3 2 2 2" xfId="23306"/>
    <cellStyle name="Comma 32 3 2 3 2 2 3" xfId="17839"/>
    <cellStyle name="Comma 32 3 2 3 2 3" xfId="15391"/>
    <cellStyle name="Comma 32 3 2 3 2 4" xfId="20884"/>
    <cellStyle name="Comma 32 3 2 3 2 5" xfId="12450"/>
    <cellStyle name="Comma 32 3 2 3 3" xfId="7615"/>
    <cellStyle name="Comma 32 3 2 3 3 2" xfId="21722"/>
    <cellStyle name="Comma 32 3 2 3 3 3" xfId="16249"/>
    <cellStyle name="Comma 32 3 2 3 4" xfId="13578"/>
    <cellStyle name="Comma 32 3 2 3 5" xfId="19117"/>
    <cellStyle name="Comma 32 3 2 3 6" xfId="10862"/>
    <cellStyle name="Comma 32 3 2 4" xfId="3897"/>
    <cellStyle name="Comma 32 3 2 4 2" xfId="8407"/>
    <cellStyle name="Comma 32 3 2 4 2 2" xfId="22514"/>
    <cellStyle name="Comma 32 3 2 4 2 3" xfId="17041"/>
    <cellStyle name="Comma 32 3 2 4 3" xfId="13579"/>
    <cellStyle name="Comma 32 3 2 4 4" xfId="19118"/>
    <cellStyle name="Comma 32 3 2 4 5" xfId="11655"/>
    <cellStyle name="Comma 32 3 2 5" xfId="3898"/>
    <cellStyle name="Comma 32 3 2 5 2" xfId="9498"/>
    <cellStyle name="Comma 32 3 2 5 2 2" xfId="23545"/>
    <cellStyle name="Comma 32 3 2 5 2 3" xfId="18099"/>
    <cellStyle name="Comma 32 3 2 5 3" xfId="13580"/>
    <cellStyle name="Comma 32 3 2 5 4" xfId="19119"/>
    <cellStyle name="Comma 32 3 2 5 5" xfId="12699"/>
    <cellStyle name="Comma 32 3 2 6" xfId="7081"/>
    <cellStyle name="Comma 32 3 2 6 2" xfId="21190"/>
    <cellStyle name="Comma 32 3 2 6 3" xfId="15717"/>
    <cellStyle name="Comma 32 3 2 7" xfId="9800"/>
    <cellStyle name="Comma 32 3 2 7 2" xfId="12901"/>
    <cellStyle name="Comma 32 3 2 8" xfId="10013"/>
    <cellStyle name="Comma 32 3 2 8 2" xfId="18452"/>
    <cellStyle name="Comma 32 3 2 9" xfId="24031"/>
    <cellStyle name="Comma 32 3 3" xfId="3899"/>
    <cellStyle name="Comma 32 3 3 2" xfId="3900"/>
    <cellStyle name="Comma 32 3 3 2 2" xfId="8231"/>
    <cellStyle name="Comma 32 3 3 2 2 2" xfId="22338"/>
    <cellStyle name="Comma 32 3 3 2 2 3" xfId="16865"/>
    <cellStyle name="Comma 32 3 3 2 3" xfId="13582"/>
    <cellStyle name="Comma 32 3 3 2 4" xfId="19121"/>
    <cellStyle name="Comma 32 3 3 2 5" xfId="11478"/>
    <cellStyle name="Comma 32 3 3 3" xfId="3901"/>
    <cellStyle name="Comma 32 3 3 3 2" xfId="9029"/>
    <cellStyle name="Comma 32 3 3 3 2 2" xfId="23130"/>
    <cellStyle name="Comma 32 3 3 3 2 3" xfId="17663"/>
    <cellStyle name="Comma 32 3 3 3 3" xfId="13583"/>
    <cellStyle name="Comma 32 3 3 3 4" xfId="19122"/>
    <cellStyle name="Comma 32 3 3 3 5" xfId="12273"/>
    <cellStyle name="Comma 32 3 3 4" xfId="7439"/>
    <cellStyle name="Comma 32 3 3 4 2" xfId="21546"/>
    <cellStyle name="Comma 32 3 3 4 3" xfId="16073"/>
    <cellStyle name="Comma 32 3 3 5" xfId="13581"/>
    <cellStyle name="Comma 32 3 3 6" xfId="19120"/>
    <cellStyle name="Comma 32 3 3 7" xfId="24161"/>
    <cellStyle name="Comma 32 3 3 8" xfId="10686"/>
    <cellStyle name="Comma 32 3 4" xfId="3902"/>
    <cellStyle name="Comma 32 3 4 2" xfId="3903"/>
    <cellStyle name="Comma 32 3 4 2 2" xfId="8491"/>
    <cellStyle name="Comma 32 3 4 2 2 2" xfId="22598"/>
    <cellStyle name="Comma 32 3 4 2 2 3" xfId="17125"/>
    <cellStyle name="Comma 32 3 4 2 3" xfId="13585"/>
    <cellStyle name="Comma 32 3 4 2 4" xfId="19124"/>
    <cellStyle name="Comma 32 3 4 2 5" xfId="11739"/>
    <cellStyle name="Comma 32 3 4 3" xfId="7699"/>
    <cellStyle name="Comma 32 3 4 3 2" xfId="21806"/>
    <cellStyle name="Comma 32 3 4 3 3" xfId="16333"/>
    <cellStyle name="Comma 32 3 4 4" xfId="13584"/>
    <cellStyle name="Comma 32 3 4 5" xfId="19123"/>
    <cellStyle name="Comma 32 3 4 6" xfId="10946"/>
    <cellStyle name="Comma 32 3 5" xfId="3904"/>
    <cellStyle name="Comma 32 3 5 2" xfId="6417"/>
    <cellStyle name="Comma 32 3 5 2 2" xfId="8853"/>
    <cellStyle name="Comma 32 3 5 2 2 2" xfId="22954"/>
    <cellStyle name="Comma 32 3 5 2 2 3" xfId="17487"/>
    <cellStyle name="Comma 32 3 5 2 3" xfId="15246"/>
    <cellStyle name="Comma 32 3 5 2 4" xfId="20740"/>
    <cellStyle name="Comma 32 3 5 2 5" xfId="12097"/>
    <cellStyle name="Comma 32 3 5 3" xfId="7263"/>
    <cellStyle name="Comma 32 3 5 3 2" xfId="21370"/>
    <cellStyle name="Comma 32 3 5 3 3" xfId="15897"/>
    <cellStyle name="Comma 32 3 5 4" xfId="13586"/>
    <cellStyle name="Comma 32 3 5 5" xfId="19125"/>
    <cellStyle name="Comma 32 3 5 6" xfId="10510"/>
    <cellStyle name="Comma 32 3 6" xfId="3905"/>
    <cellStyle name="Comma 32 3 6 2" xfId="8055"/>
    <cellStyle name="Comma 32 3 6 2 2" xfId="22162"/>
    <cellStyle name="Comma 32 3 6 2 3" xfId="16689"/>
    <cellStyle name="Comma 32 3 6 3" xfId="13587"/>
    <cellStyle name="Comma 32 3 6 4" xfId="19126"/>
    <cellStyle name="Comma 32 3 6 5" xfId="11302"/>
    <cellStyle name="Comma 32 3 7" xfId="3906"/>
    <cellStyle name="Comma 32 3 7 2" xfId="9404"/>
    <cellStyle name="Comma 32 3 7 2 2" xfId="23472"/>
    <cellStyle name="Comma 32 3 7 2 3" xfId="18024"/>
    <cellStyle name="Comma 32 3 7 3" xfId="13588"/>
    <cellStyle name="Comma 32 3 7 4" xfId="19127"/>
    <cellStyle name="Comma 32 3 7 5" xfId="12621"/>
    <cellStyle name="Comma 32 3 8" xfId="6901"/>
    <cellStyle name="Comma 32 3 8 2" xfId="21014"/>
    <cellStyle name="Comma 32 3 8 3" xfId="15541"/>
    <cellStyle name="Comma 32 3 9" xfId="9710"/>
    <cellStyle name="Comma 32 3 9 2" xfId="12828"/>
    <cellStyle name="Comma 32 4" xfId="2606"/>
    <cellStyle name="Comma 32 4 10" xfId="23990"/>
    <cellStyle name="Comma 32 4 11" xfId="10202"/>
    <cellStyle name="Comma 32 4 2" xfId="3907"/>
    <cellStyle name="Comma 32 4 2 2" xfId="3908"/>
    <cellStyle name="Comma 32 4 2 2 2" xfId="8279"/>
    <cellStyle name="Comma 32 4 2 2 2 2" xfId="22386"/>
    <cellStyle name="Comma 32 4 2 2 2 3" xfId="16913"/>
    <cellStyle name="Comma 32 4 2 2 3" xfId="13590"/>
    <cellStyle name="Comma 32 4 2 2 4" xfId="19129"/>
    <cellStyle name="Comma 32 4 2 2 5" xfId="11526"/>
    <cellStyle name="Comma 32 4 2 3" xfId="3909"/>
    <cellStyle name="Comma 32 4 2 3 2" xfId="9077"/>
    <cellStyle name="Comma 32 4 2 3 2 2" xfId="23178"/>
    <cellStyle name="Comma 32 4 2 3 2 3" xfId="17711"/>
    <cellStyle name="Comma 32 4 2 3 3" xfId="13591"/>
    <cellStyle name="Comma 32 4 2 3 4" xfId="19130"/>
    <cellStyle name="Comma 32 4 2 3 5" xfId="12322"/>
    <cellStyle name="Comma 32 4 2 4" xfId="7487"/>
    <cellStyle name="Comma 32 4 2 4 2" xfId="21594"/>
    <cellStyle name="Comma 32 4 2 4 3" xfId="16121"/>
    <cellStyle name="Comma 32 4 2 5" xfId="13589"/>
    <cellStyle name="Comma 32 4 2 6" xfId="19128"/>
    <cellStyle name="Comma 32 4 2 7" xfId="24194"/>
    <cellStyle name="Comma 32 4 2 8" xfId="10734"/>
    <cellStyle name="Comma 32 4 3" xfId="3910"/>
    <cellStyle name="Comma 32 4 3 2" xfId="3911"/>
    <cellStyle name="Comma 32 4 3 2 2" xfId="8539"/>
    <cellStyle name="Comma 32 4 3 2 2 2" xfId="22646"/>
    <cellStyle name="Comma 32 4 3 2 2 3" xfId="17173"/>
    <cellStyle name="Comma 32 4 3 2 3" xfId="13593"/>
    <cellStyle name="Comma 32 4 3 2 4" xfId="19132"/>
    <cellStyle name="Comma 32 4 3 2 5" xfId="11787"/>
    <cellStyle name="Comma 32 4 3 3" xfId="7747"/>
    <cellStyle name="Comma 32 4 3 3 2" xfId="21854"/>
    <cellStyle name="Comma 32 4 3 3 3" xfId="16381"/>
    <cellStyle name="Comma 32 4 3 4" xfId="13592"/>
    <cellStyle name="Comma 32 4 3 5" xfId="19131"/>
    <cellStyle name="Comma 32 4 3 6" xfId="10994"/>
    <cellStyle name="Comma 32 4 4" xfId="3912"/>
    <cellStyle name="Comma 32 4 4 2" xfId="6465"/>
    <cellStyle name="Comma 32 4 4 2 2" xfId="8901"/>
    <cellStyle name="Comma 32 4 4 2 2 2" xfId="23002"/>
    <cellStyle name="Comma 32 4 4 2 2 3" xfId="17535"/>
    <cellStyle name="Comma 32 4 4 2 3" xfId="15294"/>
    <cellStyle name="Comma 32 4 4 2 4" xfId="20788"/>
    <cellStyle name="Comma 32 4 4 2 5" xfId="12145"/>
    <cellStyle name="Comma 32 4 4 3" xfId="7311"/>
    <cellStyle name="Comma 32 4 4 3 2" xfId="21418"/>
    <cellStyle name="Comma 32 4 4 3 3" xfId="15945"/>
    <cellStyle name="Comma 32 4 4 4" xfId="13594"/>
    <cellStyle name="Comma 32 4 4 5" xfId="19133"/>
    <cellStyle name="Comma 32 4 4 6" xfId="10558"/>
    <cellStyle name="Comma 32 4 5" xfId="3913"/>
    <cellStyle name="Comma 32 4 5 2" xfId="8103"/>
    <cellStyle name="Comma 32 4 5 2 2" xfId="22210"/>
    <cellStyle name="Comma 32 4 5 2 3" xfId="16737"/>
    <cellStyle name="Comma 32 4 5 3" xfId="13595"/>
    <cellStyle name="Comma 32 4 5 4" xfId="19134"/>
    <cellStyle name="Comma 32 4 5 5" xfId="11350"/>
    <cellStyle name="Comma 32 4 6" xfId="3914"/>
    <cellStyle name="Comma 32 4 6 2" xfId="9438"/>
    <cellStyle name="Comma 32 4 6 2 2" xfId="23505"/>
    <cellStyle name="Comma 32 4 6 2 3" xfId="18057"/>
    <cellStyle name="Comma 32 4 6 3" xfId="13596"/>
    <cellStyle name="Comma 32 4 6 4" xfId="19135"/>
    <cellStyle name="Comma 32 4 6 5" xfId="12655"/>
    <cellStyle name="Comma 32 4 7" xfId="6952"/>
    <cellStyle name="Comma 32 4 7 2" xfId="21062"/>
    <cellStyle name="Comma 32 4 7 3" xfId="15589"/>
    <cellStyle name="Comma 32 4 8" xfId="9753"/>
    <cellStyle name="Comma 32 4 8 2" xfId="12861"/>
    <cellStyle name="Comma 32 4 9" xfId="9973"/>
    <cellStyle name="Comma 32 4 9 2" xfId="18412"/>
    <cellStyle name="Comma 32 5" xfId="3915"/>
    <cellStyle name="Comma 32 5 10" xfId="41402"/>
    <cellStyle name="Comma 32 5 2" xfId="3916"/>
    <cellStyle name="Comma 32 5 2 2" xfId="3917"/>
    <cellStyle name="Comma 32 5 2 2 2" xfId="8375"/>
    <cellStyle name="Comma 32 5 2 2 2 2" xfId="22482"/>
    <cellStyle name="Comma 32 5 2 2 2 3" xfId="17009"/>
    <cellStyle name="Comma 32 5 2 2 3" xfId="13599"/>
    <cellStyle name="Comma 32 5 2 2 4" xfId="19138"/>
    <cellStyle name="Comma 32 5 2 2 5" xfId="11623"/>
    <cellStyle name="Comma 32 5 2 3" xfId="3918"/>
    <cellStyle name="Comma 32 5 2 3 2" xfId="9173"/>
    <cellStyle name="Comma 32 5 2 3 2 2" xfId="23274"/>
    <cellStyle name="Comma 32 5 2 3 2 3" xfId="17807"/>
    <cellStyle name="Comma 32 5 2 3 3" xfId="13600"/>
    <cellStyle name="Comma 32 5 2 3 4" xfId="19139"/>
    <cellStyle name="Comma 32 5 2 3 5" xfId="12418"/>
    <cellStyle name="Comma 32 5 2 4" xfId="7583"/>
    <cellStyle name="Comma 32 5 2 4 2" xfId="21690"/>
    <cellStyle name="Comma 32 5 2 4 3" xfId="16217"/>
    <cellStyle name="Comma 32 5 2 5" xfId="13598"/>
    <cellStyle name="Comma 32 5 2 6" xfId="19137"/>
    <cellStyle name="Comma 32 5 2 7" xfId="10830"/>
    <cellStyle name="Comma 32 5 3" xfId="3919"/>
    <cellStyle name="Comma 32 5 3 2" xfId="3920"/>
    <cellStyle name="Comma 32 5 3 2 2" xfId="8635"/>
    <cellStyle name="Comma 32 5 3 2 2 2" xfId="22742"/>
    <cellStyle name="Comma 32 5 3 2 2 3" xfId="17269"/>
    <cellStyle name="Comma 32 5 3 2 3" xfId="13602"/>
    <cellStyle name="Comma 32 5 3 2 4" xfId="19141"/>
    <cellStyle name="Comma 32 5 3 2 5" xfId="11883"/>
    <cellStyle name="Comma 32 5 3 3" xfId="7843"/>
    <cellStyle name="Comma 32 5 3 3 2" xfId="21950"/>
    <cellStyle name="Comma 32 5 3 3 3" xfId="16477"/>
    <cellStyle name="Comma 32 5 3 4" xfId="13601"/>
    <cellStyle name="Comma 32 5 3 5" xfId="19140"/>
    <cellStyle name="Comma 32 5 3 6" xfId="11090"/>
    <cellStyle name="Comma 32 5 4" xfId="3921"/>
    <cellStyle name="Comma 32 5 4 2" xfId="6385"/>
    <cellStyle name="Comma 32 5 4 2 2" xfId="8821"/>
    <cellStyle name="Comma 32 5 4 2 2 2" xfId="22922"/>
    <cellStyle name="Comma 32 5 4 2 2 3" xfId="17455"/>
    <cellStyle name="Comma 32 5 4 2 3" xfId="15214"/>
    <cellStyle name="Comma 32 5 4 2 4" xfId="20708"/>
    <cellStyle name="Comma 32 5 4 2 5" xfId="12065"/>
    <cellStyle name="Comma 32 5 4 3" xfId="7231"/>
    <cellStyle name="Comma 32 5 4 3 2" xfId="21338"/>
    <cellStyle name="Comma 32 5 4 3 3" xfId="15865"/>
    <cellStyle name="Comma 32 5 4 4" xfId="13603"/>
    <cellStyle name="Comma 32 5 4 5" xfId="19142"/>
    <cellStyle name="Comma 32 5 4 6" xfId="10478"/>
    <cellStyle name="Comma 32 5 5" xfId="3922"/>
    <cellStyle name="Comma 32 5 5 2" xfId="8023"/>
    <cellStyle name="Comma 32 5 5 2 2" xfId="22130"/>
    <cellStyle name="Comma 32 5 5 2 3" xfId="16657"/>
    <cellStyle name="Comma 32 5 5 3" xfId="13604"/>
    <cellStyle name="Comma 32 5 5 4" xfId="19143"/>
    <cellStyle name="Comma 32 5 5 5" xfId="11270"/>
    <cellStyle name="Comma 32 5 6" xfId="7048"/>
    <cellStyle name="Comma 32 5 6 2" xfId="21158"/>
    <cellStyle name="Comma 32 5 6 3" xfId="15685"/>
    <cellStyle name="Comma 32 5 7" xfId="13597"/>
    <cellStyle name="Comma 32 5 8" xfId="19136"/>
    <cellStyle name="Comma 32 5 9" xfId="10298"/>
    <cellStyle name="Comma 32 6" xfId="3923"/>
    <cellStyle name="Comma 32 6 2" xfId="3924"/>
    <cellStyle name="Comma 32 6 2 2" xfId="8199"/>
    <cellStyle name="Comma 32 6 2 2 2" xfId="22306"/>
    <cellStyle name="Comma 32 6 2 2 3" xfId="16833"/>
    <cellStyle name="Comma 32 6 2 3" xfId="13606"/>
    <cellStyle name="Comma 32 6 2 4" xfId="19145"/>
    <cellStyle name="Comma 32 6 2 5" xfId="11446"/>
    <cellStyle name="Comma 32 6 3" xfId="3925"/>
    <cellStyle name="Comma 32 6 3 2" xfId="8997"/>
    <cellStyle name="Comma 32 6 3 2 2" xfId="23098"/>
    <cellStyle name="Comma 32 6 3 2 3" xfId="17631"/>
    <cellStyle name="Comma 32 6 3 3" xfId="13607"/>
    <cellStyle name="Comma 32 6 3 4" xfId="19146"/>
    <cellStyle name="Comma 32 6 3 5" xfId="12241"/>
    <cellStyle name="Comma 32 6 4" xfId="7407"/>
    <cellStyle name="Comma 32 6 4 2" xfId="21514"/>
    <cellStyle name="Comma 32 6 4 3" xfId="16041"/>
    <cellStyle name="Comma 32 6 5" xfId="13605"/>
    <cellStyle name="Comma 32 6 6" xfId="19144"/>
    <cellStyle name="Comma 32 6 7" xfId="10654"/>
    <cellStyle name="Comma 32 6 8" xfId="41403"/>
    <cellStyle name="Comma 32 7" xfId="3926"/>
    <cellStyle name="Comma 32 7 2" xfId="3927"/>
    <cellStyle name="Comma 32 7 2 2" xfId="8459"/>
    <cellStyle name="Comma 32 7 2 2 2" xfId="22566"/>
    <cellStyle name="Comma 32 7 2 2 3" xfId="17093"/>
    <cellStyle name="Comma 32 7 2 3" xfId="13609"/>
    <cellStyle name="Comma 32 7 2 4" xfId="19148"/>
    <cellStyle name="Comma 32 7 2 5" xfId="11707"/>
    <cellStyle name="Comma 32 7 3" xfId="7667"/>
    <cellStyle name="Comma 32 7 3 2" xfId="21774"/>
    <cellStyle name="Comma 32 7 3 3" xfId="16301"/>
    <cellStyle name="Comma 32 7 4" xfId="13608"/>
    <cellStyle name="Comma 32 7 5" xfId="19147"/>
    <cellStyle name="Comma 32 7 6" xfId="10914"/>
    <cellStyle name="Comma 32 8" xfId="3928"/>
    <cellStyle name="Comma 32 8 2" xfId="6289"/>
    <cellStyle name="Comma 32 8 2 2" xfId="8725"/>
    <cellStyle name="Comma 32 8 2 2 2" xfId="22826"/>
    <cellStyle name="Comma 32 8 2 2 3" xfId="17359"/>
    <cellStyle name="Comma 32 8 2 3" xfId="15118"/>
    <cellStyle name="Comma 32 8 2 4" xfId="20612"/>
    <cellStyle name="Comma 32 8 2 5" xfId="11969"/>
    <cellStyle name="Comma 32 8 3" xfId="7135"/>
    <cellStyle name="Comma 32 8 3 2" xfId="21242"/>
    <cellStyle name="Comma 32 8 3 3" xfId="15769"/>
    <cellStyle name="Comma 32 8 4" xfId="13610"/>
    <cellStyle name="Comma 32 8 5" xfId="19149"/>
    <cellStyle name="Comma 32 8 6" xfId="10382"/>
    <cellStyle name="Comma 32 9" xfId="3929"/>
    <cellStyle name="Comma 32 9 2" xfId="7927"/>
    <cellStyle name="Comma 32 9 2 2" xfId="22034"/>
    <cellStyle name="Comma 32 9 2 3" xfId="16561"/>
    <cellStyle name="Comma 32 9 3" xfId="13611"/>
    <cellStyle name="Comma 32 9 4" xfId="19150"/>
    <cellStyle name="Comma 32 9 5" xfId="11174"/>
    <cellStyle name="Comma 33" xfId="815"/>
    <cellStyle name="Comma 33 10" xfId="6839"/>
    <cellStyle name="Comma 33 10 2" xfId="20969"/>
    <cellStyle name="Comma 33 10 3" xfId="15495"/>
    <cellStyle name="Comma 33 11" xfId="10103"/>
    <cellStyle name="Comma 33 2" xfId="1342"/>
    <cellStyle name="Comma 33 3" xfId="1582"/>
    <cellStyle name="Comma 33 3 10" xfId="9926"/>
    <cellStyle name="Comma 33 3 10 2" xfId="18366"/>
    <cellStyle name="Comma 33 3 11" xfId="23730"/>
    <cellStyle name="Comma 33 3 12" xfId="10139"/>
    <cellStyle name="Comma 33 3 13" xfId="2129"/>
    <cellStyle name="Comma 33 3 2" xfId="3012"/>
    <cellStyle name="Comma 33 3 2 10" xfId="10317"/>
    <cellStyle name="Comma 33 3 2 2" xfId="3930"/>
    <cellStyle name="Comma 33 3 2 2 2" xfId="3931"/>
    <cellStyle name="Comma 33 3 2 2 2 2" xfId="8654"/>
    <cellStyle name="Comma 33 3 2 2 2 2 2" xfId="22761"/>
    <cellStyle name="Comma 33 3 2 2 2 2 3" xfId="17288"/>
    <cellStyle name="Comma 33 3 2 2 2 3" xfId="13613"/>
    <cellStyle name="Comma 33 3 2 2 2 4" xfId="19152"/>
    <cellStyle name="Comma 33 3 2 2 2 5" xfId="11902"/>
    <cellStyle name="Comma 33 3 2 2 3" xfId="7862"/>
    <cellStyle name="Comma 33 3 2 2 3 2" xfId="21969"/>
    <cellStyle name="Comma 33 3 2 2 3 3" xfId="16496"/>
    <cellStyle name="Comma 33 3 2 2 4" xfId="13612"/>
    <cellStyle name="Comma 33 3 2 2 5" xfId="19151"/>
    <cellStyle name="Comma 33 3 2 2 6" xfId="24221"/>
    <cellStyle name="Comma 33 3 2 2 7" xfId="11109"/>
    <cellStyle name="Comma 33 3 2 3" xfId="3932"/>
    <cellStyle name="Comma 33 3 2 3 2" xfId="6593"/>
    <cellStyle name="Comma 33 3 2 3 2 2" xfId="9192"/>
    <cellStyle name="Comma 33 3 2 3 2 2 2" xfId="23293"/>
    <cellStyle name="Comma 33 3 2 3 2 2 3" xfId="17826"/>
    <cellStyle name="Comma 33 3 2 3 2 3" xfId="15378"/>
    <cellStyle name="Comma 33 3 2 3 2 4" xfId="20871"/>
    <cellStyle name="Comma 33 3 2 3 2 5" xfId="12437"/>
    <cellStyle name="Comma 33 3 2 3 3" xfId="7602"/>
    <cellStyle name="Comma 33 3 2 3 3 2" xfId="21709"/>
    <cellStyle name="Comma 33 3 2 3 3 3" xfId="16236"/>
    <cellStyle name="Comma 33 3 2 3 4" xfId="13614"/>
    <cellStyle name="Comma 33 3 2 3 5" xfId="19153"/>
    <cellStyle name="Comma 33 3 2 3 6" xfId="10849"/>
    <cellStyle name="Comma 33 3 2 4" xfId="3933"/>
    <cellStyle name="Comma 33 3 2 4 2" xfId="8394"/>
    <cellStyle name="Comma 33 3 2 4 2 2" xfId="22501"/>
    <cellStyle name="Comma 33 3 2 4 2 3" xfId="17028"/>
    <cellStyle name="Comma 33 3 2 4 3" xfId="13615"/>
    <cellStyle name="Comma 33 3 2 4 4" xfId="19154"/>
    <cellStyle name="Comma 33 3 2 4 5" xfId="11642"/>
    <cellStyle name="Comma 33 3 2 5" xfId="3934"/>
    <cellStyle name="Comma 33 3 2 5 2" xfId="9485"/>
    <cellStyle name="Comma 33 3 2 5 2 2" xfId="23532"/>
    <cellStyle name="Comma 33 3 2 5 2 3" xfId="18086"/>
    <cellStyle name="Comma 33 3 2 5 3" xfId="13616"/>
    <cellStyle name="Comma 33 3 2 5 4" xfId="19155"/>
    <cellStyle name="Comma 33 3 2 5 5" xfId="12686"/>
    <cellStyle name="Comma 33 3 2 6" xfId="7068"/>
    <cellStyle name="Comma 33 3 2 6 2" xfId="21177"/>
    <cellStyle name="Comma 33 3 2 6 3" xfId="15704"/>
    <cellStyle name="Comma 33 3 2 7" xfId="9787"/>
    <cellStyle name="Comma 33 3 2 7 2" xfId="12888"/>
    <cellStyle name="Comma 33 3 2 8" xfId="10000"/>
    <cellStyle name="Comma 33 3 2 8 2" xfId="18439"/>
    <cellStyle name="Comma 33 3 2 9" xfId="24023"/>
    <cellStyle name="Comma 33 3 3" xfId="3935"/>
    <cellStyle name="Comma 33 3 3 2" xfId="3936"/>
    <cellStyle name="Comma 33 3 3 2 2" xfId="8218"/>
    <cellStyle name="Comma 33 3 3 2 2 2" xfId="22325"/>
    <cellStyle name="Comma 33 3 3 2 2 3" xfId="16852"/>
    <cellStyle name="Comma 33 3 3 2 3" xfId="13618"/>
    <cellStyle name="Comma 33 3 3 2 4" xfId="19157"/>
    <cellStyle name="Comma 33 3 3 2 5" xfId="11465"/>
    <cellStyle name="Comma 33 3 3 3" xfId="3937"/>
    <cellStyle name="Comma 33 3 3 3 2" xfId="9016"/>
    <cellStyle name="Comma 33 3 3 3 2 2" xfId="23117"/>
    <cellStyle name="Comma 33 3 3 3 2 3" xfId="17650"/>
    <cellStyle name="Comma 33 3 3 3 3" xfId="13619"/>
    <cellStyle name="Comma 33 3 3 3 4" xfId="19158"/>
    <cellStyle name="Comma 33 3 3 3 5" xfId="12260"/>
    <cellStyle name="Comma 33 3 3 4" xfId="7426"/>
    <cellStyle name="Comma 33 3 3 4 2" xfId="21533"/>
    <cellStyle name="Comma 33 3 3 4 3" xfId="16060"/>
    <cellStyle name="Comma 33 3 3 5" xfId="13617"/>
    <cellStyle name="Comma 33 3 3 6" xfId="19156"/>
    <cellStyle name="Comma 33 3 3 7" xfId="24148"/>
    <cellStyle name="Comma 33 3 3 8" xfId="10673"/>
    <cellStyle name="Comma 33 3 4" xfId="3938"/>
    <cellStyle name="Comma 33 3 4 2" xfId="3939"/>
    <cellStyle name="Comma 33 3 4 2 2" xfId="8478"/>
    <cellStyle name="Comma 33 3 4 2 2 2" xfId="22585"/>
    <cellStyle name="Comma 33 3 4 2 2 3" xfId="17112"/>
    <cellStyle name="Comma 33 3 4 2 3" xfId="13621"/>
    <cellStyle name="Comma 33 3 4 2 4" xfId="19160"/>
    <cellStyle name="Comma 33 3 4 2 5" xfId="11726"/>
    <cellStyle name="Comma 33 3 4 3" xfId="7686"/>
    <cellStyle name="Comma 33 3 4 3 2" xfId="21793"/>
    <cellStyle name="Comma 33 3 4 3 3" xfId="16320"/>
    <cellStyle name="Comma 33 3 4 4" xfId="13620"/>
    <cellStyle name="Comma 33 3 4 5" xfId="19159"/>
    <cellStyle name="Comma 33 3 4 6" xfId="10933"/>
    <cellStyle name="Comma 33 3 5" xfId="3940"/>
    <cellStyle name="Comma 33 3 5 2" xfId="6404"/>
    <cellStyle name="Comma 33 3 5 2 2" xfId="8840"/>
    <cellStyle name="Comma 33 3 5 2 2 2" xfId="22941"/>
    <cellStyle name="Comma 33 3 5 2 2 3" xfId="17474"/>
    <cellStyle name="Comma 33 3 5 2 3" xfId="15233"/>
    <cellStyle name="Comma 33 3 5 2 4" xfId="20727"/>
    <cellStyle name="Comma 33 3 5 2 5" xfId="12084"/>
    <cellStyle name="Comma 33 3 5 3" xfId="7250"/>
    <cellStyle name="Comma 33 3 5 3 2" xfId="21357"/>
    <cellStyle name="Comma 33 3 5 3 3" xfId="15884"/>
    <cellStyle name="Comma 33 3 5 4" xfId="13622"/>
    <cellStyle name="Comma 33 3 5 5" xfId="19161"/>
    <cellStyle name="Comma 33 3 5 6" xfId="10497"/>
    <cellStyle name="Comma 33 3 6" xfId="3941"/>
    <cellStyle name="Comma 33 3 6 2" xfId="8042"/>
    <cellStyle name="Comma 33 3 6 2 2" xfId="22149"/>
    <cellStyle name="Comma 33 3 6 2 3" xfId="16676"/>
    <cellStyle name="Comma 33 3 6 3" xfId="13623"/>
    <cellStyle name="Comma 33 3 6 4" xfId="19162"/>
    <cellStyle name="Comma 33 3 6 5" xfId="11289"/>
    <cellStyle name="Comma 33 3 7" xfId="3942"/>
    <cellStyle name="Comma 33 3 7 2" xfId="9391"/>
    <cellStyle name="Comma 33 3 7 2 2" xfId="23459"/>
    <cellStyle name="Comma 33 3 7 2 3" xfId="18011"/>
    <cellStyle name="Comma 33 3 7 3" xfId="13624"/>
    <cellStyle name="Comma 33 3 7 4" xfId="19163"/>
    <cellStyle name="Comma 33 3 7 5" xfId="12608"/>
    <cellStyle name="Comma 33 3 8" xfId="6888"/>
    <cellStyle name="Comma 33 3 8 2" xfId="21001"/>
    <cellStyle name="Comma 33 3 8 3" xfId="15528"/>
    <cellStyle name="Comma 33 3 9" xfId="9697"/>
    <cellStyle name="Comma 33 3 9 2" xfId="12815"/>
    <cellStyle name="Comma 33 4" xfId="2593"/>
    <cellStyle name="Comma 33 4 10" xfId="23977"/>
    <cellStyle name="Comma 33 4 11" xfId="10189"/>
    <cellStyle name="Comma 33 4 2" xfId="3943"/>
    <cellStyle name="Comma 33 4 2 2" xfId="3944"/>
    <cellStyle name="Comma 33 4 2 2 2" xfId="8266"/>
    <cellStyle name="Comma 33 4 2 2 2 2" xfId="22373"/>
    <cellStyle name="Comma 33 4 2 2 2 3" xfId="16900"/>
    <cellStyle name="Comma 33 4 2 2 3" xfId="13626"/>
    <cellStyle name="Comma 33 4 2 2 4" xfId="19165"/>
    <cellStyle name="Comma 33 4 2 2 5" xfId="11513"/>
    <cellStyle name="Comma 33 4 2 3" xfId="3945"/>
    <cellStyle name="Comma 33 4 2 3 2" xfId="9064"/>
    <cellStyle name="Comma 33 4 2 3 2 2" xfId="23165"/>
    <cellStyle name="Comma 33 4 2 3 2 3" xfId="17698"/>
    <cellStyle name="Comma 33 4 2 3 3" xfId="13627"/>
    <cellStyle name="Comma 33 4 2 3 4" xfId="19166"/>
    <cellStyle name="Comma 33 4 2 3 5" xfId="12309"/>
    <cellStyle name="Comma 33 4 2 4" xfId="7474"/>
    <cellStyle name="Comma 33 4 2 4 2" xfId="21581"/>
    <cellStyle name="Comma 33 4 2 4 3" xfId="16108"/>
    <cellStyle name="Comma 33 4 2 5" xfId="13625"/>
    <cellStyle name="Comma 33 4 2 6" xfId="19164"/>
    <cellStyle name="Comma 33 4 2 7" xfId="24181"/>
    <cellStyle name="Comma 33 4 2 8" xfId="10721"/>
    <cellStyle name="Comma 33 4 3" xfId="3946"/>
    <cellStyle name="Comma 33 4 3 2" xfId="3947"/>
    <cellStyle name="Comma 33 4 3 2 2" xfId="8526"/>
    <cellStyle name="Comma 33 4 3 2 2 2" xfId="22633"/>
    <cellStyle name="Comma 33 4 3 2 2 3" xfId="17160"/>
    <cellStyle name="Comma 33 4 3 2 3" xfId="13629"/>
    <cellStyle name="Comma 33 4 3 2 4" xfId="19168"/>
    <cellStyle name="Comma 33 4 3 2 5" xfId="11774"/>
    <cellStyle name="Comma 33 4 3 3" xfId="7734"/>
    <cellStyle name="Comma 33 4 3 3 2" xfId="21841"/>
    <cellStyle name="Comma 33 4 3 3 3" xfId="16368"/>
    <cellStyle name="Comma 33 4 3 4" xfId="13628"/>
    <cellStyle name="Comma 33 4 3 5" xfId="19167"/>
    <cellStyle name="Comma 33 4 3 6" xfId="10981"/>
    <cellStyle name="Comma 33 4 4" xfId="3948"/>
    <cellStyle name="Comma 33 4 4 2" xfId="6452"/>
    <cellStyle name="Comma 33 4 4 2 2" xfId="8888"/>
    <cellStyle name="Comma 33 4 4 2 2 2" xfId="22989"/>
    <cellStyle name="Comma 33 4 4 2 2 3" xfId="17522"/>
    <cellStyle name="Comma 33 4 4 2 3" xfId="15281"/>
    <cellStyle name="Comma 33 4 4 2 4" xfId="20775"/>
    <cellStyle name="Comma 33 4 4 2 5" xfId="12132"/>
    <cellStyle name="Comma 33 4 4 3" xfId="7298"/>
    <cellStyle name="Comma 33 4 4 3 2" xfId="21405"/>
    <cellStyle name="Comma 33 4 4 3 3" xfId="15932"/>
    <cellStyle name="Comma 33 4 4 4" xfId="13630"/>
    <cellStyle name="Comma 33 4 4 5" xfId="19169"/>
    <cellStyle name="Comma 33 4 4 6" xfId="10545"/>
    <cellStyle name="Comma 33 4 5" xfId="3949"/>
    <cellStyle name="Comma 33 4 5 2" xfId="8090"/>
    <cellStyle name="Comma 33 4 5 2 2" xfId="22197"/>
    <cellStyle name="Comma 33 4 5 2 3" xfId="16724"/>
    <cellStyle name="Comma 33 4 5 3" xfId="13631"/>
    <cellStyle name="Comma 33 4 5 4" xfId="19170"/>
    <cellStyle name="Comma 33 4 5 5" xfId="11337"/>
    <cellStyle name="Comma 33 4 6" xfId="3950"/>
    <cellStyle name="Comma 33 4 6 2" xfId="9425"/>
    <cellStyle name="Comma 33 4 6 2 2" xfId="23492"/>
    <cellStyle name="Comma 33 4 6 2 3" xfId="18044"/>
    <cellStyle name="Comma 33 4 6 3" xfId="13632"/>
    <cellStyle name="Comma 33 4 6 4" xfId="19171"/>
    <cellStyle name="Comma 33 4 6 5" xfId="12642"/>
    <cellStyle name="Comma 33 4 7" xfId="6939"/>
    <cellStyle name="Comma 33 4 7 2" xfId="21049"/>
    <cellStyle name="Comma 33 4 7 3" xfId="15576"/>
    <cellStyle name="Comma 33 4 8" xfId="9740"/>
    <cellStyle name="Comma 33 4 8 2" xfId="12848"/>
    <cellStyle name="Comma 33 4 9" xfId="9960"/>
    <cellStyle name="Comma 33 4 9 2" xfId="18399"/>
    <cellStyle name="Comma 33 5" xfId="3951"/>
    <cellStyle name="Comma 33 5 10" xfId="41404"/>
    <cellStyle name="Comma 33 5 2" xfId="3952"/>
    <cellStyle name="Comma 33 5 2 2" xfId="3953"/>
    <cellStyle name="Comma 33 5 2 2 2" xfId="8362"/>
    <cellStyle name="Comma 33 5 2 2 2 2" xfId="22469"/>
    <cellStyle name="Comma 33 5 2 2 2 3" xfId="16996"/>
    <cellStyle name="Comma 33 5 2 2 3" xfId="13635"/>
    <cellStyle name="Comma 33 5 2 2 4" xfId="19174"/>
    <cellStyle name="Comma 33 5 2 2 5" xfId="11610"/>
    <cellStyle name="Comma 33 5 2 3" xfId="3954"/>
    <cellStyle name="Comma 33 5 2 3 2" xfId="9160"/>
    <cellStyle name="Comma 33 5 2 3 2 2" xfId="23261"/>
    <cellStyle name="Comma 33 5 2 3 2 3" xfId="17794"/>
    <cellStyle name="Comma 33 5 2 3 3" xfId="13636"/>
    <cellStyle name="Comma 33 5 2 3 4" xfId="19175"/>
    <cellStyle name="Comma 33 5 2 3 5" xfId="12405"/>
    <cellStyle name="Comma 33 5 2 4" xfId="7570"/>
    <cellStyle name="Comma 33 5 2 4 2" xfId="21677"/>
    <cellStyle name="Comma 33 5 2 4 3" xfId="16204"/>
    <cellStyle name="Comma 33 5 2 5" xfId="13634"/>
    <cellStyle name="Comma 33 5 2 6" xfId="19173"/>
    <cellStyle name="Comma 33 5 2 7" xfId="10817"/>
    <cellStyle name="Comma 33 5 3" xfId="3955"/>
    <cellStyle name="Comma 33 5 3 2" xfId="3956"/>
    <cellStyle name="Comma 33 5 3 2 2" xfId="8622"/>
    <cellStyle name="Comma 33 5 3 2 2 2" xfId="22729"/>
    <cellStyle name="Comma 33 5 3 2 2 3" xfId="17256"/>
    <cellStyle name="Comma 33 5 3 2 3" xfId="13638"/>
    <cellStyle name="Comma 33 5 3 2 4" xfId="19177"/>
    <cellStyle name="Comma 33 5 3 2 5" xfId="11870"/>
    <cellStyle name="Comma 33 5 3 3" xfId="7830"/>
    <cellStyle name="Comma 33 5 3 3 2" xfId="21937"/>
    <cellStyle name="Comma 33 5 3 3 3" xfId="16464"/>
    <cellStyle name="Comma 33 5 3 4" xfId="13637"/>
    <cellStyle name="Comma 33 5 3 5" xfId="19176"/>
    <cellStyle name="Comma 33 5 3 6" xfId="11077"/>
    <cellStyle name="Comma 33 5 4" xfId="3957"/>
    <cellStyle name="Comma 33 5 4 2" xfId="6372"/>
    <cellStyle name="Comma 33 5 4 2 2" xfId="8808"/>
    <cellStyle name="Comma 33 5 4 2 2 2" xfId="22909"/>
    <cellStyle name="Comma 33 5 4 2 2 3" xfId="17442"/>
    <cellStyle name="Comma 33 5 4 2 3" xfId="15201"/>
    <cellStyle name="Comma 33 5 4 2 4" xfId="20695"/>
    <cellStyle name="Comma 33 5 4 2 5" xfId="12052"/>
    <cellStyle name="Comma 33 5 4 3" xfId="7218"/>
    <cellStyle name="Comma 33 5 4 3 2" xfId="21325"/>
    <cellStyle name="Comma 33 5 4 3 3" xfId="15852"/>
    <cellStyle name="Comma 33 5 4 4" xfId="13639"/>
    <cellStyle name="Comma 33 5 4 5" xfId="19178"/>
    <cellStyle name="Comma 33 5 4 6" xfId="10465"/>
    <cellStyle name="Comma 33 5 5" xfId="3958"/>
    <cellStyle name="Comma 33 5 5 2" xfId="8010"/>
    <cellStyle name="Comma 33 5 5 2 2" xfId="22117"/>
    <cellStyle name="Comma 33 5 5 2 3" xfId="16644"/>
    <cellStyle name="Comma 33 5 5 3" xfId="13640"/>
    <cellStyle name="Comma 33 5 5 4" xfId="19179"/>
    <cellStyle name="Comma 33 5 5 5" xfId="11257"/>
    <cellStyle name="Comma 33 5 6" xfId="7035"/>
    <cellStyle name="Comma 33 5 6 2" xfId="21145"/>
    <cellStyle name="Comma 33 5 6 3" xfId="15672"/>
    <cellStyle name="Comma 33 5 7" xfId="13633"/>
    <cellStyle name="Comma 33 5 8" xfId="19172"/>
    <cellStyle name="Comma 33 5 9" xfId="10285"/>
    <cellStyle name="Comma 33 6" xfId="3959"/>
    <cellStyle name="Comma 33 6 2" xfId="3960"/>
    <cellStyle name="Comma 33 6 2 2" xfId="8186"/>
    <cellStyle name="Comma 33 6 2 2 2" xfId="22293"/>
    <cellStyle name="Comma 33 6 2 2 3" xfId="16820"/>
    <cellStyle name="Comma 33 6 2 3" xfId="13642"/>
    <cellStyle name="Comma 33 6 2 4" xfId="19181"/>
    <cellStyle name="Comma 33 6 2 5" xfId="11433"/>
    <cellStyle name="Comma 33 6 3" xfId="3961"/>
    <cellStyle name="Comma 33 6 3 2" xfId="8984"/>
    <cellStyle name="Comma 33 6 3 2 2" xfId="23085"/>
    <cellStyle name="Comma 33 6 3 2 3" xfId="17618"/>
    <cellStyle name="Comma 33 6 3 3" xfId="13643"/>
    <cellStyle name="Comma 33 6 3 4" xfId="19182"/>
    <cellStyle name="Comma 33 6 3 5" xfId="12228"/>
    <cellStyle name="Comma 33 6 4" xfId="7394"/>
    <cellStyle name="Comma 33 6 4 2" xfId="21501"/>
    <cellStyle name="Comma 33 6 4 3" xfId="16028"/>
    <cellStyle name="Comma 33 6 5" xfId="13641"/>
    <cellStyle name="Comma 33 6 6" xfId="19180"/>
    <cellStyle name="Comma 33 6 7" xfId="10641"/>
    <cellStyle name="Comma 33 6 8" xfId="41405"/>
    <cellStyle name="Comma 33 7" xfId="3962"/>
    <cellStyle name="Comma 33 7 2" xfId="3963"/>
    <cellStyle name="Comma 33 7 2 2" xfId="8446"/>
    <cellStyle name="Comma 33 7 2 2 2" xfId="22553"/>
    <cellStyle name="Comma 33 7 2 2 3" xfId="17080"/>
    <cellStyle name="Comma 33 7 2 3" xfId="13645"/>
    <cellStyle name="Comma 33 7 2 4" xfId="19184"/>
    <cellStyle name="Comma 33 7 2 5" xfId="11694"/>
    <cellStyle name="Comma 33 7 3" xfId="7654"/>
    <cellStyle name="Comma 33 7 3 2" xfId="21761"/>
    <cellStyle name="Comma 33 7 3 3" xfId="16288"/>
    <cellStyle name="Comma 33 7 4" xfId="13644"/>
    <cellStyle name="Comma 33 7 5" xfId="19183"/>
    <cellStyle name="Comma 33 7 6" xfId="10901"/>
    <cellStyle name="Comma 33 8" xfId="3964"/>
    <cellStyle name="Comma 33 8 2" xfId="6276"/>
    <cellStyle name="Comma 33 8 2 2" xfId="8712"/>
    <cellStyle name="Comma 33 8 2 2 2" xfId="22813"/>
    <cellStyle name="Comma 33 8 2 2 3" xfId="17346"/>
    <cellStyle name="Comma 33 8 2 3" xfId="15105"/>
    <cellStyle name="Comma 33 8 2 4" xfId="20599"/>
    <cellStyle name="Comma 33 8 2 5" xfId="11956"/>
    <cellStyle name="Comma 33 8 3" xfId="7122"/>
    <cellStyle name="Comma 33 8 3 2" xfId="21229"/>
    <cellStyle name="Comma 33 8 3 3" xfId="15756"/>
    <cellStyle name="Comma 33 8 4" xfId="13646"/>
    <cellStyle name="Comma 33 8 5" xfId="19185"/>
    <cellStyle name="Comma 33 8 6" xfId="10369"/>
    <cellStyle name="Comma 33 9" xfId="3965"/>
    <cellStyle name="Comma 33 9 2" xfId="7914"/>
    <cellStyle name="Comma 33 9 2 2" xfId="22021"/>
    <cellStyle name="Comma 33 9 2 3" xfId="16548"/>
    <cellStyle name="Comma 33 9 3" xfId="13647"/>
    <cellStyle name="Comma 33 9 4" xfId="19186"/>
    <cellStyle name="Comma 33 9 5" xfId="11161"/>
    <cellStyle name="Comma 34" xfId="783"/>
    <cellStyle name="Comma 34 10" xfId="6825"/>
    <cellStyle name="Comma 34 10 2" xfId="20957"/>
    <cellStyle name="Comma 34 10 3" xfId="15483"/>
    <cellStyle name="Comma 34 11" xfId="10091"/>
    <cellStyle name="Comma 34 2" xfId="1343"/>
    <cellStyle name="Comma 34 3" xfId="1547"/>
    <cellStyle name="Comma 34 3 10" xfId="9914"/>
    <cellStyle name="Comma 34 3 10 2" xfId="18354"/>
    <cellStyle name="Comma 34 3 11" xfId="23718"/>
    <cellStyle name="Comma 34 3 12" xfId="10127"/>
    <cellStyle name="Comma 34 3 13" xfId="2103"/>
    <cellStyle name="Comma 34 3 2" xfId="2994"/>
    <cellStyle name="Comma 34 3 2 10" xfId="10305"/>
    <cellStyle name="Comma 34 3 2 2" xfId="3966"/>
    <cellStyle name="Comma 34 3 2 2 2" xfId="3967"/>
    <cellStyle name="Comma 34 3 2 2 2 2" xfId="8642"/>
    <cellStyle name="Comma 34 3 2 2 2 2 2" xfId="22749"/>
    <cellStyle name="Comma 34 3 2 2 2 2 3" xfId="17276"/>
    <cellStyle name="Comma 34 3 2 2 2 3" xfId="13649"/>
    <cellStyle name="Comma 34 3 2 2 2 4" xfId="19188"/>
    <cellStyle name="Comma 34 3 2 2 2 5" xfId="11890"/>
    <cellStyle name="Comma 34 3 2 2 3" xfId="7850"/>
    <cellStyle name="Comma 34 3 2 2 3 2" xfId="21957"/>
    <cellStyle name="Comma 34 3 2 2 3 3" xfId="16484"/>
    <cellStyle name="Comma 34 3 2 2 4" xfId="13648"/>
    <cellStyle name="Comma 34 3 2 2 5" xfId="19187"/>
    <cellStyle name="Comma 34 3 2 2 6" xfId="24209"/>
    <cellStyle name="Comma 34 3 2 2 7" xfId="11097"/>
    <cellStyle name="Comma 34 3 2 3" xfId="3968"/>
    <cellStyle name="Comma 34 3 2 3 2" xfId="6581"/>
    <cellStyle name="Comma 34 3 2 3 2 2" xfId="9180"/>
    <cellStyle name="Comma 34 3 2 3 2 2 2" xfId="23281"/>
    <cellStyle name="Comma 34 3 2 3 2 2 3" xfId="17814"/>
    <cellStyle name="Comma 34 3 2 3 2 3" xfId="15366"/>
    <cellStyle name="Comma 34 3 2 3 2 4" xfId="20859"/>
    <cellStyle name="Comma 34 3 2 3 2 5" xfId="12425"/>
    <cellStyle name="Comma 34 3 2 3 3" xfId="7590"/>
    <cellStyle name="Comma 34 3 2 3 3 2" xfId="21697"/>
    <cellStyle name="Comma 34 3 2 3 3 3" xfId="16224"/>
    <cellStyle name="Comma 34 3 2 3 4" xfId="13650"/>
    <cellStyle name="Comma 34 3 2 3 5" xfId="19189"/>
    <cellStyle name="Comma 34 3 2 3 6" xfId="10837"/>
    <cellStyle name="Comma 34 3 2 4" xfId="3969"/>
    <cellStyle name="Comma 34 3 2 4 2" xfId="8382"/>
    <cellStyle name="Comma 34 3 2 4 2 2" xfId="22489"/>
    <cellStyle name="Comma 34 3 2 4 2 3" xfId="17016"/>
    <cellStyle name="Comma 34 3 2 4 3" xfId="13651"/>
    <cellStyle name="Comma 34 3 2 4 4" xfId="19190"/>
    <cellStyle name="Comma 34 3 2 4 5" xfId="11630"/>
    <cellStyle name="Comma 34 3 2 5" xfId="3970"/>
    <cellStyle name="Comma 34 3 2 5 2" xfId="9473"/>
    <cellStyle name="Comma 34 3 2 5 2 2" xfId="23520"/>
    <cellStyle name="Comma 34 3 2 5 2 3" xfId="18074"/>
    <cellStyle name="Comma 34 3 2 5 3" xfId="13652"/>
    <cellStyle name="Comma 34 3 2 5 4" xfId="19191"/>
    <cellStyle name="Comma 34 3 2 5 5" xfId="12674"/>
    <cellStyle name="Comma 34 3 2 6" xfId="7056"/>
    <cellStyle name="Comma 34 3 2 6 2" xfId="21165"/>
    <cellStyle name="Comma 34 3 2 6 3" xfId="15692"/>
    <cellStyle name="Comma 34 3 2 7" xfId="9775"/>
    <cellStyle name="Comma 34 3 2 7 2" xfId="12876"/>
    <cellStyle name="Comma 34 3 2 8" xfId="9988"/>
    <cellStyle name="Comma 34 3 2 8 2" xfId="18427"/>
    <cellStyle name="Comma 34 3 2 9" xfId="24017"/>
    <cellStyle name="Comma 34 3 3" xfId="3971"/>
    <cellStyle name="Comma 34 3 3 2" xfId="3972"/>
    <cellStyle name="Comma 34 3 3 2 2" xfId="8206"/>
    <cellStyle name="Comma 34 3 3 2 2 2" xfId="22313"/>
    <cellStyle name="Comma 34 3 3 2 2 3" xfId="16840"/>
    <cellStyle name="Comma 34 3 3 2 3" xfId="13654"/>
    <cellStyle name="Comma 34 3 3 2 4" xfId="19193"/>
    <cellStyle name="Comma 34 3 3 2 5" xfId="11453"/>
    <cellStyle name="Comma 34 3 3 3" xfId="3973"/>
    <cellStyle name="Comma 34 3 3 3 2" xfId="9004"/>
    <cellStyle name="Comma 34 3 3 3 2 2" xfId="23105"/>
    <cellStyle name="Comma 34 3 3 3 2 3" xfId="17638"/>
    <cellStyle name="Comma 34 3 3 3 3" xfId="13655"/>
    <cellStyle name="Comma 34 3 3 3 4" xfId="19194"/>
    <cellStyle name="Comma 34 3 3 3 5" xfId="12248"/>
    <cellStyle name="Comma 34 3 3 4" xfId="7414"/>
    <cellStyle name="Comma 34 3 3 4 2" xfId="21521"/>
    <cellStyle name="Comma 34 3 3 4 3" xfId="16048"/>
    <cellStyle name="Comma 34 3 3 5" xfId="13653"/>
    <cellStyle name="Comma 34 3 3 6" xfId="19192"/>
    <cellStyle name="Comma 34 3 3 7" xfId="24136"/>
    <cellStyle name="Comma 34 3 3 8" xfId="10661"/>
    <cellStyle name="Comma 34 3 4" xfId="3974"/>
    <cellStyle name="Comma 34 3 4 2" xfId="3975"/>
    <cellStyle name="Comma 34 3 4 2 2" xfId="8466"/>
    <cellStyle name="Comma 34 3 4 2 2 2" xfId="22573"/>
    <cellStyle name="Comma 34 3 4 2 2 3" xfId="17100"/>
    <cellStyle name="Comma 34 3 4 2 3" xfId="13657"/>
    <cellStyle name="Comma 34 3 4 2 4" xfId="19196"/>
    <cellStyle name="Comma 34 3 4 2 5" xfId="11714"/>
    <cellStyle name="Comma 34 3 4 3" xfId="7674"/>
    <cellStyle name="Comma 34 3 4 3 2" xfId="21781"/>
    <cellStyle name="Comma 34 3 4 3 3" xfId="16308"/>
    <cellStyle name="Comma 34 3 4 4" xfId="13656"/>
    <cellStyle name="Comma 34 3 4 5" xfId="19195"/>
    <cellStyle name="Comma 34 3 4 6" xfId="10921"/>
    <cellStyle name="Comma 34 3 5" xfId="3976"/>
    <cellStyle name="Comma 34 3 5 2" xfId="6392"/>
    <cellStyle name="Comma 34 3 5 2 2" xfId="8828"/>
    <cellStyle name="Comma 34 3 5 2 2 2" xfId="22929"/>
    <cellStyle name="Comma 34 3 5 2 2 3" xfId="17462"/>
    <cellStyle name="Comma 34 3 5 2 3" xfId="15221"/>
    <cellStyle name="Comma 34 3 5 2 4" xfId="20715"/>
    <cellStyle name="Comma 34 3 5 2 5" xfId="12072"/>
    <cellStyle name="Comma 34 3 5 3" xfId="7238"/>
    <cellStyle name="Comma 34 3 5 3 2" xfId="21345"/>
    <cellStyle name="Comma 34 3 5 3 3" xfId="15872"/>
    <cellStyle name="Comma 34 3 5 4" xfId="13658"/>
    <cellStyle name="Comma 34 3 5 5" xfId="19197"/>
    <cellStyle name="Comma 34 3 5 6" xfId="10485"/>
    <cellStyle name="Comma 34 3 6" xfId="3977"/>
    <cellStyle name="Comma 34 3 6 2" xfId="8030"/>
    <cellStyle name="Comma 34 3 6 2 2" xfId="22137"/>
    <cellStyle name="Comma 34 3 6 2 3" xfId="16664"/>
    <cellStyle name="Comma 34 3 6 3" xfId="13659"/>
    <cellStyle name="Comma 34 3 6 4" xfId="19198"/>
    <cellStyle name="Comma 34 3 6 5" xfId="11277"/>
    <cellStyle name="Comma 34 3 7" xfId="3978"/>
    <cellStyle name="Comma 34 3 7 2" xfId="9378"/>
    <cellStyle name="Comma 34 3 7 2 2" xfId="23447"/>
    <cellStyle name="Comma 34 3 7 2 3" xfId="17999"/>
    <cellStyle name="Comma 34 3 7 3" xfId="13660"/>
    <cellStyle name="Comma 34 3 7 4" xfId="19199"/>
    <cellStyle name="Comma 34 3 7 5" xfId="12596"/>
    <cellStyle name="Comma 34 3 8" xfId="6874"/>
    <cellStyle name="Comma 34 3 8 2" xfId="20989"/>
    <cellStyle name="Comma 34 3 8 3" xfId="15516"/>
    <cellStyle name="Comma 34 3 9" xfId="9685"/>
    <cellStyle name="Comma 34 3 9 2" xfId="12803"/>
    <cellStyle name="Comma 34 4" xfId="2581"/>
    <cellStyle name="Comma 34 4 10" xfId="23965"/>
    <cellStyle name="Comma 34 4 11" xfId="10177"/>
    <cellStyle name="Comma 34 4 2" xfId="3979"/>
    <cellStyle name="Comma 34 4 2 2" xfId="3980"/>
    <cellStyle name="Comma 34 4 2 2 2" xfId="8254"/>
    <cellStyle name="Comma 34 4 2 2 2 2" xfId="22361"/>
    <cellStyle name="Comma 34 4 2 2 2 3" xfId="16888"/>
    <cellStyle name="Comma 34 4 2 2 3" xfId="13662"/>
    <cellStyle name="Comma 34 4 2 2 4" xfId="19201"/>
    <cellStyle name="Comma 34 4 2 2 5" xfId="11501"/>
    <cellStyle name="Comma 34 4 2 3" xfId="3981"/>
    <cellStyle name="Comma 34 4 2 3 2" xfId="9052"/>
    <cellStyle name="Comma 34 4 2 3 2 2" xfId="23153"/>
    <cellStyle name="Comma 34 4 2 3 2 3" xfId="17686"/>
    <cellStyle name="Comma 34 4 2 3 3" xfId="13663"/>
    <cellStyle name="Comma 34 4 2 3 4" xfId="19202"/>
    <cellStyle name="Comma 34 4 2 3 5" xfId="12297"/>
    <cellStyle name="Comma 34 4 2 4" xfId="7462"/>
    <cellStyle name="Comma 34 4 2 4 2" xfId="21569"/>
    <cellStyle name="Comma 34 4 2 4 3" xfId="16096"/>
    <cellStyle name="Comma 34 4 2 5" xfId="13661"/>
    <cellStyle name="Comma 34 4 2 6" xfId="19200"/>
    <cellStyle name="Comma 34 4 2 7" xfId="24169"/>
    <cellStyle name="Comma 34 4 2 8" xfId="10709"/>
    <cellStyle name="Comma 34 4 3" xfId="3982"/>
    <cellStyle name="Comma 34 4 3 2" xfId="3983"/>
    <cellStyle name="Comma 34 4 3 2 2" xfId="8514"/>
    <cellStyle name="Comma 34 4 3 2 2 2" xfId="22621"/>
    <cellStyle name="Comma 34 4 3 2 2 3" xfId="17148"/>
    <cellStyle name="Comma 34 4 3 2 3" xfId="13665"/>
    <cellStyle name="Comma 34 4 3 2 4" xfId="19204"/>
    <cellStyle name="Comma 34 4 3 2 5" xfId="11762"/>
    <cellStyle name="Comma 34 4 3 3" xfId="7722"/>
    <cellStyle name="Comma 34 4 3 3 2" xfId="21829"/>
    <cellStyle name="Comma 34 4 3 3 3" xfId="16356"/>
    <cellStyle name="Comma 34 4 3 4" xfId="13664"/>
    <cellStyle name="Comma 34 4 3 5" xfId="19203"/>
    <cellStyle name="Comma 34 4 3 6" xfId="10969"/>
    <cellStyle name="Comma 34 4 4" xfId="3984"/>
    <cellStyle name="Comma 34 4 4 2" xfId="6440"/>
    <cellStyle name="Comma 34 4 4 2 2" xfId="8876"/>
    <cellStyle name="Comma 34 4 4 2 2 2" xfId="22977"/>
    <cellStyle name="Comma 34 4 4 2 2 3" xfId="17510"/>
    <cellStyle name="Comma 34 4 4 2 3" xfId="15269"/>
    <cellStyle name="Comma 34 4 4 2 4" xfId="20763"/>
    <cellStyle name="Comma 34 4 4 2 5" xfId="12120"/>
    <cellStyle name="Comma 34 4 4 3" xfId="7286"/>
    <cellStyle name="Comma 34 4 4 3 2" xfId="21393"/>
    <cellStyle name="Comma 34 4 4 3 3" xfId="15920"/>
    <cellStyle name="Comma 34 4 4 4" xfId="13666"/>
    <cellStyle name="Comma 34 4 4 5" xfId="19205"/>
    <cellStyle name="Comma 34 4 4 6" xfId="10533"/>
    <cellStyle name="Comma 34 4 5" xfId="3985"/>
    <cellStyle name="Comma 34 4 5 2" xfId="8078"/>
    <cellStyle name="Comma 34 4 5 2 2" xfId="22185"/>
    <cellStyle name="Comma 34 4 5 2 3" xfId="16712"/>
    <cellStyle name="Comma 34 4 5 3" xfId="13667"/>
    <cellStyle name="Comma 34 4 5 4" xfId="19206"/>
    <cellStyle name="Comma 34 4 5 5" xfId="11325"/>
    <cellStyle name="Comma 34 4 6" xfId="3986"/>
    <cellStyle name="Comma 34 4 6 2" xfId="9413"/>
    <cellStyle name="Comma 34 4 6 2 2" xfId="23480"/>
    <cellStyle name="Comma 34 4 6 2 3" xfId="18032"/>
    <cellStyle name="Comma 34 4 6 3" xfId="13668"/>
    <cellStyle name="Comma 34 4 6 4" xfId="19207"/>
    <cellStyle name="Comma 34 4 6 5" xfId="12630"/>
    <cellStyle name="Comma 34 4 7" xfId="6927"/>
    <cellStyle name="Comma 34 4 7 2" xfId="21037"/>
    <cellStyle name="Comma 34 4 7 3" xfId="15564"/>
    <cellStyle name="Comma 34 4 8" xfId="9728"/>
    <cellStyle name="Comma 34 4 8 2" xfId="12836"/>
    <cellStyle name="Comma 34 4 9" xfId="9948"/>
    <cellStyle name="Comma 34 4 9 2" xfId="18387"/>
    <cellStyle name="Comma 34 5" xfId="3987"/>
    <cellStyle name="Comma 34 5 10" xfId="41406"/>
    <cellStyle name="Comma 34 5 2" xfId="3988"/>
    <cellStyle name="Comma 34 5 2 2" xfId="3989"/>
    <cellStyle name="Comma 34 5 2 2 2" xfId="8350"/>
    <cellStyle name="Comma 34 5 2 2 2 2" xfId="22457"/>
    <cellStyle name="Comma 34 5 2 2 2 3" xfId="16984"/>
    <cellStyle name="Comma 34 5 2 2 3" xfId="13671"/>
    <cellStyle name="Comma 34 5 2 2 4" xfId="19210"/>
    <cellStyle name="Comma 34 5 2 2 5" xfId="11598"/>
    <cellStyle name="Comma 34 5 2 3" xfId="3990"/>
    <cellStyle name="Comma 34 5 2 3 2" xfId="9148"/>
    <cellStyle name="Comma 34 5 2 3 2 2" xfId="23249"/>
    <cellStyle name="Comma 34 5 2 3 2 3" xfId="17782"/>
    <cellStyle name="Comma 34 5 2 3 3" xfId="13672"/>
    <cellStyle name="Comma 34 5 2 3 4" xfId="19211"/>
    <cellStyle name="Comma 34 5 2 3 5" xfId="12393"/>
    <cellStyle name="Comma 34 5 2 4" xfId="7558"/>
    <cellStyle name="Comma 34 5 2 4 2" xfId="21665"/>
    <cellStyle name="Comma 34 5 2 4 3" xfId="16192"/>
    <cellStyle name="Comma 34 5 2 5" xfId="13670"/>
    <cellStyle name="Comma 34 5 2 6" xfId="19209"/>
    <cellStyle name="Comma 34 5 2 7" xfId="10805"/>
    <cellStyle name="Comma 34 5 3" xfId="3991"/>
    <cellStyle name="Comma 34 5 3 2" xfId="3992"/>
    <cellStyle name="Comma 34 5 3 2 2" xfId="8610"/>
    <cellStyle name="Comma 34 5 3 2 2 2" xfId="22717"/>
    <cellStyle name="Comma 34 5 3 2 2 3" xfId="17244"/>
    <cellStyle name="Comma 34 5 3 2 3" xfId="13674"/>
    <cellStyle name="Comma 34 5 3 2 4" xfId="19213"/>
    <cellStyle name="Comma 34 5 3 2 5" xfId="11858"/>
    <cellStyle name="Comma 34 5 3 3" xfId="7818"/>
    <cellStyle name="Comma 34 5 3 3 2" xfId="21925"/>
    <cellStyle name="Comma 34 5 3 3 3" xfId="16452"/>
    <cellStyle name="Comma 34 5 3 4" xfId="13673"/>
    <cellStyle name="Comma 34 5 3 5" xfId="19212"/>
    <cellStyle name="Comma 34 5 3 6" xfId="11065"/>
    <cellStyle name="Comma 34 5 4" xfId="3993"/>
    <cellStyle name="Comma 34 5 4 2" xfId="6360"/>
    <cellStyle name="Comma 34 5 4 2 2" xfId="8796"/>
    <cellStyle name="Comma 34 5 4 2 2 2" xfId="22897"/>
    <cellStyle name="Comma 34 5 4 2 2 3" xfId="17430"/>
    <cellStyle name="Comma 34 5 4 2 3" xfId="15189"/>
    <cellStyle name="Comma 34 5 4 2 4" xfId="20683"/>
    <cellStyle name="Comma 34 5 4 2 5" xfId="12040"/>
    <cellStyle name="Comma 34 5 4 3" xfId="7206"/>
    <cellStyle name="Comma 34 5 4 3 2" xfId="21313"/>
    <cellStyle name="Comma 34 5 4 3 3" xfId="15840"/>
    <cellStyle name="Comma 34 5 4 4" xfId="13675"/>
    <cellStyle name="Comma 34 5 4 5" xfId="19214"/>
    <cellStyle name="Comma 34 5 4 6" xfId="10453"/>
    <cellStyle name="Comma 34 5 5" xfId="3994"/>
    <cellStyle name="Comma 34 5 5 2" xfId="7998"/>
    <cellStyle name="Comma 34 5 5 2 2" xfId="22105"/>
    <cellStyle name="Comma 34 5 5 2 3" xfId="16632"/>
    <cellStyle name="Comma 34 5 5 3" xfId="13676"/>
    <cellStyle name="Comma 34 5 5 4" xfId="19215"/>
    <cellStyle name="Comma 34 5 5 5" xfId="11245"/>
    <cellStyle name="Comma 34 5 6" xfId="7023"/>
    <cellStyle name="Comma 34 5 6 2" xfId="21133"/>
    <cellStyle name="Comma 34 5 6 3" xfId="15660"/>
    <cellStyle name="Comma 34 5 7" xfId="13669"/>
    <cellStyle name="Comma 34 5 8" xfId="19208"/>
    <cellStyle name="Comma 34 5 9" xfId="10273"/>
    <cellStyle name="Comma 34 6" xfId="3995"/>
    <cellStyle name="Comma 34 6 2" xfId="3996"/>
    <cellStyle name="Comma 34 6 2 2" xfId="8174"/>
    <cellStyle name="Comma 34 6 2 2 2" xfId="22281"/>
    <cellStyle name="Comma 34 6 2 2 3" xfId="16808"/>
    <cellStyle name="Comma 34 6 2 3" xfId="13678"/>
    <cellStyle name="Comma 34 6 2 4" xfId="19217"/>
    <cellStyle name="Comma 34 6 2 5" xfId="11421"/>
    <cellStyle name="Comma 34 6 3" xfId="3997"/>
    <cellStyle name="Comma 34 6 3 2" xfId="8972"/>
    <cellStyle name="Comma 34 6 3 2 2" xfId="23073"/>
    <cellStyle name="Comma 34 6 3 2 3" xfId="17606"/>
    <cellStyle name="Comma 34 6 3 3" xfId="13679"/>
    <cellStyle name="Comma 34 6 3 4" xfId="19218"/>
    <cellStyle name="Comma 34 6 3 5" xfId="12216"/>
    <cellStyle name="Comma 34 6 4" xfId="7382"/>
    <cellStyle name="Comma 34 6 4 2" xfId="21489"/>
    <cellStyle name="Comma 34 6 4 3" xfId="16016"/>
    <cellStyle name="Comma 34 6 5" xfId="13677"/>
    <cellStyle name="Comma 34 6 6" xfId="19216"/>
    <cellStyle name="Comma 34 6 7" xfId="10629"/>
    <cellStyle name="Comma 34 6 8" xfId="41407"/>
    <cellStyle name="Comma 34 7" xfId="3998"/>
    <cellStyle name="Comma 34 7 2" xfId="3999"/>
    <cellStyle name="Comma 34 7 2 2" xfId="8434"/>
    <cellStyle name="Comma 34 7 2 2 2" xfId="22541"/>
    <cellStyle name="Comma 34 7 2 2 3" xfId="17068"/>
    <cellStyle name="Comma 34 7 2 3" xfId="13681"/>
    <cellStyle name="Comma 34 7 2 4" xfId="19220"/>
    <cellStyle name="Comma 34 7 2 5" xfId="11682"/>
    <cellStyle name="Comma 34 7 3" xfId="7642"/>
    <cellStyle name="Comma 34 7 3 2" xfId="21749"/>
    <cellStyle name="Comma 34 7 3 3" xfId="16276"/>
    <cellStyle name="Comma 34 7 4" xfId="13680"/>
    <cellStyle name="Comma 34 7 5" xfId="19219"/>
    <cellStyle name="Comma 34 7 6" xfId="10889"/>
    <cellStyle name="Comma 34 8" xfId="4000"/>
    <cellStyle name="Comma 34 8 2" xfId="6264"/>
    <cellStyle name="Comma 34 8 2 2" xfId="8700"/>
    <cellStyle name="Comma 34 8 2 2 2" xfId="22801"/>
    <cellStyle name="Comma 34 8 2 2 3" xfId="17334"/>
    <cellStyle name="Comma 34 8 2 3" xfId="15093"/>
    <cellStyle name="Comma 34 8 2 4" xfId="20587"/>
    <cellStyle name="Comma 34 8 2 5" xfId="11944"/>
    <cellStyle name="Comma 34 8 3" xfId="7110"/>
    <cellStyle name="Comma 34 8 3 2" xfId="21217"/>
    <cellStyle name="Comma 34 8 3 3" xfId="15744"/>
    <cellStyle name="Comma 34 8 4" xfId="13682"/>
    <cellStyle name="Comma 34 8 5" xfId="19221"/>
    <cellStyle name="Comma 34 8 6" xfId="10357"/>
    <cellStyle name="Comma 34 9" xfId="4001"/>
    <cellStyle name="Comma 34 9 2" xfId="7902"/>
    <cellStyle name="Comma 34 9 2 2" xfId="22009"/>
    <cellStyle name="Comma 34 9 2 3" xfId="16536"/>
    <cellStyle name="Comma 34 9 3" xfId="13683"/>
    <cellStyle name="Comma 34 9 4" xfId="19222"/>
    <cellStyle name="Comma 34 9 5" xfId="11149"/>
    <cellStyle name="Comma 35" xfId="813"/>
    <cellStyle name="Comma 35 2" xfId="1344"/>
    <cellStyle name="Comma 35 3" xfId="2034"/>
    <cellStyle name="Comma 35 3 2" xfId="41408"/>
    <cellStyle name="Comma 35 4" xfId="41409"/>
    <cellStyle name="Comma 36" xfId="787"/>
    <cellStyle name="Comma 36 2" xfId="1345"/>
    <cellStyle name="Comma 36 3" xfId="41410"/>
    <cellStyle name="Comma 36 4" xfId="41411"/>
    <cellStyle name="Comma 37" xfId="812"/>
    <cellStyle name="Comma 37 2" xfId="1346"/>
    <cellStyle name="Comma 37 3" xfId="41412"/>
    <cellStyle name="Comma 37 4" xfId="41413"/>
    <cellStyle name="Comma 38" xfId="788"/>
    <cellStyle name="Comma 38 2" xfId="1347"/>
    <cellStyle name="Comma 39" xfId="811"/>
    <cellStyle name="Comma 39 2" xfId="1348"/>
    <cellStyle name="Comma 4" xfId="151"/>
    <cellStyle name="Comma 4 10" xfId="204"/>
    <cellStyle name="Comma 4 2" xfId="209"/>
    <cellStyle name="Comma 4 2 2" xfId="1349"/>
    <cellStyle name="Comma 4 2 3" xfId="1535"/>
    <cellStyle name="Comma 4 2 3 2" xfId="2988"/>
    <cellStyle name="Comma 4 2 3 2 2" xfId="41415"/>
    <cellStyle name="Comma 4 2 3 3" xfId="3059"/>
    <cellStyle name="Comma 4 2 3 4" xfId="23837"/>
    <cellStyle name="Comma 4 2 3 5" xfId="2145"/>
    <cellStyle name="Comma 4 2 4" xfId="319"/>
    <cellStyle name="Comma 4 2 4 2" xfId="2099"/>
    <cellStyle name="Comma 4 2 4 3" xfId="41416"/>
    <cellStyle name="Comma 4 2 5" xfId="44189"/>
    <cellStyle name="Comma 4 3" xfId="553"/>
    <cellStyle name="Comma 4 3 2" xfId="678"/>
    <cellStyle name="Comma 4 3 2 2" xfId="2390"/>
    <cellStyle name="Comma 4 3 3" xfId="2298"/>
    <cellStyle name="Comma 4 3 4" xfId="2176"/>
    <cellStyle name="Comma 4 3 4 2" xfId="23854"/>
    <cellStyle name="Comma 4 3 5" xfId="2146"/>
    <cellStyle name="Comma 4 3 6" xfId="2038"/>
    <cellStyle name="Comma 4 3 6 2" xfId="41417"/>
    <cellStyle name="Comma 4 4" xfId="677"/>
    <cellStyle name="Comma 4 4 2" xfId="41418"/>
    <cellStyle name="Comma 4 5" xfId="1313"/>
    <cellStyle name="Comma 4 5 2" xfId="2424"/>
    <cellStyle name="Comma 4 5 3" xfId="2175"/>
    <cellStyle name="Comma 4 5 3 2" xfId="41419"/>
    <cellStyle name="Comma 4 6" xfId="2754"/>
    <cellStyle name="Comma 4 6 2" xfId="3049"/>
    <cellStyle name="Comma 4 6 3" xfId="41420"/>
    <cellStyle name="Comma 4 7" xfId="42746"/>
    <cellStyle name="Comma 4 7 2" xfId="43208"/>
    <cellStyle name="Comma 4 8" xfId="41414"/>
    <cellStyle name="Comma 4 9" xfId="44182"/>
    <cellStyle name="Comma 40" xfId="836"/>
    <cellStyle name="Comma 40 2" xfId="1350"/>
    <cellStyle name="Comma 41" xfId="846"/>
    <cellStyle name="Comma 41 2" xfId="1351"/>
    <cellStyle name="Comma 42" xfId="790"/>
    <cellStyle name="Comma 42 2" xfId="1352"/>
    <cellStyle name="Comma 43" xfId="842"/>
    <cellStyle name="Comma 43 2" xfId="1353"/>
    <cellStyle name="Comma 44" xfId="835"/>
    <cellStyle name="Comma 44 2" xfId="1354"/>
    <cellStyle name="Comma 45" xfId="829"/>
    <cellStyle name="Comma 46" xfId="864"/>
    <cellStyle name="Comma 47" xfId="863"/>
    <cellStyle name="Comma 48" xfId="866"/>
    <cellStyle name="Comma 49" xfId="850"/>
    <cellStyle name="Comma 5" xfId="152"/>
    <cellStyle name="Comma 5 10" xfId="44272"/>
    <cellStyle name="Comma 5 11" xfId="320"/>
    <cellStyle name="Comma 5 2" xfId="321"/>
    <cellStyle name="Comma 5 2 2" xfId="1355"/>
    <cellStyle name="Comma 5 2 3" xfId="1536"/>
    <cellStyle name="Comma 5 2 3 2" xfId="2989"/>
    <cellStyle name="Comma 5 2 3 2 2" xfId="41422"/>
    <cellStyle name="Comma 5 2 3 3" xfId="23838"/>
    <cellStyle name="Comma 5 2 3 4" xfId="2147"/>
    <cellStyle name="Comma 5 2 4" xfId="2100"/>
    <cellStyle name="Comma 5 2 4 2" xfId="41423"/>
    <cellStyle name="Comma 5 3" xfId="680"/>
    <cellStyle name="Comma 5 3 2" xfId="2243"/>
    <cellStyle name="Comma 5 3 2 2" xfId="2381"/>
    <cellStyle name="Comma 5 3 3" xfId="2299"/>
    <cellStyle name="Comma 5 3 4" xfId="2178"/>
    <cellStyle name="Comma 5 3 4 2" xfId="23855"/>
    <cellStyle name="Comma 5 3 5" xfId="2148"/>
    <cellStyle name="Comma 5 3 6" xfId="2039"/>
    <cellStyle name="Comma 5 3 6 2" xfId="41424"/>
    <cellStyle name="Comma 5 4" xfId="679"/>
    <cellStyle name="Comma 5 4 2" xfId="41425"/>
    <cellStyle name="Comma 5 5" xfId="1315"/>
    <cellStyle name="Comma 5 5 2" xfId="2426"/>
    <cellStyle name="Comma 5 5 3" xfId="2177"/>
    <cellStyle name="Comma 5 5 3 2" xfId="41426"/>
    <cellStyle name="Comma 5 6" xfId="2755"/>
    <cellStyle name="Comma 5 6 2" xfId="3052"/>
    <cellStyle name="Comma 5 6 3" xfId="41427"/>
    <cellStyle name="Comma 5 7" xfId="43066"/>
    <cellStyle name="Comma 5 8" xfId="43212"/>
    <cellStyle name="Comma 5 9" xfId="41421"/>
    <cellStyle name="Comma 50" xfId="845"/>
    <cellStyle name="Comma 51" xfId="799"/>
    <cellStyle name="Comma 52" xfId="792"/>
    <cellStyle name="Comma 53" xfId="794"/>
    <cellStyle name="Comma 54" xfId="831"/>
    <cellStyle name="Comma 55" xfId="839"/>
    <cellStyle name="Comma 56" xfId="870"/>
    <cellStyle name="Comma 57" xfId="674"/>
    <cellStyle name="Comma 57 2" xfId="2296"/>
    <cellStyle name="Comma 58" xfId="651"/>
    <cellStyle name="Comma 58 2" xfId="2225"/>
    <cellStyle name="Comma 58 2 2" xfId="2785"/>
    <cellStyle name="Comma 58 2 3" xfId="2747"/>
    <cellStyle name="Comma 58 2 3 2" xfId="41428"/>
    <cellStyle name="Comma 58 3" xfId="3069"/>
    <cellStyle name="Comma 58 3 2" xfId="41429"/>
    <cellStyle name="Comma 58 4" xfId="4002"/>
    <cellStyle name="Comma 58 5" xfId="1808"/>
    <cellStyle name="Comma 59" xfId="872"/>
    <cellStyle name="Comma 59 2" xfId="1105"/>
    <cellStyle name="Comma 59 2 2" xfId="4003"/>
    <cellStyle name="Comma 59 2 2 2" xfId="4004"/>
    <cellStyle name="Comma 59 2 2 2 2" xfId="8282"/>
    <cellStyle name="Comma 59 2 2 2 2 2" xfId="22389"/>
    <cellStyle name="Comma 59 2 2 2 2 3" xfId="16916"/>
    <cellStyle name="Comma 59 2 2 2 3" xfId="13685"/>
    <cellStyle name="Comma 59 2 2 2 4" xfId="19224"/>
    <cellStyle name="Comma 59 2 2 2 5" xfId="11530"/>
    <cellStyle name="Comma 59 2 2 3" xfId="4005"/>
    <cellStyle name="Comma 59 2 2 3 2" xfId="9080"/>
    <cellStyle name="Comma 59 2 2 3 2 2" xfId="23181"/>
    <cellStyle name="Comma 59 2 2 3 2 3" xfId="17714"/>
    <cellStyle name="Comma 59 2 2 3 3" xfId="13686"/>
    <cellStyle name="Comma 59 2 2 3 4" xfId="19225"/>
    <cellStyle name="Comma 59 2 2 3 5" xfId="12325"/>
    <cellStyle name="Comma 59 2 2 4" xfId="7490"/>
    <cellStyle name="Comma 59 2 2 4 2" xfId="21597"/>
    <cellStyle name="Comma 59 2 2 4 3" xfId="16124"/>
    <cellStyle name="Comma 59 2 2 5" xfId="13684"/>
    <cellStyle name="Comma 59 2 2 6" xfId="19223"/>
    <cellStyle name="Comma 59 2 2 7" xfId="10737"/>
    <cellStyle name="Comma 59 2 3" xfId="4006"/>
    <cellStyle name="Comma 59 2 3 2" xfId="4007"/>
    <cellStyle name="Comma 59 2 3 2 2" xfId="8542"/>
    <cellStyle name="Comma 59 2 3 2 2 2" xfId="22649"/>
    <cellStyle name="Comma 59 2 3 2 2 3" xfId="17176"/>
    <cellStyle name="Comma 59 2 3 2 3" xfId="13688"/>
    <cellStyle name="Comma 59 2 3 2 4" xfId="19227"/>
    <cellStyle name="Comma 59 2 3 2 5" xfId="11790"/>
    <cellStyle name="Comma 59 2 3 3" xfId="7750"/>
    <cellStyle name="Comma 59 2 3 3 2" xfId="21857"/>
    <cellStyle name="Comma 59 2 3 3 3" xfId="16384"/>
    <cellStyle name="Comma 59 2 3 4" xfId="13687"/>
    <cellStyle name="Comma 59 2 3 5" xfId="19226"/>
    <cellStyle name="Comma 59 2 3 6" xfId="10997"/>
    <cellStyle name="Comma 59 2 4" xfId="4008"/>
    <cellStyle name="Comma 59 2 4 2" xfId="6468"/>
    <cellStyle name="Comma 59 2 4 2 2" xfId="8904"/>
    <cellStyle name="Comma 59 2 4 2 2 2" xfId="23005"/>
    <cellStyle name="Comma 59 2 4 2 2 3" xfId="17538"/>
    <cellStyle name="Comma 59 2 4 2 3" xfId="15297"/>
    <cellStyle name="Comma 59 2 4 2 4" xfId="20791"/>
    <cellStyle name="Comma 59 2 4 2 5" xfId="12148"/>
    <cellStyle name="Comma 59 2 4 3" xfId="7314"/>
    <cellStyle name="Comma 59 2 4 3 2" xfId="21421"/>
    <cellStyle name="Comma 59 2 4 3 3" xfId="15948"/>
    <cellStyle name="Comma 59 2 4 4" xfId="13689"/>
    <cellStyle name="Comma 59 2 4 5" xfId="19228"/>
    <cellStyle name="Comma 59 2 4 6" xfId="10561"/>
    <cellStyle name="Comma 59 2 5" xfId="4009"/>
    <cellStyle name="Comma 59 2 5 2" xfId="8106"/>
    <cellStyle name="Comma 59 2 5 2 2" xfId="22213"/>
    <cellStyle name="Comma 59 2 5 2 3" xfId="16740"/>
    <cellStyle name="Comma 59 2 5 3" xfId="13690"/>
    <cellStyle name="Comma 59 2 5 4" xfId="19229"/>
    <cellStyle name="Comma 59 2 5 5" xfId="11353"/>
    <cellStyle name="Comma 59 2 6" xfId="4010"/>
    <cellStyle name="Comma 59 2 7" xfId="6955"/>
    <cellStyle name="Comma 59 2 7 2" xfId="21065"/>
    <cellStyle name="Comma 59 2 7 3" xfId="15592"/>
    <cellStyle name="Comma 59 2 8" xfId="10205"/>
    <cellStyle name="Comma 59 3" xfId="1489"/>
    <cellStyle name="Comma 59 3 2" xfId="4011"/>
    <cellStyle name="Comma 59 3 3" xfId="6176"/>
    <cellStyle name="Comma 59 3 4" xfId="41430"/>
    <cellStyle name="Comma 59 4" xfId="2802"/>
    <cellStyle name="Comma 59 4 2" xfId="4012"/>
    <cellStyle name="Comma 59 4 2 2" xfId="6292"/>
    <cellStyle name="Comma 59 4 2 2 2" xfId="20615"/>
    <cellStyle name="Comma 59 4 2 2 3" xfId="15121"/>
    <cellStyle name="Comma 59 4 2 3" xfId="8728"/>
    <cellStyle name="Comma 59 4 2 3 2" xfId="22829"/>
    <cellStyle name="Comma 59 4 2 3 3" xfId="17362"/>
    <cellStyle name="Comma 59 4 2 4" xfId="13691"/>
    <cellStyle name="Comma 59 4 2 5" xfId="11972"/>
    <cellStyle name="Comma 59 4 3" xfId="6767"/>
    <cellStyle name="Comma 59 4 4" xfId="6197"/>
    <cellStyle name="Comma 59 4 4 2" xfId="20574"/>
    <cellStyle name="Comma 59 4 4 3" xfId="15077"/>
    <cellStyle name="Comma 59 4 5" xfId="7138"/>
    <cellStyle name="Comma 59 4 5 2" xfId="21245"/>
    <cellStyle name="Comma 59 4 5 3" xfId="15772"/>
    <cellStyle name="Comma 59 4 6" xfId="10385"/>
    <cellStyle name="Comma 59 5" xfId="2779"/>
    <cellStyle name="Comma 59 5 10" xfId="43749"/>
    <cellStyle name="Comma 59 5 11" xfId="43574"/>
    <cellStyle name="Comma 59 5 12" xfId="43438"/>
    <cellStyle name="Comma 59 5 13" xfId="43923"/>
    <cellStyle name="Comma 59 5 2" xfId="4013"/>
    <cellStyle name="Comma 59 5 2 10" xfId="43439"/>
    <cellStyle name="Comma 59 5 2 11" xfId="43924"/>
    <cellStyle name="Comma 59 5 2 2" xfId="41431"/>
    <cellStyle name="Comma 59 5 2 2 10" xfId="43925"/>
    <cellStyle name="Comma 59 5 2 2 2" xfId="42481"/>
    <cellStyle name="Comma 59 5 2 2 2 2" xfId="42677"/>
    <cellStyle name="Comma 59 5 2 2 2 3" xfId="42828"/>
    <cellStyle name="Comma 59 5 2 2 2 4" xfId="43638"/>
    <cellStyle name="Comma 59 5 2 2 2 5" xfId="43506"/>
    <cellStyle name="Comma 59 5 2 2 2 6" xfId="43993"/>
    <cellStyle name="Comma 59 5 2 2 3" xfId="42548"/>
    <cellStyle name="Comma 59 5 2 2 3 2" xfId="42896"/>
    <cellStyle name="Comma 59 5 2 2 4" xfId="42610"/>
    <cellStyle name="Comma 59 5 2 2 5" xfId="42757"/>
    <cellStyle name="Comma 59 5 2 2 6" xfId="43700"/>
    <cellStyle name="Comma 59 5 2 2 7" xfId="43751"/>
    <cellStyle name="Comma 59 5 2 2 8" xfId="43576"/>
    <cellStyle name="Comma 59 5 2 2 9" xfId="43440"/>
    <cellStyle name="Comma 59 5 2 3" xfId="42480"/>
    <cellStyle name="Comma 59 5 2 3 2" xfId="42676"/>
    <cellStyle name="Comma 59 5 2 3 3" xfId="42827"/>
    <cellStyle name="Comma 59 5 2 3 4" xfId="43637"/>
    <cellStyle name="Comma 59 5 2 3 5" xfId="43505"/>
    <cellStyle name="Comma 59 5 2 3 6" xfId="43992"/>
    <cellStyle name="Comma 59 5 2 4" xfId="42547"/>
    <cellStyle name="Comma 59 5 2 4 2" xfId="42895"/>
    <cellStyle name="Comma 59 5 2 5" xfId="42609"/>
    <cellStyle name="Comma 59 5 2 6" xfId="42756"/>
    <cellStyle name="Comma 59 5 2 7" xfId="43699"/>
    <cellStyle name="Comma 59 5 2 8" xfId="43750"/>
    <cellStyle name="Comma 59 5 2 9" xfId="43575"/>
    <cellStyle name="Comma 59 5 3" xfId="6206"/>
    <cellStyle name="Comma 59 5 3 10" xfId="43926"/>
    <cellStyle name="Comma 59 5 3 2" xfId="20580"/>
    <cellStyle name="Comma 59 5 3 2 2" xfId="42678"/>
    <cellStyle name="Comma 59 5 3 2 3" xfId="42829"/>
    <cellStyle name="Comma 59 5 3 2 4" xfId="42482"/>
    <cellStyle name="Comma 59 5 3 2 5" xfId="43507"/>
    <cellStyle name="Comma 59 5 3 2 6" xfId="43994"/>
    <cellStyle name="Comma 59 5 3 3" xfId="15084"/>
    <cellStyle name="Comma 59 5 3 3 2" xfId="42897"/>
    <cellStyle name="Comma 59 5 3 3 3" xfId="42549"/>
    <cellStyle name="Comma 59 5 3 4" xfId="42611"/>
    <cellStyle name="Comma 59 5 3 5" xfId="42758"/>
    <cellStyle name="Comma 59 5 3 6" xfId="41432"/>
    <cellStyle name="Comma 59 5 3 7" xfId="43752"/>
    <cellStyle name="Comma 59 5 3 8" xfId="43577"/>
    <cellStyle name="Comma 59 5 3 9" xfId="43441"/>
    <cellStyle name="Comma 59 5 4" xfId="7930"/>
    <cellStyle name="Comma 59 5 4 10" xfId="43927"/>
    <cellStyle name="Comma 59 5 4 2" xfId="22037"/>
    <cellStyle name="Comma 59 5 4 2 2" xfId="42679"/>
    <cellStyle name="Comma 59 5 4 2 3" xfId="42830"/>
    <cellStyle name="Comma 59 5 4 2 4" xfId="42483"/>
    <cellStyle name="Comma 59 5 4 2 5" xfId="43508"/>
    <cellStyle name="Comma 59 5 4 2 6" xfId="43995"/>
    <cellStyle name="Comma 59 5 4 3" xfId="16564"/>
    <cellStyle name="Comma 59 5 4 3 2" xfId="42898"/>
    <cellStyle name="Comma 59 5 4 3 3" xfId="42550"/>
    <cellStyle name="Comma 59 5 4 4" xfId="42612"/>
    <cellStyle name="Comma 59 5 4 5" xfId="42759"/>
    <cellStyle name="Comma 59 5 4 6" xfId="41433"/>
    <cellStyle name="Comma 59 5 4 7" xfId="43753"/>
    <cellStyle name="Comma 59 5 4 8" xfId="43578"/>
    <cellStyle name="Comma 59 5 4 9" xfId="43442"/>
    <cellStyle name="Comma 59 5 5" xfId="11177"/>
    <cellStyle name="Comma 59 5 5 2" xfId="42675"/>
    <cellStyle name="Comma 59 5 5 3" xfId="42826"/>
    <cellStyle name="Comma 59 5 5 4" xfId="42479"/>
    <cellStyle name="Comma 59 5 5 5" xfId="43504"/>
    <cellStyle name="Comma 59 5 5 6" xfId="43991"/>
    <cellStyle name="Comma 59 5 6" xfId="42546"/>
    <cellStyle name="Comma 59 5 6 2" xfId="42894"/>
    <cellStyle name="Comma 59 5 7" xfId="42608"/>
    <cellStyle name="Comma 59 5 8" xfId="42755"/>
    <cellStyle name="Comma 59 5 9" xfId="43698"/>
    <cellStyle name="Comma 59 6" xfId="3041"/>
    <cellStyle name="Comma 59 6 2" xfId="6776"/>
    <cellStyle name="Comma 59 7" xfId="4014"/>
    <cellStyle name="Comma 59 7 10" xfId="43579"/>
    <cellStyle name="Comma 59 7 11" xfId="43443"/>
    <cellStyle name="Comma 59 7 12" xfId="43928"/>
    <cellStyle name="Comma 59 7 2" xfId="10061"/>
    <cellStyle name="Comma 59 7 2 10" xfId="43929"/>
    <cellStyle name="Comma 59 7 2 2" xfId="42485"/>
    <cellStyle name="Comma 59 7 2 2 2" xfId="42681"/>
    <cellStyle name="Comma 59 7 2 2 3" xfId="42832"/>
    <cellStyle name="Comma 59 7 2 2 4" xfId="43640"/>
    <cellStyle name="Comma 59 7 2 2 5" xfId="43510"/>
    <cellStyle name="Comma 59 7 2 2 6" xfId="43997"/>
    <cellStyle name="Comma 59 7 2 3" xfId="42552"/>
    <cellStyle name="Comma 59 7 2 3 2" xfId="42900"/>
    <cellStyle name="Comma 59 7 2 4" xfId="42614"/>
    <cellStyle name="Comma 59 7 2 5" xfId="42761"/>
    <cellStyle name="Comma 59 7 2 6" xfId="43702"/>
    <cellStyle name="Comma 59 7 2 7" xfId="43755"/>
    <cellStyle name="Comma 59 7 2 8" xfId="43580"/>
    <cellStyle name="Comma 59 7 2 9" xfId="43444"/>
    <cellStyle name="Comma 59 7 3" xfId="41434"/>
    <cellStyle name="Comma 59 7 3 10" xfId="43930"/>
    <cellStyle name="Comma 59 7 3 2" xfId="42486"/>
    <cellStyle name="Comma 59 7 3 2 2" xfId="42682"/>
    <cellStyle name="Comma 59 7 3 2 3" xfId="42833"/>
    <cellStyle name="Comma 59 7 3 2 4" xfId="43641"/>
    <cellStyle name="Comma 59 7 3 2 5" xfId="43511"/>
    <cellStyle name="Comma 59 7 3 2 6" xfId="43998"/>
    <cellStyle name="Comma 59 7 3 3" xfId="42553"/>
    <cellStyle name="Comma 59 7 3 3 2" xfId="42901"/>
    <cellStyle name="Comma 59 7 3 4" xfId="42615"/>
    <cellStyle name="Comma 59 7 3 5" xfId="42762"/>
    <cellStyle name="Comma 59 7 3 6" xfId="43703"/>
    <cellStyle name="Comma 59 7 3 7" xfId="43756"/>
    <cellStyle name="Comma 59 7 3 8" xfId="43581"/>
    <cellStyle name="Comma 59 7 3 9" xfId="43445"/>
    <cellStyle name="Comma 59 7 4" xfId="42484"/>
    <cellStyle name="Comma 59 7 4 2" xfId="42680"/>
    <cellStyle name="Comma 59 7 4 3" xfId="42831"/>
    <cellStyle name="Comma 59 7 4 4" xfId="43639"/>
    <cellStyle name="Comma 59 7 4 5" xfId="43509"/>
    <cellStyle name="Comma 59 7 4 6" xfId="43996"/>
    <cellStyle name="Comma 59 7 5" xfId="42551"/>
    <cellStyle name="Comma 59 7 5 2" xfId="42899"/>
    <cellStyle name="Comma 59 7 6" xfId="42613"/>
    <cellStyle name="Comma 59 7 7" xfId="42760"/>
    <cellStyle name="Comma 59 7 8" xfId="43701"/>
    <cellStyle name="Comma 59 7 9" xfId="43754"/>
    <cellStyle name="Comma 59 8" xfId="23751"/>
    <cellStyle name="Comma 59 9" xfId="1816"/>
    <cellStyle name="Comma 6" xfId="148"/>
    <cellStyle name="Comma 6 10" xfId="322"/>
    <cellStyle name="Comma 6 2" xfId="323"/>
    <cellStyle name="Comma 6 2 2" xfId="1356"/>
    <cellStyle name="Comma 6 2 3" xfId="1537"/>
    <cellStyle name="Comma 6 2 3 2" xfId="2990"/>
    <cellStyle name="Comma 6 2 3 2 2" xfId="41436"/>
    <cellStyle name="Comma 6 2 3 3" xfId="23839"/>
    <cellStyle name="Comma 6 2 3 4" xfId="2149"/>
    <cellStyle name="Comma 6 2 4" xfId="2101"/>
    <cellStyle name="Comma 6 2 4 2" xfId="41437"/>
    <cellStyle name="Comma 6 3" xfId="682"/>
    <cellStyle name="Comma 6 3 2" xfId="2244"/>
    <cellStyle name="Comma 6 3 2 2" xfId="2344"/>
    <cellStyle name="Comma 6 3 3" xfId="2300"/>
    <cellStyle name="Comma 6 3 4" xfId="2180"/>
    <cellStyle name="Comma 6 3 4 2" xfId="23856"/>
    <cellStyle name="Comma 6 3 5" xfId="2150"/>
    <cellStyle name="Comma 6 3 6" xfId="2040"/>
    <cellStyle name="Comma 6 3 6 2" xfId="41438"/>
    <cellStyle name="Comma 6 4" xfId="681"/>
    <cellStyle name="Comma 6 4 2" xfId="41439"/>
    <cellStyle name="Comma 6 5" xfId="1317"/>
    <cellStyle name="Comma 6 5 2" xfId="2428"/>
    <cellStyle name="Comma 6 5 3" xfId="2179"/>
    <cellStyle name="Comma 6 5 3 2" xfId="41440"/>
    <cellStyle name="Comma 6 6" xfId="2756"/>
    <cellStyle name="Comma 6 6 2" xfId="41441"/>
    <cellStyle name="Comma 6 7" xfId="43076"/>
    <cellStyle name="Comma 6 8" xfId="43199"/>
    <cellStyle name="Comma 6 9" xfId="41435"/>
    <cellStyle name="Comma 60" xfId="1060"/>
    <cellStyle name="Comma 60 2" xfId="1504"/>
    <cellStyle name="Comma 60 2 2" xfId="2967"/>
    <cellStyle name="Comma 60 2 2 2" xfId="4015"/>
    <cellStyle name="Comma 60 2 2 2 2" xfId="8283"/>
    <cellStyle name="Comma 60 2 2 2 2 2" xfId="22390"/>
    <cellStyle name="Comma 60 2 2 2 2 3" xfId="16917"/>
    <cellStyle name="Comma 60 2 2 2 3" xfId="13692"/>
    <cellStyle name="Comma 60 2 2 2 4" xfId="19230"/>
    <cellStyle name="Comma 60 2 2 2 5" xfId="11531"/>
    <cellStyle name="Comma 60 2 2 3" xfId="4016"/>
    <cellStyle name="Comma 60 2 2 3 2" xfId="9081"/>
    <cellStyle name="Comma 60 2 2 3 2 2" xfId="23182"/>
    <cellStyle name="Comma 60 2 2 3 2 3" xfId="17715"/>
    <cellStyle name="Comma 60 2 2 3 3" xfId="13693"/>
    <cellStyle name="Comma 60 2 2 3 4" xfId="19231"/>
    <cellStyle name="Comma 60 2 2 3 5" xfId="12326"/>
    <cellStyle name="Comma 60 2 2 4" xfId="4017"/>
    <cellStyle name="Comma 60 2 2 5" xfId="7491"/>
    <cellStyle name="Comma 60 2 2 5 2" xfId="21598"/>
    <cellStyle name="Comma 60 2 2 5 3" xfId="16125"/>
    <cellStyle name="Comma 60 2 2 6" xfId="10738"/>
    <cellStyle name="Comma 60 2 2 7" xfId="41442"/>
    <cellStyle name="Comma 60 2 3" xfId="4018"/>
    <cellStyle name="Comma 60 2 3 2" xfId="4019"/>
    <cellStyle name="Comma 60 2 3 2 2" xfId="8543"/>
    <cellStyle name="Comma 60 2 3 2 2 2" xfId="22650"/>
    <cellStyle name="Comma 60 2 3 2 2 3" xfId="17177"/>
    <cellStyle name="Comma 60 2 3 2 3" xfId="13695"/>
    <cellStyle name="Comma 60 2 3 2 4" xfId="19233"/>
    <cellStyle name="Comma 60 2 3 2 5" xfId="11791"/>
    <cellStyle name="Comma 60 2 3 3" xfId="7751"/>
    <cellStyle name="Comma 60 2 3 3 2" xfId="21858"/>
    <cellStyle name="Comma 60 2 3 3 3" xfId="16385"/>
    <cellStyle name="Comma 60 2 3 4" xfId="13694"/>
    <cellStyle name="Comma 60 2 3 5" xfId="19232"/>
    <cellStyle name="Comma 60 2 3 6" xfId="23876"/>
    <cellStyle name="Comma 60 2 3 7" xfId="10998"/>
    <cellStyle name="Comma 60 2 4" xfId="4020"/>
    <cellStyle name="Comma 60 2 4 2" xfId="6469"/>
    <cellStyle name="Comma 60 2 4 2 2" xfId="8905"/>
    <cellStyle name="Comma 60 2 4 2 2 2" xfId="23006"/>
    <cellStyle name="Comma 60 2 4 2 2 3" xfId="17539"/>
    <cellStyle name="Comma 60 2 4 2 3" xfId="15298"/>
    <cellStyle name="Comma 60 2 4 2 4" xfId="20792"/>
    <cellStyle name="Comma 60 2 4 2 5" xfId="12149"/>
    <cellStyle name="Comma 60 2 4 3" xfId="7315"/>
    <cellStyle name="Comma 60 2 4 3 2" xfId="21422"/>
    <cellStyle name="Comma 60 2 4 3 3" xfId="15949"/>
    <cellStyle name="Comma 60 2 4 4" xfId="13696"/>
    <cellStyle name="Comma 60 2 4 5" xfId="19234"/>
    <cellStyle name="Comma 60 2 4 6" xfId="10562"/>
    <cellStyle name="Comma 60 2 5" xfId="4021"/>
    <cellStyle name="Comma 60 2 5 2" xfId="8107"/>
    <cellStyle name="Comma 60 2 5 2 2" xfId="22214"/>
    <cellStyle name="Comma 60 2 5 2 3" xfId="16741"/>
    <cellStyle name="Comma 60 2 5 3" xfId="13697"/>
    <cellStyle name="Comma 60 2 5 4" xfId="19235"/>
    <cellStyle name="Comma 60 2 5 5" xfId="11354"/>
    <cellStyle name="Comma 60 2 6" xfId="4022"/>
    <cellStyle name="Comma 60 2 7" xfId="6956"/>
    <cellStyle name="Comma 60 2 7 2" xfId="21066"/>
    <cellStyle name="Comma 60 2 7 3" xfId="15593"/>
    <cellStyle name="Comma 60 2 8" xfId="10206"/>
    <cellStyle name="Comma 60 2 9" xfId="2237"/>
    <cellStyle name="Comma 60 3" xfId="3073"/>
    <cellStyle name="Comma 60 4" xfId="3044"/>
    <cellStyle name="Comma 60 4 2" xfId="4023"/>
    <cellStyle name="Comma 60 4 2 2" xfId="6293"/>
    <cellStyle name="Comma 60 4 2 2 2" xfId="20616"/>
    <cellStyle name="Comma 60 4 2 2 3" xfId="15122"/>
    <cellStyle name="Comma 60 4 2 3" xfId="8729"/>
    <cellStyle name="Comma 60 4 2 3 2" xfId="22830"/>
    <cellStyle name="Comma 60 4 2 3 3" xfId="17363"/>
    <cellStyle name="Comma 60 4 2 4" xfId="13698"/>
    <cellStyle name="Comma 60 4 2 5" xfId="11973"/>
    <cellStyle name="Comma 60 4 3" xfId="6777"/>
    <cellStyle name="Comma 60 4 4" xfId="6198"/>
    <cellStyle name="Comma 60 4 4 2" xfId="20575"/>
    <cellStyle name="Comma 60 4 4 3" xfId="15078"/>
    <cellStyle name="Comma 60 4 5" xfId="7139"/>
    <cellStyle name="Comma 60 4 5 2" xfId="21246"/>
    <cellStyle name="Comma 60 4 5 3" xfId="15773"/>
    <cellStyle name="Comma 60 4 6" xfId="10386"/>
    <cellStyle name="Comma 60 5" xfId="4024"/>
    <cellStyle name="Comma 60 5 2" xfId="7931"/>
    <cellStyle name="Comma 60 5 2 2" xfId="22038"/>
    <cellStyle name="Comma 60 5 2 3" xfId="16565"/>
    <cellStyle name="Comma 60 5 3" xfId="13699"/>
    <cellStyle name="Comma 60 5 4" xfId="19236"/>
    <cellStyle name="Comma 60 5 5" xfId="23754"/>
    <cellStyle name="Comma 60 5 6" xfId="11178"/>
    <cellStyle name="Comma 60 6" xfId="4025"/>
    <cellStyle name="Comma 60 7" xfId="1819"/>
    <cellStyle name="Comma 61" xfId="1066"/>
    <cellStyle name="Comma 61 2" xfId="1106"/>
    <cellStyle name="Comma 61 2 2" xfId="2867"/>
    <cellStyle name="Comma 61 2 2 2" xfId="4026"/>
    <cellStyle name="Comma 61 2 2 2 2" xfId="8285"/>
    <cellStyle name="Comma 61 2 2 2 2 2" xfId="22392"/>
    <cellStyle name="Comma 61 2 2 2 2 3" xfId="16919"/>
    <cellStyle name="Comma 61 2 2 2 3" xfId="13700"/>
    <cellStyle name="Comma 61 2 2 2 4" xfId="19237"/>
    <cellStyle name="Comma 61 2 2 2 5" xfId="11533"/>
    <cellStyle name="Comma 61 2 2 3" xfId="4027"/>
    <cellStyle name="Comma 61 2 2 3 2" xfId="9083"/>
    <cellStyle name="Comma 61 2 2 3 2 2" xfId="23184"/>
    <cellStyle name="Comma 61 2 2 3 2 3" xfId="17717"/>
    <cellStyle name="Comma 61 2 2 3 3" xfId="13701"/>
    <cellStyle name="Comma 61 2 2 3 4" xfId="19238"/>
    <cellStyle name="Comma 61 2 2 3 5" xfId="12328"/>
    <cellStyle name="Comma 61 2 2 4" xfId="4028"/>
    <cellStyle name="Comma 61 2 2 5" xfId="7493"/>
    <cellStyle name="Comma 61 2 2 5 2" xfId="21600"/>
    <cellStyle name="Comma 61 2 2 5 3" xfId="16127"/>
    <cellStyle name="Comma 61 2 2 6" xfId="10740"/>
    <cellStyle name="Comma 61 2 2 7" xfId="41443"/>
    <cellStyle name="Comma 61 2 3" xfId="4029"/>
    <cellStyle name="Comma 61 2 3 2" xfId="4030"/>
    <cellStyle name="Comma 61 2 3 2 2" xfId="8545"/>
    <cellStyle name="Comma 61 2 3 2 2 2" xfId="22652"/>
    <cellStyle name="Comma 61 2 3 2 2 3" xfId="17179"/>
    <cellStyle name="Comma 61 2 3 2 3" xfId="13703"/>
    <cellStyle name="Comma 61 2 3 2 4" xfId="19240"/>
    <cellStyle name="Comma 61 2 3 2 5" xfId="11793"/>
    <cellStyle name="Comma 61 2 3 3" xfId="7753"/>
    <cellStyle name="Comma 61 2 3 3 2" xfId="21860"/>
    <cellStyle name="Comma 61 2 3 3 3" xfId="16387"/>
    <cellStyle name="Comma 61 2 3 4" xfId="13702"/>
    <cellStyle name="Comma 61 2 3 5" xfId="19239"/>
    <cellStyle name="Comma 61 2 3 6" xfId="23874"/>
    <cellStyle name="Comma 61 2 3 7" xfId="11000"/>
    <cellStyle name="Comma 61 2 4" xfId="4031"/>
    <cellStyle name="Comma 61 2 4 2" xfId="6471"/>
    <cellStyle name="Comma 61 2 4 2 2" xfId="8907"/>
    <cellStyle name="Comma 61 2 4 2 2 2" xfId="23008"/>
    <cellStyle name="Comma 61 2 4 2 2 3" xfId="17541"/>
    <cellStyle name="Comma 61 2 4 2 3" xfId="15300"/>
    <cellStyle name="Comma 61 2 4 2 4" xfId="20794"/>
    <cellStyle name="Comma 61 2 4 2 5" xfId="12151"/>
    <cellStyle name="Comma 61 2 4 3" xfId="7317"/>
    <cellStyle name="Comma 61 2 4 3 2" xfId="21424"/>
    <cellStyle name="Comma 61 2 4 3 3" xfId="15951"/>
    <cellStyle name="Comma 61 2 4 4" xfId="13704"/>
    <cellStyle name="Comma 61 2 4 5" xfId="19241"/>
    <cellStyle name="Comma 61 2 4 6" xfId="10564"/>
    <cellStyle name="Comma 61 2 5" xfId="4032"/>
    <cellStyle name="Comma 61 2 5 2" xfId="8109"/>
    <cellStyle name="Comma 61 2 5 2 2" xfId="22216"/>
    <cellStyle name="Comma 61 2 5 2 3" xfId="16743"/>
    <cellStyle name="Comma 61 2 5 3" xfId="13705"/>
    <cellStyle name="Comma 61 2 5 4" xfId="19242"/>
    <cellStyle name="Comma 61 2 5 5" xfId="11356"/>
    <cellStyle name="Comma 61 2 6" xfId="4033"/>
    <cellStyle name="Comma 61 2 7" xfId="6958"/>
    <cellStyle name="Comma 61 2 7 2" xfId="21068"/>
    <cellStyle name="Comma 61 2 7 3" xfId="15595"/>
    <cellStyle name="Comma 61 2 8" xfId="10208"/>
    <cellStyle name="Comma 61 2 9" xfId="2229"/>
    <cellStyle name="Comma 61 3" xfId="2838"/>
    <cellStyle name="Comma 61 3 2" xfId="4034"/>
    <cellStyle name="Comma 61 3 3" xfId="6178"/>
    <cellStyle name="Comma 61 3 4" xfId="41444"/>
    <cellStyle name="Comma 61 4" xfId="3045"/>
    <cellStyle name="Comma 61 4 2" xfId="4035"/>
    <cellStyle name="Comma 61 4 2 2" xfId="6295"/>
    <cellStyle name="Comma 61 4 2 2 2" xfId="20618"/>
    <cellStyle name="Comma 61 4 2 2 3" xfId="15124"/>
    <cellStyle name="Comma 61 4 2 3" xfId="8731"/>
    <cellStyle name="Comma 61 4 2 3 2" xfId="22832"/>
    <cellStyle name="Comma 61 4 2 3 3" xfId="17365"/>
    <cellStyle name="Comma 61 4 2 4" xfId="13706"/>
    <cellStyle name="Comma 61 4 2 5" xfId="11975"/>
    <cellStyle name="Comma 61 4 3" xfId="6778"/>
    <cellStyle name="Comma 61 4 4" xfId="6199"/>
    <cellStyle name="Comma 61 4 4 2" xfId="20576"/>
    <cellStyle name="Comma 61 4 4 3" xfId="15079"/>
    <cellStyle name="Comma 61 4 5" xfId="7141"/>
    <cellStyle name="Comma 61 4 5 2" xfId="21248"/>
    <cellStyle name="Comma 61 4 5 3" xfId="15775"/>
    <cellStyle name="Comma 61 4 6" xfId="10388"/>
    <cellStyle name="Comma 61 5" xfId="3168"/>
    <cellStyle name="Comma 61 5 2" xfId="7933"/>
    <cellStyle name="Comma 61 5 2 2" xfId="22040"/>
    <cellStyle name="Comma 61 5 2 3" xfId="16567"/>
    <cellStyle name="Comma 61 5 3" xfId="12960"/>
    <cellStyle name="Comma 61 5 4" xfId="18502"/>
    <cellStyle name="Comma 61 5 5" xfId="23758"/>
    <cellStyle name="Comma 61 5 6" xfId="11180"/>
    <cellStyle name="Comma 61 6" xfId="4036"/>
    <cellStyle name="Comma 61 7" xfId="1823"/>
    <cellStyle name="Comma 62" xfId="1152"/>
    <cellStyle name="Comma 62 2" xfId="1509"/>
    <cellStyle name="Comma 62 2 2" xfId="2971"/>
    <cellStyle name="Comma 62 2 2 2" xfId="4037"/>
    <cellStyle name="Comma 62 2 2 2 2" xfId="8287"/>
    <cellStyle name="Comma 62 2 2 2 2 2" xfId="22394"/>
    <cellStyle name="Comma 62 2 2 2 2 3" xfId="16921"/>
    <cellStyle name="Comma 62 2 2 2 3" xfId="13707"/>
    <cellStyle name="Comma 62 2 2 2 4" xfId="19243"/>
    <cellStyle name="Comma 62 2 2 2 5" xfId="11535"/>
    <cellStyle name="Comma 62 2 2 3" xfId="4038"/>
    <cellStyle name="Comma 62 2 2 3 2" xfId="9085"/>
    <cellStyle name="Comma 62 2 2 3 2 2" xfId="23186"/>
    <cellStyle name="Comma 62 2 2 3 2 3" xfId="17719"/>
    <cellStyle name="Comma 62 2 2 3 3" xfId="13708"/>
    <cellStyle name="Comma 62 2 2 3 4" xfId="19244"/>
    <cellStyle name="Comma 62 2 2 3 5" xfId="12330"/>
    <cellStyle name="Comma 62 2 2 4" xfId="4039"/>
    <cellStyle name="Comma 62 2 2 5" xfId="7495"/>
    <cellStyle name="Comma 62 2 2 5 2" xfId="21602"/>
    <cellStyle name="Comma 62 2 2 5 3" xfId="16129"/>
    <cellStyle name="Comma 62 2 2 6" xfId="10742"/>
    <cellStyle name="Comma 62 2 2 7" xfId="41445"/>
    <cellStyle name="Comma 62 2 3" xfId="4040"/>
    <cellStyle name="Comma 62 2 3 2" xfId="4041"/>
    <cellStyle name="Comma 62 2 3 2 2" xfId="8547"/>
    <cellStyle name="Comma 62 2 3 2 2 2" xfId="22654"/>
    <cellStyle name="Comma 62 2 3 2 2 3" xfId="17181"/>
    <cellStyle name="Comma 62 2 3 2 3" xfId="13710"/>
    <cellStyle name="Comma 62 2 3 2 4" xfId="19246"/>
    <cellStyle name="Comma 62 2 3 2 5" xfId="11795"/>
    <cellStyle name="Comma 62 2 3 3" xfId="7755"/>
    <cellStyle name="Comma 62 2 3 3 2" xfId="21862"/>
    <cellStyle name="Comma 62 2 3 3 3" xfId="16389"/>
    <cellStyle name="Comma 62 2 3 4" xfId="13709"/>
    <cellStyle name="Comma 62 2 3 5" xfId="19245"/>
    <cellStyle name="Comma 62 2 3 6" xfId="23878"/>
    <cellStyle name="Comma 62 2 3 7" xfId="11002"/>
    <cellStyle name="Comma 62 2 4" xfId="4042"/>
    <cellStyle name="Comma 62 2 4 2" xfId="6473"/>
    <cellStyle name="Comma 62 2 4 2 2" xfId="8909"/>
    <cellStyle name="Comma 62 2 4 2 2 2" xfId="23010"/>
    <cellStyle name="Comma 62 2 4 2 2 3" xfId="17543"/>
    <cellStyle name="Comma 62 2 4 2 3" xfId="15302"/>
    <cellStyle name="Comma 62 2 4 2 4" xfId="20796"/>
    <cellStyle name="Comma 62 2 4 2 5" xfId="12153"/>
    <cellStyle name="Comma 62 2 4 3" xfId="7319"/>
    <cellStyle name="Comma 62 2 4 3 2" xfId="21426"/>
    <cellStyle name="Comma 62 2 4 3 3" xfId="15953"/>
    <cellStyle name="Comma 62 2 4 4" xfId="13711"/>
    <cellStyle name="Comma 62 2 4 5" xfId="19247"/>
    <cellStyle name="Comma 62 2 4 6" xfId="10566"/>
    <cellStyle name="Comma 62 2 5" xfId="4043"/>
    <cellStyle name="Comma 62 2 5 2" xfId="8111"/>
    <cellStyle name="Comma 62 2 5 2 2" xfId="22218"/>
    <cellStyle name="Comma 62 2 5 2 3" xfId="16745"/>
    <cellStyle name="Comma 62 2 5 3" xfId="13712"/>
    <cellStyle name="Comma 62 2 5 4" xfId="19248"/>
    <cellStyle name="Comma 62 2 5 5" xfId="11358"/>
    <cellStyle name="Comma 62 2 6" xfId="4044"/>
    <cellStyle name="Comma 62 2 7" xfId="6960"/>
    <cellStyle name="Comma 62 2 7 2" xfId="21070"/>
    <cellStyle name="Comma 62 2 7 3" xfId="15597"/>
    <cellStyle name="Comma 62 2 8" xfId="10210"/>
    <cellStyle name="Comma 62 2 9" xfId="2242"/>
    <cellStyle name="Comma 62 3" xfId="2880"/>
    <cellStyle name="Comma 62 3 2" xfId="4045"/>
    <cellStyle name="Comma 62 3 3" xfId="6180"/>
    <cellStyle name="Comma 62 4" xfId="3063"/>
    <cellStyle name="Comma 62 4 2" xfId="4046"/>
    <cellStyle name="Comma 62 4 2 2" xfId="6297"/>
    <cellStyle name="Comma 62 4 2 2 2" xfId="20620"/>
    <cellStyle name="Comma 62 4 2 2 3" xfId="15126"/>
    <cellStyle name="Comma 62 4 2 3" xfId="8733"/>
    <cellStyle name="Comma 62 4 2 3 2" xfId="22834"/>
    <cellStyle name="Comma 62 4 2 3 3" xfId="17367"/>
    <cellStyle name="Comma 62 4 2 4" xfId="13713"/>
    <cellStyle name="Comma 62 4 2 5" xfId="11977"/>
    <cellStyle name="Comma 62 4 3" xfId="6779"/>
    <cellStyle name="Comma 62 4 4" xfId="6200"/>
    <cellStyle name="Comma 62 4 4 2" xfId="20577"/>
    <cellStyle name="Comma 62 4 4 3" xfId="15080"/>
    <cellStyle name="Comma 62 4 5" xfId="7143"/>
    <cellStyle name="Comma 62 4 5 2" xfId="21250"/>
    <cellStyle name="Comma 62 4 5 3" xfId="15777"/>
    <cellStyle name="Comma 62 4 6" xfId="10390"/>
    <cellStyle name="Comma 62 5" xfId="3171"/>
    <cellStyle name="Comma 62 5 2" xfId="7935"/>
    <cellStyle name="Comma 62 5 2 2" xfId="22042"/>
    <cellStyle name="Comma 62 5 2 3" xfId="16569"/>
    <cellStyle name="Comma 62 5 3" xfId="12963"/>
    <cellStyle name="Comma 62 5 4" xfId="18505"/>
    <cellStyle name="Comma 62 5 5" xfId="23762"/>
    <cellStyle name="Comma 62 5 6" xfId="11182"/>
    <cellStyle name="Comma 62 6" xfId="4047"/>
    <cellStyle name="Comma 62 7" xfId="1827"/>
    <cellStyle name="Comma 63" xfId="1156"/>
    <cellStyle name="Comma 63 2" xfId="1496"/>
    <cellStyle name="Comma 63 2 2" xfId="2959"/>
    <cellStyle name="Comma 63 2 2 2" xfId="4048"/>
    <cellStyle name="Comma 63 2 2 2 2" xfId="8289"/>
    <cellStyle name="Comma 63 2 2 2 2 2" xfId="22396"/>
    <cellStyle name="Comma 63 2 2 2 2 3" xfId="16923"/>
    <cellStyle name="Comma 63 2 2 2 3" xfId="13714"/>
    <cellStyle name="Comma 63 2 2 2 4" xfId="19249"/>
    <cellStyle name="Comma 63 2 2 2 5" xfId="11537"/>
    <cellStyle name="Comma 63 2 2 3" xfId="4049"/>
    <cellStyle name="Comma 63 2 2 3 2" xfId="9087"/>
    <cellStyle name="Comma 63 2 2 3 2 2" xfId="23188"/>
    <cellStyle name="Comma 63 2 2 3 2 3" xfId="17721"/>
    <cellStyle name="Comma 63 2 2 3 3" xfId="13715"/>
    <cellStyle name="Comma 63 2 2 3 4" xfId="19250"/>
    <cellStyle name="Comma 63 2 2 3 5" xfId="12332"/>
    <cellStyle name="Comma 63 2 2 4" xfId="4050"/>
    <cellStyle name="Comma 63 2 2 5" xfId="7497"/>
    <cellStyle name="Comma 63 2 2 5 2" xfId="21604"/>
    <cellStyle name="Comma 63 2 2 5 3" xfId="16131"/>
    <cellStyle name="Comma 63 2 2 6" xfId="10744"/>
    <cellStyle name="Comma 63 2 2 7" xfId="41446"/>
    <cellStyle name="Comma 63 2 3" xfId="4051"/>
    <cellStyle name="Comma 63 2 3 2" xfId="4052"/>
    <cellStyle name="Comma 63 2 3 2 2" xfId="8549"/>
    <cellStyle name="Comma 63 2 3 2 2 2" xfId="22656"/>
    <cellStyle name="Comma 63 2 3 2 2 3" xfId="17183"/>
    <cellStyle name="Comma 63 2 3 2 3" xfId="13717"/>
    <cellStyle name="Comma 63 2 3 2 4" xfId="19252"/>
    <cellStyle name="Comma 63 2 3 2 5" xfId="11797"/>
    <cellStyle name="Comma 63 2 3 3" xfId="7757"/>
    <cellStyle name="Comma 63 2 3 3 2" xfId="21864"/>
    <cellStyle name="Comma 63 2 3 3 3" xfId="16391"/>
    <cellStyle name="Comma 63 2 3 4" xfId="13716"/>
    <cellStyle name="Comma 63 2 3 5" xfId="19251"/>
    <cellStyle name="Comma 63 2 3 6" xfId="23877"/>
    <cellStyle name="Comma 63 2 3 7" xfId="11004"/>
    <cellStyle name="Comma 63 2 4" xfId="4053"/>
    <cellStyle name="Comma 63 2 4 2" xfId="6475"/>
    <cellStyle name="Comma 63 2 4 2 2" xfId="8911"/>
    <cellStyle name="Comma 63 2 4 2 2 2" xfId="23012"/>
    <cellStyle name="Comma 63 2 4 2 2 3" xfId="17545"/>
    <cellStyle name="Comma 63 2 4 2 3" xfId="15304"/>
    <cellStyle name="Comma 63 2 4 2 4" xfId="20798"/>
    <cellStyle name="Comma 63 2 4 2 5" xfId="12155"/>
    <cellStyle name="Comma 63 2 4 3" xfId="7321"/>
    <cellStyle name="Comma 63 2 4 3 2" xfId="21428"/>
    <cellStyle name="Comma 63 2 4 3 3" xfId="15955"/>
    <cellStyle name="Comma 63 2 4 4" xfId="13718"/>
    <cellStyle name="Comma 63 2 4 5" xfId="19253"/>
    <cellStyle name="Comma 63 2 4 6" xfId="10568"/>
    <cellStyle name="Comma 63 2 5" xfId="4054"/>
    <cellStyle name="Comma 63 2 5 2" xfId="8113"/>
    <cellStyle name="Comma 63 2 5 2 2" xfId="22220"/>
    <cellStyle name="Comma 63 2 5 2 3" xfId="16747"/>
    <cellStyle name="Comma 63 2 5 3" xfId="13719"/>
    <cellStyle name="Comma 63 2 5 4" xfId="19254"/>
    <cellStyle name="Comma 63 2 5 5" xfId="11360"/>
    <cellStyle name="Comma 63 2 6" xfId="4055"/>
    <cellStyle name="Comma 63 2 7" xfId="6962"/>
    <cellStyle name="Comma 63 2 7 2" xfId="21072"/>
    <cellStyle name="Comma 63 2 7 3" xfId="15599"/>
    <cellStyle name="Comma 63 2 8" xfId="10212"/>
    <cellStyle name="Comma 63 2 9" xfId="2241"/>
    <cellStyle name="Comma 63 3" xfId="2883"/>
    <cellStyle name="Comma 63 3 2" xfId="4056"/>
    <cellStyle name="Comma 63 3 3" xfId="6179"/>
    <cellStyle name="Comma 63 3 4" xfId="41447"/>
    <cellStyle name="Comma 63 4" xfId="3064"/>
    <cellStyle name="Comma 63 4 2" xfId="4057"/>
    <cellStyle name="Comma 63 4 2 2" xfId="6299"/>
    <cellStyle name="Comma 63 4 2 2 2" xfId="20622"/>
    <cellStyle name="Comma 63 4 2 2 3" xfId="15128"/>
    <cellStyle name="Comma 63 4 2 3" xfId="8735"/>
    <cellStyle name="Comma 63 4 2 3 2" xfId="22836"/>
    <cellStyle name="Comma 63 4 2 3 3" xfId="17369"/>
    <cellStyle name="Comma 63 4 2 4" xfId="13720"/>
    <cellStyle name="Comma 63 4 2 5" xfId="11979"/>
    <cellStyle name="Comma 63 4 3" xfId="6780"/>
    <cellStyle name="Comma 63 4 4" xfId="6201"/>
    <cellStyle name="Comma 63 4 4 2" xfId="20578"/>
    <cellStyle name="Comma 63 4 4 3" xfId="15081"/>
    <cellStyle name="Comma 63 4 5" xfId="7145"/>
    <cellStyle name="Comma 63 4 5 2" xfId="21252"/>
    <cellStyle name="Comma 63 4 5 3" xfId="15779"/>
    <cellStyle name="Comma 63 4 6" xfId="10392"/>
    <cellStyle name="Comma 63 5" xfId="3177"/>
    <cellStyle name="Comma 63 5 2" xfId="7937"/>
    <cellStyle name="Comma 63 5 2 2" xfId="22044"/>
    <cellStyle name="Comma 63 5 2 3" xfId="16571"/>
    <cellStyle name="Comma 63 5 3" xfId="12969"/>
    <cellStyle name="Comma 63 5 4" xfId="18511"/>
    <cellStyle name="Comma 63 5 5" xfId="23766"/>
    <cellStyle name="Comma 63 5 6" xfId="11184"/>
    <cellStyle name="Comma 63 6" xfId="4058"/>
    <cellStyle name="Comma 63 7" xfId="1831"/>
    <cellStyle name="Comma 64" xfId="1279"/>
    <cellStyle name="Comma 64 2" xfId="1510"/>
    <cellStyle name="Comma 64 2 2" xfId="2972"/>
    <cellStyle name="Comma 64 2 2 2" xfId="4059"/>
    <cellStyle name="Comma 64 2 2 2 2" xfId="8291"/>
    <cellStyle name="Comma 64 2 2 2 2 2" xfId="22398"/>
    <cellStyle name="Comma 64 2 2 2 2 3" xfId="16925"/>
    <cellStyle name="Comma 64 2 2 2 3" xfId="13721"/>
    <cellStyle name="Comma 64 2 2 2 4" xfId="19255"/>
    <cellStyle name="Comma 64 2 2 2 5" xfId="11539"/>
    <cellStyle name="Comma 64 2 2 3" xfId="4060"/>
    <cellStyle name="Comma 64 2 2 3 2" xfId="9089"/>
    <cellStyle name="Comma 64 2 2 3 2 2" xfId="23190"/>
    <cellStyle name="Comma 64 2 2 3 2 3" xfId="17723"/>
    <cellStyle name="Comma 64 2 2 3 3" xfId="13722"/>
    <cellStyle name="Comma 64 2 2 3 4" xfId="19256"/>
    <cellStyle name="Comma 64 2 2 3 5" xfId="12334"/>
    <cellStyle name="Comma 64 2 2 4" xfId="4061"/>
    <cellStyle name="Comma 64 2 2 5" xfId="7499"/>
    <cellStyle name="Comma 64 2 2 5 2" xfId="21606"/>
    <cellStyle name="Comma 64 2 2 5 3" xfId="16133"/>
    <cellStyle name="Comma 64 2 2 6" xfId="10746"/>
    <cellStyle name="Comma 64 2 2 7" xfId="41448"/>
    <cellStyle name="Comma 64 2 3" xfId="4062"/>
    <cellStyle name="Comma 64 2 3 2" xfId="4063"/>
    <cellStyle name="Comma 64 2 3 2 2" xfId="8551"/>
    <cellStyle name="Comma 64 2 3 2 2 2" xfId="22658"/>
    <cellStyle name="Comma 64 2 3 2 2 3" xfId="17185"/>
    <cellStyle name="Comma 64 2 3 2 3" xfId="13724"/>
    <cellStyle name="Comma 64 2 3 2 4" xfId="19258"/>
    <cellStyle name="Comma 64 2 3 2 5" xfId="11799"/>
    <cellStyle name="Comma 64 2 3 3" xfId="7759"/>
    <cellStyle name="Comma 64 2 3 3 2" xfId="21866"/>
    <cellStyle name="Comma 64 2 3 3 3" xfId="16393"/>
    <cellStyle name="Comma 64 2 3 4" xfId="13723"/>
    <cellStyle name="Comma 64 2 3 5" xfId="19257"/>
    <cellStyle name="Comma 64 2 3 6" xfId="23884"/>
    <cellStyle name="Comma 64 2 3 7" xfId="11006"/>
    <cellStyle name="Comma 64 2 4" xfId="4064"/>
    <cellStyle name="Comma 64 2 4 2" xfId="6477"/>
    <cellStyle name="Comma 64 2 4 2 2" xfId="8913"/>
    <cellStyle name="Comma 64 2 4 2 2 2" xfId="23014"/>
    <cellStyle name="Comma 64 2 4 2 2 3" xfId="17547"/>
    <cellStyle name="Comma 64 2 4 2 3" xfId="15306"/>
    <cellStyle name="Comma 64 2 4 2 4" xfId="20800"/>
    <cellStyle name="Comma 64 2 4 2 5" xfId="12157"/>
    <cellStyle name="Comma 64 2 4 3" xfId="7323"/>
    <cellStyle name="Comma 64 2 4 3 2" xfId="21430"/>
    <cellStyle name="Comma 64 2 4 3 3" xfId="15957"/>
    <cellStyle name="Comma 64 2 4 4" xfId="13725"/>
    <cellStyle name="Comma 64 2 4 5" xfId="19259"/>
    <cellStyle name="Comma 64 2 4 6" xfId="10570"/>
    <cellStyle name="Comma 64 2 5" xfId="4065"/>
    <cellStyle name="Comma 64 2 5 2" xfId="8115"/>
    <cellStyle name="Comma 64 2 5 2 2" xfId="22222"/>
    <cellStyle name="Comma 64 2 5 2 3" xfId="16749"/>
    <cellStyle name="Comma 64 2 5 3" xfId="13726"/>
    <cellStyle name="Comma 64 2 5 4" xfId="19260"/>
    <cellStyle name="Comma 64 2 5 5" xfId="11362"/>
    <cellStyle name="Comma 64 2 6" xfId="4066"/>
    <cellStyle name="Comma 64 2 7" xfId="6964"/>
    <cellStyle name="Comma 64 2 7 2" xfId="21074"/>
    <cellStyle name="Comma 64 2 7 3" xfId="15601"/>
    <cellStyle name="Comma 64 2 8" xfId="10214"/>
    <cellStyle name="Comma 64 2 9" xfId="2266"/>
    <cellStyle name="Comma 64 3" xfId="2923"/>
    <cellStyle name="Comma 64 3 2" xfId="4067"/>
    <cellStyle name="Comma 64 3 3" xfId="6182"/>
    <cellStyle name="Comma 64 3 4" xfId="41449"/>
    <cellStyle name="Comma 64 4" xfId="3065"/>
    <cellStyle name="Comma 64 4 2" xfId="4068"/>
    <cellStyle name="Comma 64 4 2 2" xfId="6301"/>
    <cellStyle name="Comma 64 4 2 2 2" xfId="20624"/>
    <cellStyle name="Comma 64 4 2 2 3" xfId="15130"/>
    <cellStyle name="Comma 64 4 2 3" xfId="8737"/>
    <cellStyle name="Comma 64 4 2 3 2" xfId="22838"/>
    <cellStyle name="Comma 64 4 2 3 3" xfId="17371"/>
    <cellStyle name="Comma 64 4 2 4" xfId="13727"/>
    <cellStyle name="Comma 64 4 2 5" xfId="11981"/>
    <cellStyle name="Comma 64 4 3" xfId="6781"/>
    <cellStyle name="Comma 64 4 4" xfId="6202"/>
    <cellStyle name="Comma 64 4 4 2" xfId="20579"/>
    <cellStyle name="Comma 64 4 4 3" xfId="15082"/>
    <cellStyle name="Comma 64 4 5" xfId="7147"/>
    <cellStyle name="Comma 64 4 5 2" xfId="21254"/>
    <cellStyle name="Comma 64 4 5 3" xfId="15781"/>
    <cellStyle name="Comma 64 4 6" xfId="10394"/>
    <cellStyle name="Comma 64 5" xfId="3178"/>
    <cellStyle name="Comma 64 5 2" xfId="7939"/>
    <cellStyle name="Comma 64 5 2 2" xfId="22046"/>
    <cellStyle name="Comma 64 5 2 3" xfId="16573"/>
    <cellStyle name="Comma 64 5 3" xfId="12970"/>
    <cellStyle name="Comma 64 5 4" xfId="18512"/>
    <cellStyle name="Comma 64 5 5" xfId="23770"/>
    <cellStyle name="Comma 64 5 6" xfId="11186"/>
    <cellStyle name="Comma 64 6" xfId="4069"/>
    <cellStyle name="Comma 64 7" xfId="1835"/>
    <cellStyle name="Comma 65" xfId="1507"/>
    <cellStyle name="Comma 65 2" xfId="2282"/>
    <cellStyle name="Comma 65 2 2" xfId="2969"/>
    <cellStyle name="Comma 65 2 2 2" xfId="4070"/>
    <cellStyle name="Comma 65 2 2 2 2" xfId="8293"/>
    <cellStyle name="Comma 65 2 2 2 2 2" xfId="22400"/>
    <cellStyle name="Comma 65 2 2 2 2 3" xfId="16927"/>
    <cellStyle name="Comma 65 2 2 2 3" xfId="13728"/>
    <cellStyle name="Comma 65 2 2 2 4" xfId="19261"/>
    <cellStyle name="Comma 65 2 2 2 5" xfId="11541"/>
    <cellStyle name="Comma 65 2 2 3" xfId="4071"/>
    <cellStyle name="Comma 65 2 2 3 2" xfId="9091"/>
    <cellStyle name="Comma 65 2 2 3 2 2" xfId="23192"/>
    <cellStyle name="Comma 65 2 2 3 2 3" xfId="17725"/>
    <cellStyle name="Comma 65 2 2 3 3" xfId="13729"/>
    <cellStyle name="Comma 65 2 2 3 4" xfId="19262"/>
    <cellStyle name="Comma 65 2 2 3 5" xfId="12336"/>
    <cellStyle name="Comma 65 2 2 4" xfId="4072"/>
    <cellStyle name="Comma 65 2 2 5" xfId="7501"/>
    <cellStyle name="Comma 65 2 2 5 2" xfId="21608"/>
    <cellStyle name="Comma 65 2 2 5 3" xfId="16135"/>
    <cellStyle name="Comma 65 2 2 6" xfId="10748"/>
    <cellStyle name="Comma 65 2 2 7" xfId="41450"/>
    <cellStyle name="Comma 65 2 3" xfId="4073"/>
    <cellStyle name="Comma 65 2 3 2" xfId="4074"/>
    <cellStyle name="Comma 65 2 3 2 2" xfId="8553"/>
    <cellStyle name="Comma 65 2 3 2 2 2" xfId="22660"/>
    <cellStyle name="Comma 65 2 3 2 2 3" xfId="17187"/>
    <cellStyle name="Comma 65 2 3 2 3" xfId="13731"/>
    <cellStyle name="Comma 65 2 3 2 4" xfId="19264"/>
    <cellStyle name="Comma 65 2 3 2 5" xfId="11801"/>
    <cellStyle name="Comma 65 2 3 3" xfId="7761"/>
    <cellStyle name="Comma 65 2 3 3 2" xfId="21868"/>
    <cellStyle name="Comma 65 2 3 3 3" xfId="16395"/>
    <cellStyle name="Comma 65 2 3 4" xfId="13730"/>
    <cellStyle name="Comma 65 2 3 5" xfId="19263"/>
    <cellStyle name="Comma 65 2 3 6" xfId="23890"/>
    <cellStyle name="Comma 65 2 3 7" xfId="11008"/>
    <cellStyle name="Comma 65 2 4" xfId="4075"/>
    <cellStyle name="Comma 65 2 4 2" xfId="6479"/>
    <cellStyle name="Comma 65 2 4 2 2" xfId="8915"/>
    <cellStyle name="Comma 65 2 4 2 2 2" xfId="23016"/>
    <cellStyle name="Comma 65 2 4 2 2 3" xfId="17549"/>
    <cellStyle name="Comma 65 2 4 2 3" xfId="15308"/>
    <cellStyle name="Comma 65 2 4 2 4" xfId="20802"/>
    <cellStyle name="Comma 65 2 4 2 5" xfId="12159"/>
    <cellStyle name="Comma 65 2 4 3" xfId="7325"/>
    <cellStyle name="Comma 65 2 4 3 2" xfId="21432"/>
    <cellStyle name="Comma 65 2 4 3 3" xfId="15959"/>
    <cellStyle name="Comma 65 2 4 4" xfId="13732"/>
    <cellStyle name="Comma 65 2 4 5" xfId="19265"/>
    <cellStyle name="Comma 65 2 4 6" xfId="10572"/>
    <cellStyle name="Comma 65 2 5" xfId="4076"/>
    <cellStyle name="Comma 65 2 5 2" xfId="8117"/>
    <cellStyle name="Comma 65 2 5 2 2" xfId="22224"/>
    <cellStyle name="Comma 65 2 5 2 3" xfId="16751"/>
    <cellStyle name="Comma 65 2 5 3" xfId="13733"/>
    <cellStyle name="Comma 65 2 5 4" xfId="19266"/>
    <cellStyle name="Comma 65 2 5 5" xfId="11364"/>
    <cellStyle name="Comma 65 2 6" xfId="4077"/>
    <cellStyle name="Comma 65 2 7" xfId="6966"/>
    <cellStyle name="Comma 65 2 7 2" xfId="21076"/>
    <cellStyle name="Comma 65 2 7 3" xfId="15603"/>
    <cellStyle name="Comma 65 2 8" xfId="10216"/>
    <cellStyle name="Comma 65 3" xfId="3179"/>
    <cellStyle name="Comma 65 3 2" xfId="6185"/>
    <cellStyle name="Comma 65 3 3" xfId="12971"/>
    <cellStyle name="Comma 65 3 4" xfId="18513"/>
    <cellStyle name="Comma 65 3 5" xfId="23773"/>
    <cellStyle name="Comma 65 4" xfId="4078"/>
    <cellStyle name="Comma 65 4 2" xfId="6303"/>
    <cellStyle name="Comma 65 4 2 2" xfId="8739"/>
    <cellStyle name="Comma 65 4 2 2 2" xfId="22840"/>
    <cellStyle name="Comma 65 4 2 2 3" xfId="17373"/>
    <cellStyle name="Comma 65 4 2 3" xfId="15132"/>
    <cellStyle name="Comma 65 4 2 4" xfId="20626"/>
    <cellStyle name="Comma 65 4 2 5" xfId="11983"/>
    <cellStyle name="Comma 65 4 3" xfId="7149"/>
    <cellStyle name="Comma 65 4 3 2" xfId="21256"/>
    <cellStyle name="Comma 65 4 3 3" xfId="15783"/>
    <cellStyle name="Comma 65 4 4" xfId="13734"/>
    <cellStyle name="Comma 65 4 5" xfId="19267"/>
    <cellStyle name="Comma 65 4 6" xfId="10396"/>
    <cellStyle name="Comma 65 5" xfId="4079"/>
    <cellStyle name="Comma 65 5 2" xfId="7941"/>
    <cellStyle name="Comma 65 5 2 2" xfId="22048"/>
    <cellStyle name="Comma 65 5 2 3" xfId="16575"/>
    <cellStyle name="Comma 65 5 3" xfId="13735"/>
    <cellStyle name="Comma 65 5 4" xfId="19268"/>
    <cellStyle name="Comma 65 5 5" xfId="11188"/>
    <cellStyle name="Comma 65 6" xfId="4080"/>
    <cellStyle name="Comma 65 7" xfId="1839"/>
    <cellStyle name="Comma 66" xfId="1512"/>
    <cellStyle name="Comma 66 2" xfId="2258"/>
    <cellStyle name="Comma 66 2 2" xfId="2974"/>
    <cellStyle name="Comma 66 2 2 2" xfId="4081"/>
    <cellStyle name="Comma 66 2 2 2 2" xfId="8295"/>
    <cellStyle name="Comma 66 2 2 2 2 2" xfId="22402"/>
    <cellStyle name="Comma 66 2 2 2 2 3" xfId="16929"/>
    <cellStyle name="Comma 66 2 2 2 3" xfId="13736"/>
    <cellStyle name="Comma 66 2 2 2 4" xfId="19269"/>
    <cellStyle name="Comma 66 2 2 2 5" xfId="11543"/>
    <cellStyle name="Comma 66 2 2 3" xfId="4082"/>
    <cellStyle name="Comma 66 2 2 3 2" xfId="9093"/>
    <cellStyle name="Comma 66 2 2 3 2 2" xfId="23194"/>
    <cellStyle name="Comma 66 2 2 3 2 3" xfId="17727"/>
    <cellStyle name="Comma 66 2 2 3 3" xfId="13737"/>
    <cellStyle name="Comma 66 2 2 3 4" xfId="19270"/>
    <cellStyle name="Comma 66 2 2 3 5" xfId="12338"/>
    <cellStyle name="Comma 66 2 2 4" xfId="4083"/>
    <cellStyle name="Comma 66 2 2 5" xfId="7503"/>
    <cellStyle name="Comma 66 2 2 5 2" xfId="21610"/>
    <cellStyle name="Comma 66 2 2 5 3" xfId="16137"/>
    <cellStyle name="Comma 66 2 2 6" xfId="10750"/>
    <cellStyle name="Comma 66 2 2 7" xfId="41451"/>
    <cellStyle name="Comma 66 2 3" xfId="4084"/>
    <cellStyle name="Comma 66 2 3 2" xfId="4085"/>
    <cellStyle name="Comma 66 2 3 2 2" xfId="8555"/>
    <cellStyle name="Comma 66 2 3 2 2 2" xfId="22662"/>
    <cellStyle name="Comma 66 2 3 2 2 3" xfId="17189"/>
    <cellStyle name="Comma 66 2 3 2 3" xfId="13739"/>
    <cellStyle name="Comma 66 2 3 2 4" xfId="19272"/>
    <cellStyle name="Comma 66 2 3 2 5" xfId="11803"/>
    <cellStyle name="Comma 66 2 3 3" xfId="7763"/>
    <cellStyle name="Comma 66 2 3 3 2" xfId="21870"/>
    <cellStyle name="Comma 66 2 3 3 3" xfId="16397"/>
    <cellStyle name="Comma 66 2 3 4" xfId="13738"/>
    <cellStyle name="Comma 66 2 3 5" xfId="19271"/>
    <cellStyle name="Comma 66 2 3 6" xfId="23881"/>
    <cellStyle name="Comma 66 2 3 7" xfId="11010"/>
    <cellStyle name="Comma 66 2 4" xfId="4086"/>
    <cellStyle name="Comma 66 2 4 2" xfId="6481"/>
    <cellStyle name="Comma 66 2 4 2 2" xfId="8917"/>
    <cellStyle name="Comma 66 2 4 2 2 2" xfId="23018"/>
    <cellStyle name="Comma 66 2 4 2 2 3" xfId="17551"/>
    <cellStyle name="Comma 66 2 4 2 3" xfId="15310"/>
    <cellStyle name="Comma 66 2 4 2 4" xfId="20804"/>
    <cellStyle name="Comma 66 2 4 2 5" xfId="12161"/>
    <cellStyle name="Comma 66 2 4 3" xfId="7327"/>
    <cellStyle name="Comma 66 2 4 3 2" xfId="21434"/>
    <cellStyle name="Comma 66 2 4 3 3" xfId="15961"/>
    <cellStyle name="Comma 66 2 4 4" xfId="13740"/>
    <cellStyle name="Comma 66 2 4 5" xfId="19273"/>
    <cellStyle name="Comma 66 2 4 6" xfId="10574"/>
    <cellStyle name="Comma 66 2 5" xfId="4087"/>
    <cellStyle name="Comma 66 2 5 2" xfId="8119"/>
    <cellStyle name="Comma 66 2 5 2 2" xfId="22226"/>
    <cellStyle name="Comma 66 2 5 2 3" xfId="16753"/>
    <cellStyle name="Comma 66 2 5 3" xfId="13741"/>
    <cellStyle name="Comma 66 2 5 4" xfId="19274"/>
    <cellStyle name="Comma 66 2 5 5" xfId="11366"/>
    <cellStyle name="Comma 66 2 6" xfId="4088"/>
    <cellStyle name="Comma 66 2 7" xfId="6968"/>
    <cellStyle name="Comma 66 2 7 2" xfId="21078"/>
    <cellStyle name="Comma 66 2 7 3" xfId="15605"/>
    <cellStyle name="Comma 66 2 8" xfId="10218"/>
    <cellStyle name="Comma 66 3" xfId="4089"/>
    <cellStyle name="Comma 66 3 2" xfId="23777"/>
    <cellStyle name="Comma 66 3 3" xfId="41452"/>
    <cellStyle name="Comma 66 4" xfId="4090"/>
    <cellStyle name="Comma 66 4 2" xfId="6305"/>
    <cellStyle name="Comma 66 4 2 2" xfId="8741"/>
    <cellStyle name="Comma 66 4 2 2 2" xfId="22842"/>
    <cellStyle name="Comma 66 4 2 2 3" xfId="17375"/>
    <cellStyle name="Comma 66 4 2 3" xfId="15134"/>
    <cellStyle name="Comma 66 4 2 4" xfId="20628"/>
    <cellStyle name="Comma 66 4 2 5" xfId="11985"/>
    <cellStyle name="Comma 66 4 3" xfId="7151"/>
    <cellStyle name="Comma 66 4 3 2" xfId="21258"/>
    <cellStyle name="Comma 66 4 3 3" xfId="15785"/>
    <cellStyle name="Comma 66 4 4" xfId="13742"/>
    <cellStyle name="Comma 66 4 5" xfId="19275"/>
    <cellStyle name="Comma 66 4 6" xfId="10398"/>
    <cellStyle name="Comma 66 5" xfId="4091"/>
    <cellStyle name="Comma 66 5 2" xfId="7943"/>
    <cellStyle name="Comma 66 5 2 2" xfId="22050"/>
    <cellStyle name="Comma 66 5 2 3" xfId="16577"/>
    <cellStyle name="Comma 66 5 3" xfId="13743"/>
    <cellStyle name="Comma 66 5 4" xfId="19276"/>
    <cellStyle name="Comma 66 5 5" xfId="11190"/>
    <cellStyle name="Comma 66 6" xfId="4092"/>
    <cellStyle name="Comma 66 7" xfId="1843"/>
    <cellStyle name="Comma 67" xfId="1494"/>
    <cellStyle name="Comma 67 2" xfId="2234"/>
    <cellStyle name="Comma 67 2 2" xfId="2957"/>
    <cellStyle name="Comma 67 2 2 2" xfId="4093"/>
    <cellStyle name="Comma 67 2 2 2 2" xfId="8297"/>
    <cellStyle name="Comma 67 2 2 2 2 2" xfId="22404"/>
    <cellStyle name="Comma 67 2 2 2 2 3" xfId="16931"/>
    <cellStyle name="Comma 67 2 2 2 3" xfId="13744"/>
    <cellStyle name="Comma 67 2 2 2 4" xfId="19277"/>
    <cellStyle name="Comma 67 2 2 2 5" xfId="11545"/>
    <cellStyle name="Comma 67 2 2 3" xfId="4094"/>
    <cellStyle name="Comma 67 2 2 3 2" xfId="9095"/>
    <cellStyle name="Comma 67 2 2 3 2 2" xfId="23196"/>
    <cellStyle name="Comma 67 2 2 3 2 3" xfId="17729"/>
    <cellStyle name="Comma 67 2 2 3 3" xfId="13745"/>
    <cellStyle name="Comma 67 2 2 3 4" xfId="19278"/>
    <cellStyle name="Comma 67 2 2 3 5" xfId="12340"/>
    <cellStyle name="Comma 67 2 2 4" xfId="4095"/>
    <cellStyle name="Comma 67 2 2 5" xfId="7505"/>
    <cellStyle name="Comma 67 2 2 5 2" xfId="21612"/>
    <cellStyle name="Comma 67 2 2 5 3" xfId="16139"/>
    <cellStyle name="Comma 67 2 2 6" xfId="10752"/>
    <cellStyle name="Comma 67 2 2 7" xfId="41453"/>
    <cellStyle name="Comma 67 2 3" xfId="4096"/>
    <cellStyle name="Comma 67 2 3 2" xfId="4097"/>
    <cellStyle name="Comma 67 2 3 2 2" xfId="8557"/>
    <cellStyle name="Comma 67 2 3 2 2 2" xfId="22664"/>
    <cellStyle name="Comma 67 2 3 2 2 3" xfId="17191"/>
    <cellStyle name="Comma 67 2 3 2 3" xfId="13747"/>
    <cellStyle name="Comma 67 2 3 2 4" xfId="19280"/>
    <cellStyle name="Comma 67 2 3 2 5" xfId="11805"/>
    <cellStyle name="Comma 67 2 3 3" xfId="7765"/>
    <cellStyle name="Comma 67 2 3 3 2" xfId="21872"/>
    <cellStyle name="Comma 67 2 3 3 3" xfId="16399"/>
    <cellStyle name="Comma 67 2 3 4" xfId="13746"/>
    <cellStyle name="Comma 67 2 3 5" xfId="19279"/>
    <cellStyle name="Comma 67 2 3 6" xfId="23875"/>
    <cellStyle name="Comma 67 2 3 7" xfId="11012"/>
    <cellStyle name="Comma 67 2 4" xfId="4098"/>
    <cellStyle name="Comma 67 2 4 2" xfId="6483"/>
    <cellStyle name="Comma 67 2 4 2 2" xfId="8919"/>
    <cellStyle name="Comma 67 2 4 2 2 2" xfId="23020"/>
    <cellStyle name="Comma 67 2 4 2 2 3" xfId="17553"/>
    <cellStyle name="Comma 67 2 4 2 3" xfId="15312"/>
    <cellStyle name="Comma 67 2 4 2 4" xfId="20806"/>
    <cellStyle name="Comma 67 2 4 2 5" xfId="12163"/>
    <cellStyle name="Comma 67 2 4 3" xfId="7329"/>
    <cellStyle name="Comma 67 2 4 3 2" xfId="21436"/>
    <cellStyle name="Comma 67 2 4 3 3" xfId="15963"/>
    <cellStyle name="Comma 67 2 4 4" xfId="13748"/>
    <cellStyle name="Comma 67 2 4 5" xfId="19281"/>
    <cellStyle name="Comma 67 2 4 6" xfId="10576"/>
    <cellStyle name="Comma 67 2 5" xfId="4099"/>
    <cellStyle name="Comma 67 2 5 2" xfId="8121"/>
    <cellStyle name="Comma 67 2 5 2 2" xfId="22228"/>
    <cellStyle name="Comma 67 2 5 2 3" xfId="16755"/>
    <cellStyle name="Comma 67 2 5 3" xfId="13749"/>
    <cellStyle name="Comma 67 2 5 4" xfId="19282"/>
    <cellStyle name="Comma 67 2 5 5" xfId="11368"/>
    <cellStyle name="Comma 67 2 6" xfId="4100"/>
    <cellStyle name="Comma 67 2 7" xfId="6970"/>
    <cellStyle name="Comma 67 2 7 2" xfId="21080"/>
    <cellStyle name="Comma 67 2 7 3" xfId="15607"/>
    <cellStyle name="Comma 67 2 8" xfId="10220"/>
    <cellStyle name="Comma 67 3" xfId="4101"/>
    <cellStyle name="Comma 67 3 2" xfId="23781"/>
    <cellStyle name="Comma 67 3 3" xfId="41454"/>
    <cellStyle name="Comma 67 4" xfId="4102"/>
    <cellStyle name="Comma 67 4 2" xfId="6307"/>
    <cellStyle name="Comma 67 4 2 2" xfId="8743"/>
    <cellStyle name="Comma 67 4 2 2 2" xfId="22844"/>
    <cellStyle name="Comma 67 4 2 2 3" xfId="17377"/>
    <cellStyle name="Comma 67 4 2 3" xfId="15136"/>
    <cellStyle name="Comma 67 4 2 4" xfId="20630"/>
    <cellStyle name="Comma 67 4 2 5" xfId="11987"/>
    <cellStyle name="Comma 67 4 3" xfId="7153"/>
    <cellStyle name="Comma 67 4 3 2" xfId="21260"/>
    <cellStyle name="Comma 67 4 3 3" xfId="15787"/>
    <cellStyle name="Comma 67 4 4" xfId="13750"/>
    <cellStyle name="Comma 67 4 5" xfId="19283"/>
    <cellStyle name="Comma 67 4 6" xfId="10400"/>
    <cellStyle name="Comma 67 5" xfId="4103"/>
    <cellStyle name="Comma 67 5 2" xfId="7945"/>
    <cellStyle name="Comma 67 5 2 2" xfId="22052"/>
    <cellStyle name="Comma 67 5 2 3" xfId="16579"/>
    <cellStyle name="Comma 67 5 3" xfId="13751"/>
    <cellStyle name="Comma 67 5 4" xfId="19284"/>
    <cellStyle name="Comma 67 5 5" xfId="11192"/>
    <cellStyle name="Comma 67 6" xfId="4104"/>
    <cellStyle name="Comma 67 7" xfId="1847"/>
    <cellStyle name="Comma 68" xfId="1505"/>
    <cellStyle name="Comma 68 2" xfId="2276"/>
    <cellStyle name="Comma 68 2 2" xfId="2968"/>
    <cellStyle name="Comma 68 2 2 2" xfId="4105"/>
    <cellStyle name="Comma 68 2 2 2 2" xfId="8299"/>
    <cellStyle name="Comma 68 2 2 2 2 2" xfId="22406"/>
    <cellStyle name="Comma 68 2 2 2 2 3" xfId="16933"/>
    <cellStyle name="Comma 68 2 2 2 3" xfId="13752"/>
    <cellStyle name="Comma 68 2 2 2 4" xfId="19285"/>
    <cellStyle name="Comma 68 2 2 2 5" xfId="11547"/>
    <cellStyle name="Comma 68 2 2 3" xfId="4106"/>
    <cellStyle name="Comma 68 2 2 3 2" xfId="9097"/>
    <cellStyle name="Comma 68 2 2 3 2 2" xfId="23198"/>
    <cellStyle name="Comma 68 2 2 3 2 3" xfId="17731"/>
    <cellStyle name="Comma 68 2 2 3 3" xfId="13753"/>
    <cellStyle name="Comma 68 2 2 3 4" xfId="19286"/>
    <cellStyle name="Comma 68 2 2 3 5" xfId="12342"/>
    <cellStyle name="Comma 68 2 2 4" xfId="4107"/>
    <cellStyle name="Comma 68 2 2 5" xfId="7507"/>
    <cellStyle name="Comma 68 2 2 5 2" xfId="21614"/>
    <cellStyle name="Comma 68 2 2 5 3" xfId="16141"/>
    <cellStyle name="Comma 68 2 2 6" xfId="10754"/>
    <cellStyle name="Comma 68 2 2 7" xfId="41455"/>
    <cellStyle name="Comma 68 2 3" xfId="4108"/>
    <cellStyle name="Comma 68 2 3 2" xfId="4109"/>
    <cellStyle name="Comma 68 2 3 2 2" xfId="8559"/>
    <cellStyle name="Comma 68 2 3 2 2 2" xfId="22666"/>
    <cellStyle name="Comma 68 2 3 2 2 3" xfId="17193"/>
    <cellStyle name="Comma 68 2 3 2 3" xfId="13755"/>
    <cellStyle name="Comma 68 2 3 2 4" xfId="19288"/>
    <cellStyle name="Comma 68 2 3 2 5" xfId="11807"/>
    <cellStyle name="Comma 68 2 3 3" xfId="7767"/>
    <cellStyle name="Comma 68 2 3 3 2" xfId="21874"/>
    <cellStyle name="Comma 68 2 3 3 3" xfId="16401"/>
    <cellStyle name="Comma 68 2 3 4" xfId="13754"/>
    <cellStyle name="Comma 68 2 3 5" xfId="19287"/>
    <cellStyle name="Comma 68 2 3 6" xfId="23889"/>
    <cellStyle name="Comma 68 2 3 7" xfId="11014"/>
    <cellStyle name="Comma 68 2 4" xfId="4110"/>
    <cellStyle name="Comma 68 2 4 2" xfId="6485"/>
    <cellStyle name="Comma 68 2 4 2 2" xfId="8921"/>
    <cellStyle name="Comma 68 2 4 2 2 2" xfId="23022"/>
    <cellStyle name="Comma 68 2 4 2 2 3" xfId="17555"/>
    <cellStyle name="Comma 68 2 4 2 3" xfId="15314"/>
    <cellStyle name="Comma 68 2 4 2 4" xfId="20808"/>
    <cellStyle name="Comma 68 2 4 2 5" xfId="12165"/>
    <cellStyle name="Comma 68 2 4 3" xfId="7331"/>
    <cellStyle name="Comma 68 2 4 3 2" xfId="21438"/>
    <cellStyle name="Comma 68 2 4 3 3" xfId="15965"/>
    <cellStyle name="Comma 68 2 4 4" xfId="13756"/>
    <cellStyle name="Comma 68 2 4 5" xfId="19289"/>
    <cellStyle name="Comma 68 2 4 6" xfId="10578"/>
    <cellStyle name="Comma 68 2 5" xfId="4111"/>
    <cellStyle name="Comma 68 2 5 2" xfId="8123"/>
    <cellStyle name="Comma 68 2 5 2 2" xfId="22230"/>
    <cellStyle name="Comma 68 2 5 2 3" xfId="16757"/>
    <cellStyle name="Comma 68 2 5 3" xfId="13757"/>
    <cellStyle name="Comma 68 2 5 4" xfId="19290"/>
    <cellStyle name="Comma 68 2 5 5" xfId="11370"/>
    <cellStyle name="Comma 68 2 6" xfId="4112"/>
    <cellStyle name="Comma 68 2 7" xfId="6972"/>
    <cellStyle name="Comma 68 2 7 2" xfId="21082"/>
    <cellStyle name="Comma 68 2 7 3" xfId="15609"/>
    <cellStyle name="Comma 68 2 8" xfId="10222"/>
    <cellStyle name="Comma 68 3" xfId="4113"/>
    <cellStyle name="Comma 68 3 2" xfId="23785"/>
    <cellStyle name="Comma 68 3 3" xfId="41456"/>
    <cellStyle name="Comma 68 4" xfId="4114"/>
    <cellStyle name="Comma 68 4 2" xfId="6309"/>
    <cellStyle name="Comma 68 4 2 2" xfId="8745"/>
    <cellStyle name="Comma 68 4 2 2 2" xfId="22846"/>
    <cellStyle name="Comma 68 4 2 2 3" xfId="17379"/>
    <cellStyle name="Comma 68 4 2 3" xfId="15138"/>
    <cellStyle name="Comma 68 4 2 4" xfId="20632"/>
    <cellStyle name="Comma 68 4 2 5" xfId="11989"/>
    <cellStyle name="Comma 68 4 3" xfId="7155"/>
    <cellStyle name="Comma 68 4 3 2" xfId="21262"/>
    <cellStyle name="Comma 68 4 3 3" xfId="15789"/>
    <cellStyle name="Comma 68 4 4" xfId="13758"/>
    <cellStyle name="Comma 68 4 5" xfId="19291"/>
    <cellStyle name="Comma 68 4 6" xfId="10402"/>
    <cellStyle name="Comma 68 5" xfId="4115"/>
    <cellStyle name="Comma 68 5 2" xfId="7947"/>
    <cellStyle name="Comma 68 5 2 2" xfId="22054"/>
    <cellStyle name="Comma 68 5 2 3" xfId="16581"/>
    <cellStyle name="Comma 68 5 3" xfId="13759"/>
    <cellStyle name="Comma 68 5 4" xfId="19292"/>
    <cellStyle name="Comma 68 5 5" xfId="11194"/>
    <cellStyle name="Comma 68 6" xfId="4116"/>
    <cellStyle name="Comma 68 7" xfId="1851"/>
    <cellStyle name="Comma 69" xfId="1265"/>
    <cellStyle name="Comma 69 2" xfId="2219"/>
    <cellStyle name="Comma 69 2 2" xfId="2914"/>
    <cellStyle name="Comma 69 2 2 2" xfId="4117"/>
    <cellStyle name="Comma 69 2 2 2 2" xfId="8301"/>
    <cellStyle name="Comma 69 2 2 2 2 2" xfId="22408"/>
    <cellStyle name="Comma 69 2 2 2 2 3" xfId="16935"/>
    <cellStyle name="Comma 69 2 2 2 3" xfId="13760"/>
    <cellStyle name="Comma 69 2 2 2 4" xfId="19293"/>
    <cellStyle name="Comma 69 2 2 2 5" xfId="24199"/>
    <cellStyle name="Comma 69 2 2 2 6" xfId="11549"/>
    <cellStyle name="Comma 69 2 2 3" xfId="4118"/>
    <cellStyle name="Comma 69 2 2 3 2" xfId="9099"/>
    <cellStyle name="Comma 69 2 2 3 2 2" xfId="23200"/>
    <cellStyle name="Comma 69 2 2 3 2 3" xfId="17733"/>
    <cellStyle name="Comma 69 2 2 3 3" xfId="13761"/>
    <cellStyle name="Comma 69 2 2 3 4" xfId="19294"/>
    <cellStyle name="Comma 69 2 2 3 5" xfId="12344"/>
    <cellStyle name="Comma 69 2 2 4" xfId="4119"/>
    <cellStyle name="Comma 69 2 2 4 2" xfId="9460"/>
    <cellStyle name="Comma 69 2 2 4 2 2" xfId="23510"/>
    <cellStyle name="Comma 69 2 2 4 2 3" xfId="18064"/>
    <cellStyle name="Comma 69 2 2 4 3" xfId="13762"/>
    <cellStyle name="Comma 69 2 2 4 4" xfId="19295"/>
    <cellStyle name="Comma 69 2 2 4 5" xfId="12664"/>
    <cellStyle name="Comma 69 2 2 5" xfId="7509"/>
    <cellStyle name="Comma 69 2 2 5 2" xfId="21616"/>
    <cellStyle name="Comma 69 2 2 5 3" xfId="16143"/>
    <cellStyle name="Comma 69 2 2 6" xfId="9762"/>
    <cellStyle name="Comma 69 2 2 6 2" xfId="12866"/>
    <cellStyle name="Comma 69 2 2 7" xfId="9978"/>
    <cellStyle name="Comma 69 2 2 7 2" xfId="18417"/>
    <cellStyle name="Comma 69 2 2 8" xfId="24010"/>
    <cellStyle name="Comma 69 2 2 9" xfId="10756"/>
    <cellStyle name="Comma 69 2 3" xfId="4120"/>
    <cellStyle name="Comma 69 2 3 2" xfId="4121"/>
    <cellStyle name="Comma 69 2 3 2 2" xfId="8561"/>
    <cellStyle name="Comma 69 2 3 2 2 2" xfId="22668"/>
    <cellStyle name="Comma 69 2 3 2 2 3" xfId="17195"/>
    <cellStyle name="Comma 69 2 3 2 3" xfId="13764"/>
    <cellStyle name="Comma 69 2 3 2 4" xfId="19297"/>
    <cellStyle name="Comma 69 2 3 2 5" xfId="11809"/>
    <cellStyle name="Comma 69 2 3 3" xfId="7769"/>
    <cellStyle name="Comma 69 2 3 3 2" xfId="21876"/>
    <cellStyle name="Comma 69 2 3 3 3" xfId="16403"/>
    <cellStyle name="Comma 69 2 3 4" xfId="13763"/>
    <cellStyle name="Comma 69 2 3 5" xfId="19296"/>
    <cellStyle name="Comma 69 2 3 6" xfId="23873"/>
    <cellStyle name="Comma 69 2 3 7" xfId="11016"/>
    <cellStyle name="Comma 69 2 4" xfId="4122"/>
    <cellStyle name="Comma 69 2 4 2" xfId="6487"/>
    <cellStyle name="Comma 69 2 4 2 2" xfId="8923"/>
    <cellStyle name="Comma 69 2 4 2 2 2" xfId="23024"/>
    <cellStyle name="Comma 69 2 4 2 2 3" xfId="17557"/>
    <cellStyle name="Comma 69 2 4 2 3" xfId="15316"/>
    <cellStyle name="Comma 69 2 4 2 4" xfId="20810"/>
    <cellStyle name="Comma 69 2 4 2 5" xfId="12167"/>
    <cellStyle name="Comma 69 2 4 3" xfId="7333"/>
    <cellStyle name="Comma 69 2 4 3 2" xfId="21440"/>
    <cellStyle name="Comma 69 2 4 3 3" xfId="15967"/>
    <cellStyle name="Comma 69 2 4 4" xfId="13765"/>
    <cellStyle name="Comma 69 2 4 5" xfId="19298"/>
    <cellStyle name="Comma 69 2 4 6" xfId="10580"/>
    <cellStyle name="Comma 69 2 5" xfId="4123"/>
    <cellStyle name="Comma 69 2 5 2" xfId="8125"/>
    <cellStyle name="Comma 69 2 5 2 2" xfId="22232"/>
    <cellStyle name="Comma 69 2 5 2 3" xfId="16759"/>
    <cellStyle name="Comma 69 2 5 3" xfId="13766"/>
    <cellStyle name="Comma 69 2 5 4" xfId="19299"/>
    <cellStyle name="Comma 69 2 5 5" xfId="11372"/>
    <cellStyle name="Comma 69 2 6" xfId="4124"/>
    <cellStyle name="Comma 69 2 7" xfId="6974"/>
    <cellStyle name="Comma 69 2 7 2" xfId="21084"/>
    <cellStyle name="Comma 69 2 7 3" xfId="15611"/>
    <cellStyle name="Comma 69 2 8" xfId="23707"/>
    <cellStyle name="Comma 69 2 9" xfId="10224"/>
    <cellStyle name="Comma 69 3" xfId="4125"/>
    <cellStyle name="Comma 69 3 2" xfId="23789"/>
    <cellStyle name="Comma 69 3 3" xfId="24336"/>
    <cellStyle name="Comma 69 3 4" xfId="41457"/>
    <cellStyle name="Comma 69 4" xfId="4126"/>
    <cellStyle name="Comma 69 4 2" xfId="6311"/>
    <cellStyle name="Comma 69 4 2 2" xfId="8747"/>
    <cellStyle name="Comma 69 4 2 2 2" xfId="22848"/>
    <cellStyle name="Comma 69 4 2 2 3" xfId="17381"/>
    <cellStyle name="Comma 69 4 2 3" xfId="15140"/>
    <cellStyle name="Comma 69 4 2 4" xfId="20634"/>
    <cellStyle name="Comma 69 4 2 5" xfId="11991"/>
    <cellStyle name="Comma 69 4 3" xfId="7157"/>
    <cellStyle name="Comma 69 4 3 2" xfId="21264"/>
    <cellStyle name="Comma 69 4 3 3" xfId="15791"/>
    <cellStyle name="Comma 69 4 4" xfId="13767"/>
    <cellStyle name="Comma 69 4 5" xfId="19300"/>
    <cellStyle name="Comma 69 4 6" xfId="10404"/>
    <cellStyle name="Comma 69 5" xfId="4127"/>
    <cellStyle name="Comma 69 5 2" xfId="7949"/>
    <cellStyle name="Comma 69 5 2 2" xfId="22056"/>
    <cellStyle name="Comma 69 5 2 3" xfId="16583"/>
    <cellStyle name="Comma 69 5 3" xfId="13768"/>
    <cellStyle name="Comma 69 5 4" xfId="19301"/>
    <cellStyle name="Comma 69 5 5" xfId="11196"/>
    <cellStyle name="Comma 69 6" xfId="4128"/>
    <cellStyle name="Comma 69 7" xfId="1855"/>
    <cellStyle name="Comma 7" xfId="146"/>
    <cellStyle name="Comma 7 2" xfId="325"/>
    <cellStyle name="Comma 7 2 2" xfId="1357"/>
    <cellStyle name="Comma 7 2 3" xfId="1538"/>
    <cellStyle name="Comma 7 2 3 2" xfId="2991"/>
    <cellStyle name="Comma 7 2 3 2 2" xfId="41459"/>
    <cellStyle name="Comma 7 2 3 3" xfId="23840"/>
    <cellStyle name="Comma 7 2 3 4" xfId="2151"/>
    <cellStyle name="Comma 7 2 4" xfId="2102"/>
    <cellStyle name="Comma 7 2 4 2" xfId="41460"/>
    <cellStyle name="Comma 7 3" xfId="684"/>
    <cellStyle name="Comma 7 3 2" xfId="2245"/>
    <cellStyle name="Comma 7 3 2 2" xfId="2325"/>
    <cellStyle name="Comma 7 3 3" xfId="2301"/>
    <cellStyle name="Comma 7 3 4" xfId="2182"/>
    <cellStyle name="Comma 7 3 4 2" xfId="23857"/>
    <cellStyle name="Comma 7 3 5" xfId="2152"/>
    <cellStyle name="Comma 7 3 6" xfId="2041"/>
    <cellStyle name="Comma 7 3 6 2" xfId="41461"/>
    <cellStyle name="Comma 7 4" xfId="683"/>
    <cellStyle name="Comma 7 4 2" xfId="41462"/>
    <cellStyle name="Comma 7 5" xfId="1318"/>
    <cellStyle name="Comma 7 5 2" xfId="2429"/>
    <cellStyle name="Comma 7 5 3" xfId="2181"/>
    <cellStyle name="Comma 7 5 3 2" xfId="41463"/>
    <cellStyle name="Comma 7 6" xfId="2757"/>
    <cellStyle name="Comma 7 6 2" xfId="41464"/>
    <cellStyle name="Comma 7 7" xfId="41458"/>
    <cellStyle name="Comma 7 8" xfId="324"/>
    <cellStyle name="Comma 70" xfId="1859"/>
    <cellStyle name="Comma 70 2" xfId="2270"/>
    <cellStyle name="Comma 70 2 2" xfId="2780"/>
    <cellStyle name="Comma 70 2 2 2" xfId="4129"/>
    <cellStyle name="Comma 70 2 2 2 2" xfId="8303"/>
    <cellStyle name="Comma 70 2 2 2 2 2" xfId="22410"/>
    <cellStyle name="Comma 70 2 2 2 2 3" xfId="16937"/>
    <cellStyle name="Comma 70 2 2 2 3" xfId="13769"/>
    <cellStyle name="Comma 70 2 2 2 4" xfId="19302"/>
    <cellStyle name="Comma 70 2 2 2 5" xfId="11551"/>
    <cellStyle name="Comma 70 2 2 3" xfId="4130"/>
    <cellStyle name="Comma 70 2 2 3 2" xfId="9101"/>
    <cellStyle name="Comma 70 2 2 3 2 2" xfId="23202"/>
    <cellStyle name="Comma 70 2 2 3 2 3" xfId="17735"/>
    <cellStyle name="Comma 70 2 2 3 3" xfId="13770"/>
    <cellStyle name="Comma 70 2 2 3 4" xfId="19303"/>
    <cellStyle name="Comma 70 2 2 3 5" xfId="12346"/>
    <cellStyle name="Comma 70 2 2 4" xfId="4131"/>
    <cellStyle name="Comma 70 2 2 5" xfId="7511"/>
    <cellStyle name="Comma 70 2 2 5 2" xfId="21618"/>
    <cellStyle name="Comma 70 2 2 5 3" xfId="16145"/>
    <cellStyle name="Comma 70 2 2 6" xfId="10758"/>
    <cellStyle name="Comma 70 2 2 7" xfId="41465"/>
    <cellStyle name="Comma 70 2 3" xfId="4132"/>
    <cellStyle name="Comma 70 2 3 2" xfId="4133"/>
    <cellStyle name="Comma 70 2 3 2 2" xfId="8563"/>
    <cellStyle name="Comma 70 2 3 2 2 2" xfId="22670"/>
    <cellStyle name="Comma 70 2 3 2 2 3" xfId="17197"/>
    <cellStyle name="Comma 70 2 3 2 3" xfId="13772"/>
    <cellStyle name="Comma 70 2 3 2 4" xfId="19305"/>
    <cellStyle name="Comma 70 2 3 2 5" xfId="11811"/>
    <cellStyle name="Comma 70 2 3 3" xfId="7771"/>
    <cellStyle name="Comma 70 2 3 3 2" xfId="21878"/>
    <cellStyle name="Comma 70 2 3 3 3" xfId="16405"/>
    <cellStyle name="Comma 70 2 3 4" xfId="13771"/>
    <cellStyle name="Comma 70 2 3 5" xfId="19304"/>
    <cellStyle name="Comma 70 2 3 6" xfId="23885"/>
    <cellStyle name="Comma 70 2 3 7" xfId="11018"/>
    <cellStyle name="Comma 70 2 4" xfId="4134"/>
    <cellStyle name="Comma 70 2 4 2" xfId="6489"/>
    <cellStyle name="Comma 70 2 4 2 2" xfId="8925"/>
    <cellStyle name="Comma 70 2 4 2 2 2" xfId="23026"/>
    <cellStyle name="Comma 70 2 4 2 2 3" xfId="17559"/>
    <cellStyle name="Comma 70 2 4 2 3" xfId="15318"/>
    <cellStyle name="Comma 70 2 4 2 4" xfId="20812"/>
    <cellStyle name="Comma 70 2 4 2 5" xfId="12169"/>
    <cellStyle name="Comma 70 2 4 3" xfId="7335"/>
    <cellStyle name="Comma 70 2 4 3 2" xfId="21442"/>
    <cellStyle name="Comma 70 2 4 3 3" xfId="15969"/>
    <cellStyle name="Comma 70 2 4 4" xfId="13773"/>
    <cellStyle name="Comma 70 2 4 5" xfId="19306"/>
    <cellStyle name="Comma 70 2 4 6" xfId="10582"/>
    <cellStyle name="Comma 70 2 5" xfId="4135"/>
    <cellStyle name="Comma 70 2 5 2" xfId="8127"/>
    <cellStyle name="Comma 70 2 5 2 2" xfId="22234"/>
    <cellStyle name="Comma 70 2 5 2 3" xfId="16761"/>
    <cellStyle name="Comma 70 2 5 3" xfId="13774"/>
    <cellStyle name="Comma 70 2 5 4" xfId="19307"/>
    <cellStyle name="Comma 70 2 5 5" xfId="11374"/>
    <cellStyle name="Comma 70 2 6" xfId="4136"/>
    <cellStyle name="Comma 70 2 7" xfId="6976"/>
    <cellStyle name="Comma 70 2 7 2" xfId="21086"/>
    <cellStyle name="Comma 70 2 7 3" xfId="15613"/>
    <cellStyle name="Comma 70 2 8" xfId="10226"/>
    <cellStyle name="Comma 70 3" xfId="4137"/>
    <cellStyle name="Comma 70 3 2" xfId="23793"/>
    <cellStyle name="Comma 70 3 3" xfId="41466"/>
    <cellStyle name="Comma 70 4" xfId="4138"/>
    <cellStyle name="Comma 70 4 2" xfId="6313"/>
    <cellStyle name="Comma 70 4 2 2" xfId="8749"/>
    <cellStyle name="Comma 70 4 2 2 2" xfId="22850"/>
    <cellStyle name="Comma 70 4 2 2 3" xfId="17383"/>
    <cellStyle name="Comma 70 4 2 3" xfId="15142"/>
    <cellStyle name="Comma 70 4 2 4" xfId="20636"/>
    <cellStyle name="Comma 70 4 2 5" xfId="11993"/>
    <cellStyle name="Comma 70 4 3" xfId="7159"/>
    <cellStyle name="Comma 70 4 3 2" xfId="21266"/>
    <cellStyle name="Comma 70 4 3 3" xfId="15793"/>
    <cellStyle name="Comma 70 4 4" xfId="13775"/>
    <cellStyle name="Comma 70 4 5" xfId="19308"/>
    <cellStyle name="Comma 70 4 6" xfId="10406"/>
    <cellStyle name="Comma 70 5" xfId="4139"/>
    <cellStyle name="Comma 70 5 2" xfId="7951"/>
    <cellStyle name="Comma 70 5 2 2" xfId="22058"/>
    <cellStyle name="Comma 70 5 2 3" xfId="16585"/>
    <cellStyle name="Comma 70 5 3" xfId="13776"/>
    <cellStyle name="Comma 70 5 4" xfId="19309"/>
    <cellStyle name="Comma 70 5 5" xfId="11198"/>
    <cellStyle name="Comma 70 6" xfId="4140"/>
    <cellStyle name="Comma 71" xfId="1863"/>
    <cellStyle name="Comma 71 2" xfId="2260"/>
    <cellStyle name="Comma 71 2 2" xfId="2789"/>
    <cellStyle name="Comma 71 2 2 2" xfId="4141"/>
    <cellStyle name="Comma 71 2 2 2 2" xfId="8305"/>
    <cellStyle name="Comma 71 2 2 2 2 2" xfId="22412"/>
    <cellStyle name="Comma 71 2 2 2 2 3" xfId="16939"/>
    <cellStyle name="Comma 71 2 2 2 3" xfId="13777"/>
    <cellStyle name="Comma 71 2 2 2 4" xfId="19310"/>
    <cellStyle name="Comma 71 2 2 2 5" xfId="11553"/>
    <cellStyle name="Comma 71 2 2 3" xfId="4142"/>
    <cellStyle name="Comma 71 2 2 3 2" xfId="9103"/>
    <cellStyle name="Comma 71 2 2 3 2 2" xfId="23204"/>
    <cellStyle name="Comma 71 2 2 3 2 3" xfId="17737"/>
    <cellStyle name="Comma 71 2 2 3 3" xfId="13778"/>
    <cellStyle name="Comma 71 2 2 3 4" xfId="19311"/>
    <cellStyle name="Comma 71 2 2 3 5" xfId="12348"/>
    <cellStyle name="Comma 71 2 2 4" xfId="4143"/>
    <cellStyle name="Comma 71 2 2 5" xfId="7513"/>
    <cellStyle name="Comma 71 2 2 5 2" xfId="21620"/>
    <cellStyle name="Comma 71 2 2 5 3" xfId="16147"/>
    <cellStyle name="Comma 71 2 2 6" xfId="10760"/>
    <cellStyle name="Comma 71 2 2 7" xfId="41467"/>
    <cellStyle name="Comma 71 2 3" xfId="4144"/>
    <cellStyle name="Comma 71 2 3 2" xfId="4145"/>
    <cellStyle name="Comma 71 2 3 2 2" xfId="8565"/>
    <cellStyle name="Comma 71 2 3 2 2 2" xfId="22672"/>
    <cellStyle name="Comma 71 2 3 2 2 3" xfId="17199"/>
    <cellStyle name="Comma 71 2 3 2 3" xfId="13780"/>
    <cellStyle name="Comma 71 2 3 2 4" xfId="19313"/>
    <cellStyle name="Comma 71 2 3 2 5" xfId="11813"/>
    <cellStyle name="Comma 71 2 3 3" xfId="7773"/>
    <cellStyle name="Comma 71 2 3 3 2" xfId="21880"/>
    <cellStyle name="Comma 71 2 3 3 3" xfId="16407"/>
    <cellStyle name="Comma 71 2 3 4" xfId="13779"/>
    <cellStyle name="Comma 71 2 3 5" xfId="19312"/>
    <cellStyle name="Comma 71 2 3 6" xfId="23883"/>
    <cellStyle name="Comma 71 2 3 7" xfId="11020"/>
    <cellStyle name="Comma 71 2 4" xfId="4146"/>
    <cellStyle name="Comma 71 2 4 2" xfId="6491"/>
    <cellStyle name="Comma 71 2 4 2 2" xfId="8927"/>
    <cellStyle name="Comma 71 2 4 2 2 2" xfId="23028"/>
    <cellStyle name="Comma 71 2 4 2 2 3" xfId="17561"/>
    <cellStyle name="Comma 71 2 4 2 3" xfId="15320"/>
    <cellStyle name="Comma 71 2 4 2 4" xfId="20814"/>
    <cellStyle name="Comma 71 2 4 2 5" xfId="12171"/>
    <cellStyle name="Comma 71 2 4 3" xfId="7337"/>
    <cellStyle name="Comma 71 2 4 3 2" xfId="21444"/>
    <cellStyle name="Comma 71 2 4 3 3" xfId="15971"/>
    <cellStyle name="Comma 71 2 4 4" xfId="13781"/>
    <cellStyle name="Comma 71 2 4 5" xfId="19314"/>
    <cellStyle name="Comma 71 2 4 6" xfId="10584"/>
    <cellStyle name="Comma 71 2 5" xfId="4147"/>
    <cellStyle name="Comma 71 2 5 2" xfId="8129"/>
    <cellStyle name="Comma 71 2 5 2 2" xfId="22236"/>
    <cellStyle name="Comma 71 2 5 2 3" xfId="16763"/>
    <cellStyle name="Comma 71 2 5 3" xfId="13782"/>
    <cellStyle name="Comma 71 2 5 4" xfId="19315"/>
    <cellStyle name="Comma 71 2 5 5" xfId="11376"/>
    <cellStyle name="Comma 71 2 6" xfId="4148"/>
    <cellStyle name="Comma 71 2 7" xfId="6978"/>
    <cellStyle name="Comma 71 2 7 2" xfId="21088"/>
    <cellStyle name="Comma 71 2 7 3" xfId="15615"/>
    <cellStyle name="Comma 71 2 8" xfId="10228"/>
    <cellStyle name="Comma 71 3" xfId="4149"/>
    <cellStyle name="Comma 71 3 2" xfId="23797"/>
    <cellStyle name="Comma 71 3 3" xfId="41468"/>
    <cellStyle name="Comma 71 4" xfId="4150"/>
    <cellStyle name="Comma 71 4 2" xfId="6315"/>
    <cellStyle name="Comma 71 4 2 2" xfId="8751"/>
    <cellStyle name="Comma 71 4 2 2 2" xfId="22852"/>
    <cellStyle name="Comma 71 4 2 2 3" xfId="17385"/>
    <cellStyle name="Comma 71 4 2 3" xfId="15144"/>
    <cellStyle name="Comma 71 4 2 4" xfId="20638"/>
    <cellStyle name="Comma 71 4 2 5" xfId="11995"/>
    <cellStyle name="Comma 71 4 3" xfId="7161"/>
    <cellStyle name="Comma 71 4 3 2" xfId="21268"/>
    <cellStyle name="Comma 71 4 3 3" xfId="15795"/>
    <cellStyle name="Comma 71 4 4" xfId="13783"/>
    <cellStyle name="Comma 71 4 5" xfId="19316"/>
    <cellStyle name="Comma 71 4 6" xfId="10408"/>
    <cellStyle name="Comma 71 5" xfId="4151"/>
    <cellStyle name="Comma 71 5 2" xfId="7953"/>
    <cellStyle name="Comma 71 5 2 2" xfId="22060"/>
    <cellStyle name="Comma 71 5 2 3" xfId="16587"/>
    <cellStyle name="Comma 71 5 3" xfId="13784"/>
    <cellStyle name="Comma 71 5 4" xfId="19317"/>
    <cellStyle name="Comma 71 5 5" xfId="11200"/>
    <cellStyle name="Comma 71 6" xfId="4152"/>
    <cellStyle name="Comma 72" xfId="2253"/>
    <cellStyle name="Comma 72 2" xfId="4153"/>
    <cellStyle name="Comma 72 2 10" xfId="24395"/>
    <cellStyle name="Comma 72 2 11" xfId="41469"/>
    <cellStyle name="Comma 72 2 2" xfId="4154"/>
    <cellStyle name="Comma 72 2 2 2" xfId="4155"/>
    <cellStyle name="Comma 72 2 2 2 2" xfId="8307"/>
    <cellStyle name="Comma 72 2 2 2 2 2" xfId="22414"/>
    <cellStyle name="Comma 72 2 2 2 2 3" xfId="16941"/>
    <cellStyle name="Comma 72 2 2 2 3" xfId="13787"/>
    <cellStyle name="Comma 72 2 2 2 4" xfId="19320"/>
    <cellStyle name="Comma 72 2 2 2 5" xfId="11555"/>
    <cellStyle name="Comma 72 2 2 3" xfId="4156"/>
    <cellStyle name="Comma 72 2 2 3 2" xfId="9105"/>
    <cellStyle name="Comma 72 2 2 3 2 2" xfId="23206"/>
    <cellStyle name="Comma 72 2 2 3 2 3" xfId="17739"/>
    <cellStyle name="Comma 72 2 2 3 3" xfId="13788"/>
    <cellStyle name="Comma 72 2 2 3 4" xfId="19321"/>
    <cellStyle name="Comma 72 2 2 3 5" xfId="12350"/>
    <cellStyle name="Comma 72 2 2 4" xfId="7515"/>
    <cellStyle name="Comma 72 2 2 4 2" xfId="21622"/>
    <cellStyle name="Comma 72 2 2 4 3" xfId="16149"/>
    <cellStyle name="Comma 72 2 2 5" xfId="13786"/>
    <cellStyle name="Comma 72 2 2 6" xfId="19319"/>
    <cellStyle name="Comma 72 2 2 7" xfId="10762"/>
    <cellStyle name="Comma 72 2 3" xfId="4157"/>
    <cellStyle name="Comma 72 2 3 2" xfId="4158"/>
    <cellStyle name="Comma 72 2 3 2 2" xfId="8567"/>
    <cellStyle name="Comma 72 2 3 2 2 2" xfId="22674"/>
    <cellStyle name="Comma 72 2 3 2 2 3" xfId="17201"/>
    <cellStyle name="Comma 72 2 3 2 3" xfId="13790"/>
    <cellStyle name="Comma 72 2 3 2 4" xfId="19323"/>
    <cellStyle name="Comma 72 2 3 2 5" xfId="11815"/>
    <cellStyle name="Comma 72 2 3 3" xfId="7775"/>
    <cellStyle name="Comma 72 2 3 3 2" xfId="21882"/>
    <cellStyle name="Comma 72 2 3 3 3" xfId="16409"/>
    <cellStyle name="Comma 72 2 3 4" xfId="13789"/>
    <cellStyle name="Comma 72 2 3 5" xfId="19322"/>
    <cellStyle name="Comma 72 2 3 6" xfId="11022"/>
    <cellStyle name="Comma 72 2 4" xfId="4159"/>
    <cellStyle name="Comma 72 2 4 2" xfId="6493"/>
    <cellStyle name="Comma 72 2 4 2 2" xfId="8929"/>
    <cellStyle name="Comma 72 2 4 2 2 2" xfId="23030"/>
    <cellStyle name="Comma 72 2 4 2 2 3" xfId="17563"/>
    <cellStyle name="Comma 72 2 4 2 3" xfId="15322"/>
    <cellStyle name="Comma 72 2 4 2 4" xfId="20816"/>
    <cellStyle name="Comma 72 2 4 2 5" xfId="12173"/>
    <cellStyle name="Comma 72 2 4 3" xfId="7339"/>
    <cellStyle name="Comma 72 2 4 3 2" xfId="21446"/>
    <cellStyle name="Comma 72 2 4 3 3" xfId="15973"/>
    <cellStyle name="Comma 72 2 4 4" xfId="13791"/>
    <cellStyle name="Comma 72 2 4 5" xfId="19324"/>
    <cellStyle name="Comma 72 2 4 6" xfId="10586"/>
    <cellStyle name="Comma 72 2 5" xfId="4160"/>
    <cellStyle name="Comma 72 2 5 2" xfId="8131"/>
    <cellStyle name="Comma 72 2 5 2 2" xfId="22238"/>
    <cellStyle name="Comma 72 2 5 2 3" xfId="16765"/>
    <cellStyle name="Comma 72 2 5 3" xfId="13792"/>
    <cellStyle name="Comma 72 2 5 4" xfId="19325"/>
    <cellStyle name="Comma 72 2 5 5" xfId="11378"/>
    <cellStyle name="Comma 72 2 6" xfId="6980"/>
    <cellStyle name="Comma 72 2 6 2" xfId="21090"/>
    <cellStyle name="Comma 72 2 6 3" xfId="15617"/>
    <cellStyle name="Comma 72 2 7" xfId="13785"/>
    <cellStyle name="Comma 72 2 8" xfId="19318"/>
    <cellStyle name="Comma 72 2 9" xfId="10230"/>
    <cellStyle name="Comma 72 3" xfId="4161"/>
    <cellStyle name="Comma 72 3 2" xfId="41470"/>
    <cellStyle name="Comma 72 4" xfId="4162"/>
    <cellStyle name="Comma 72 4 2" xfId="6317"/>
    <cellStyle name="Comma 72 4 2 2" xfId="8753"/>
    <cellStyle name="Comma 72 4 2 2 2" xfId="22854"/>
    <cellStyle name="Comma 72 4 2 2 3" xfId="17387"/>
    <cellStyle name="Comma 72 4 2 3" xfId="15146"/>
    <cellStyle name="Comma 72 4 2 4" xfId="20640"/>
    <cellStyle name="Comma 72 4 2 5" xfId="11997"/>
    <cellStyle name="Comma 72 4 3" xfId="7163"/>
    <cellStyle name="Comma 72 4 3 2" xfId="21270"/>
    <cellStyle name="Comma 72 4 3 3" xfId="15797"/>
    <cellStyle name="Comma 72 4 4" xfId="13793"/>
    <cellStyle name="Comma 72 4 5" xfId="19326"/>
    <cellStyle name="Comma 72 4 6" xfId="10410"/>
    <cellStyle name="Comma 72 5" xfId="4163"/>
    <cellStyle name="Comma 72 5 2" xfId="7955"/>
    <cellStyle name="Comma 72 5 2 2" xfId="22062"/>
    <cellStyle name="Comma 72 5 2 3" xfId="16589"/>
    <cellStyle name="Comma 72 5 3" xfId="13794"/>
    <cellStyle name="Comma 72 5 4" xfId="19327"/>
    <cellStyle name="Comma 72 5 5" xfId="11202"/>
    <cellStyle name="Comma 73" xfId="2277"/>
    <cellStyle name="Comma 73 2" xfId="4164"/>
    <cellStyle name="Comma 73 2 10" xfId="24585"/>
    <cellStyle name="Comma 73 2 11" xfId="41471"/>
    <cellStyle name="Comma 73 2 2" xfId="4165"/>
    <cellStyle name="Comma 73 2 2 2" xfId="4166"/>
    <cellStyle name="Comma 73 2 2 2 2" xfId="8309"/>
    <cellStyle name="Comma 73 2 2 2 2 2" xfId="22416"/>
    <cellStyle name="Comma 73 2 2 2 2 3" xfId="16943"/>
    <cellStyle name="Comma 73 2 2 2 3" xfId="13797"/>
    <cellStyle name="Comma 73 2 2 2 4" xfId="19330"/>
    <cellStyle name="Comma 73 2 2 2 5" xfId="11557"/>
    <cellStyle name="Comma 73 2 2 3" xfId="4167"/>
    <cellStyle name="Comma 73 2 2 3 2" xfId="9107"/>
    <cellStyle name="Comma 73 2 2 3 2 2" xfId="23208"/>
    <cellStyle name="Comma 73 2 2 3 2 3" xfId="17741"/>
    <cellStyle name="Comma 73 2 2 3 3" xfId="13798"/>
    <cellStyle name="Comma 73 2 2 3 4" xfId="19331"/>
    <cellStyle name="Comma 73 2 2 3 5" xfId="12352"/>
    <cellStyle name="Comma 73 2 2 4" xfId="7517"/>
    <cellStyle name="Comma 73 2 2 4 2" xfId="21624"/>
    <cellStyle name="Comma 73 2 2 4 3" xfId="16151"/>
    <cellStyle name="Comma 73 2 2 5" xfId="13796"/>
    <cellStyle name="Comma 73 2 2 6" xfId="19329"/>
    <cellStyle name="Comma 73 2 2 7" xfId="10764"/>
    <cellStyle name="Comma 73 2 3" xfId="4168"/>
    <cellStyle name="Comma 73 2 3 2" xfId="4169"/>
    <cellStyle name="Comma 73 2 3 2 2" xfId="8569"/>
    <cellStyle name="Comma 73 2 3 2 2 2" xfId="22676"/>
    <cellStyle name="Comma 73 2 3 2 2 3" xfId="17203"/>
    <cellStyle name="Comma 73 2 3 2 3" xfId="13800"/>
    <cellStyle name="Comma 73 2 3 2 4" xfId="19333"/>
    <cellStyle name="Comma 73 2 3 2 5" xfId="11817"/>
    <cellStyle name="Comma 73 2 3 3" xfId="7777"/>
    <cellStyle name="Comma 73 2 3 3 2" xfId="21884"/>
    <cellStyle name="Comma 73 2 3 3 3" xfId="16411"/>
    <cellStyle name="Comma 73 2 3 4" xfId="13799"/>
    <cellStyle name="Comma 73 2 3 5" xfId="19332"/>
    <cellStyle name="Comma 73 2 3 6" xfId="11024"/>
    <cellStyle name="Comma 73 2 4" xfId="4170"/>
    <cellStyle name="Comma 73 2 4 2" xfId="6495"/>
    <cellStyle name="Comma 73 2 4 2 2" xfId="8931"/>
    <cellStyle name="Comma 73 2 4 2 2 2" xfId="23032"/>
    <cellStyle name="Comma 73 2 4 2 2 3" xfId="17565"/>
    <cellStyle name="Comma 73 2 4 2 3" xfId="15324"/>
    <cellStyle name="Comma 73 2 4 2 4" xfId="20818"/>
    <cellStyle name="Comma 73 2 4 2 5" xfId="12175"/>
    <cellStyle name="Comma 73 2 4 3" xfId="7341"/>
    <cellStyle name="Comma 73 2 4 3 2" xfId="21448"/>
    <cellStyle name="Comma 73 2 4 3 3" xfId="15975"/>
    <cellStyle name="Comma 73 2 4 4" xfId="13801"/>
    <cellStyle name="Comma 73 2 4 5" xfId="19334"/>
    <cellStyle name="Comma 73 2 4 6" xfId="10588"/>
    <cellStyle name="Comma 73 2 5" xfId="4171"/>
    <cellStyle name="Comma 73 2 5 2" xfId="8133"/>
    <cellStyle name="Comma 73 2 5 2 2" xfId="22240"/>
    <cellStyle name="Comma 73 2 5 2 3" xfId="16767"/>
    <cellStyle name="Comma 73 2 5 3" xfId="13802"/>
    <cellStyle name="Comma 73 2 5 4" xfId="19335"/>
    <cellStyle name="Comma 73 2 5 5" xfId="11380"/>
    <cellStyle name="Comma 73 2 6" xfId="6982"/>
    <cellStyle name="Comma 73 2 6 2" xfId="21092"/>
    <cellStyle name="Comma 73 2 6 3" xfId="15619"/>
    <cellStyle name="Comma 73 2 7" xfId="13795"/>
    <cellStyle name="Comma 73 2 8" xfId="19328"/>
    <cellStyle name="Comma 73 2 9" xfId="10232"/>
    <cellStyle name="Comma 73 3" xfId="4172"/>
    <cellStyle name="Comma 73 3 2" xfId="41472"/>
    <cellStyle name="Comma 73 4" xfId="4173"/>
    <cellStyle name="Comma 73 4 2" xfId="6319"/>
    <cellStyle name="Comma 73 4 2 2" xfId="8755"/>
    <cellStyle name="Comma 73 4 2 2 2" xfId="22856"/>
    <cellStyle name="Comma 73 4 2 2 3" xfId="17389"/>
    <cellStyle name="Comma 73 4 2 3" xfId="15148"/>
    <cellStyle name="Comma 73 4 2 4" xfId="20642"/>
    <cellStyle name="Comma 73 4 2 5" xfId="11999"/>
    <cellStyle name="Comma 73 4 3" xfId="7165"/>
    <cellStyle name="Comma 73 4 3 2" xfId="21272"/>
    <cellStyle name="Comma 73 4 3 3" xfId="15799"/>
    <cellStyle name="Comma 73 4 4" xfId="13803"/>
    <cellStyle name="Comma 73 4 5" xfId="19336"/>
    <cellStyle name="Comma 73 4 6" xfId="10412"/>
    <cellStyle name="Comma 73 5" xfId="4174"/>
    <cellStyle name="Comma 73 5 2" xfId="7957"/>
    <cellStyle name="Comma 73 5 2 2" xfId="22064"/>
    <cellStyle name="Comma 73 5 2 3" xfId="16591"/>
    <cellStyle name="Comma 73 5 3" xfId="13804"/>
    <cellStyle name="Comma 73 5 4" xfId="19337"/>
    <cellStyle name="Comma 73 5 5" xfId="11204"/>
    <cellStyle name="Comma 74" xfId="2280"/>
    <cellStyle name="Comma 74 2" xfId="4175"/>
    <cellStyle name="Comma 74 2 10" xfId="24582"/>
    <cellStyle name="Comma 74 2 11" xfId="41473"/>
    <cellStyle name="Comma 74 2 2" xfId="4176"/>
    <cellStyle name="Comma 74 2 2 2" xfId="4177"/>
    <cellStyle name="Comma 74 2 2 2 2" xfId="8311"/>
    <cellStyle name="Comma 74 2 2 2 2 2" xfId="22418"/>
    <cellStyle name="Comma 74 2 2 2 2 3" xfId="16945"/>
    <cellStyle name="Comma 74 2 2 2 3" xfId="13807"/>
    <cellStyle name="Comma 74 2 2 2 4" xfId="19340"/>
    <cellStyle name="Comma 74 2 2 2 5" xfId="11559"/>
    <cellStyle name="Comma 74 2 2 3" xfId="4178"/>
    <cellStyle name="Comma 74 2 2 3 2" xfId="9109"/>
    <cellStyle name="Comma 74 2 2 3 2 2" xfId="23210"/>
    <cellStyle name="Comma 74 2 2 3 2 3" xfId="17743"/>
    <cellStyle name="Comma 74 2 2 3 3" xfId="13808"/>
    <cellStyle name="Comma 74 2 2 3 4" xfId="19341"/>
    <cellStyle name="Comma 74 2 2 3 5" xfId="12354"/>
    <cellStyle name="Comma 74 2 2 4" xfId="7519"/>
    <cellStyle name="Comma 74 2 2 4 2" xfId="21626"/>
    <cellStyle name="Comma 74 2 2 4 3" xfId="16153"/>
    <cellStyle name="Comma 74 2 2 5" xfId="13806"/>
    <cellStyle name="Comma 74 2 2 6" xfId="19339"/>
    <cellStyle name="Comma 74 2 2 7" xfId="10766"/>
    <cellStyle name="Comma 74 2 3" xfId="4179"/>
    <cellStyle name="Comma 74 2 3 2" xfId="4180"/>
    <cellStyle name="Comma 74 2 3 2 2" xfId="8571"/>
    <cellStyle name="Comma 74 2 3 2 2 2" xfId="22678"/>
    <cellStyle name="Comma 74 2 3 2 2 3" xfId="17205"/>
    <cellStyle name="Comma 74 2 3 2 3" xfId="13810"/>
    <cellStyle name="Comma 74 2 3 2 4" xfId="19343"/>
    <cellStyle name="Comma 74 2 3 2 5" xfId="11819"/>
    <cellStyle name="Comma 74 2 3 3" xfId="7779"/>
    <cellStyle name="Comma 74 2 3 3 2" xfId="21886"/>
    <cellStyle name="Comma 74 2 3 3 3" xfId="16413"/>
    <cellStyle name="Comma 74 2 3 4" xfId="13809"/>
    <cellStyle name="Comma 74 2 3 5" xfId="19342"/>
    <cellStyle name="Comma 74 2 3 6" xfId="11026"/>
    <cellStyle name="Comma 74 2 4" xfId="4181"/>
    <cellStyle name="Comma 74 2 4 2" xfId="6497"/>
    <cellStyle name="Comma 74 2 4 2 2" xfId="8933"/>
    <cellStyle name="Comma 74 2 4 2 2 2" xfId="23034"/>
    <cellStyle name="Comma 74 2 4 2 2 3" xfId="17567"/>
    <cellStyle name="Comma 74 2 4 2 3" xfId="15326"/>
    <cellStyle name="Comma 74 2 4 2 4" xfId="20820"/>
    <cellStyle name="Comma 74 2 4 2 5" xfId="12177"/>
    <cellStyle name="Comma 74 2 4 3" xfId="7343"/>
    <cellStyle name="Comma 74 2 4 3 2" xfId="21450"/>
    <cellStyle name="Comma 74 2 4 3 3" xfId="15977"/>
    <cellStyle name="Comma 74 2 4 4" xfId="13811"/>
    <cellStyle name="Comma 74 2 4 5" xfId="19344"/>
    <cellStyle name="Comma 74 2 4 6" xfId="10590"/>
    <cellStyle name="Comma 74 2 5" xfId="4182"/>
    <cellStyle name="Comma 74 2 5 2" xfId="8135"/>
    <cellStyle name="Comma 74 2 5 2 2" xfId="22242"/>
    <cellStyle name="Comma 74 2 5 2 3" xfId="16769"/>
    <cellStyle name="Comma 74 2 5 3" xfId="13812"/>
    <cellStyle name="Comma 74 2 5 4" xfId="19345"/>
    <cellStyle name="Comma 74 2 5 5" xfId="11382"/>
    <cellStyle name="Comma 74 2 6" xfId="6984"/>
    <cellStyle name="Comma 74 2 6 2" xfId="21094"/>
    <cellStyle name="Comma 74 2 6 3" xfId="15621"/>
    <cellStyle name="Comma 74 2 7" xfId="13805"/>
    <cellStyle name="Comma 74 2 8" xfId="19338"/>
    <cellStyle name="Comma 74 2 9" xfId="10234"/>
    <cellStyle name="Comma 74 3" xfId="4183"/>
    <cellStyle name="Comma 74 3 2" xfId="41474"/>
    <cellStyle name="Comma 74 4" xfId="4184"/>
    <cellStyle name="Comma 74 4 2" xfId="6321"/>
    <cellStyle name="Comma 74 4 2 2" xfId="8757"/>
    <cellStyle name="Comma 74 4 2 2 2" xfId="22858"/>
    <cellStyle name="Comma 74 4 2 2 3" xfId="17391"/>
    <cellStyle name="Comma 74 4 2 3" xfId="15150"/>
    <cellStyle name="Comma 74 4 2 4" xfId="20644"/>
    <cellStyle name="Comma 74 4 2 5" xfId="12001"/>
    <cellStyle name="Comma 74 4 3" xfId="7167"/>
    <cellStyle name="Comma 74 4 3 2" xfId="21274"/>
    <cellStyle name="Comma 74 4 3 3" xfId="15801"/>
    <cellStyle name="Comma 74 4 4" xfId="13813"/>
    <cellStyle name="Comma 74 4 5" xfId="19346"/>
    <cellStyle name="Comma 74 4 6" xfId="10414"/>
    <cellStyle name="Comma 74 5" xfId="4185"/>
    <cellStyle name="Comma 74 5 2" xfId="7959"/>
    <cellStyle name="Comma 74 5 2 2" xfId="22066"/>
    <cellStyle name="Comma 74 5 2 3" xfId="16593"/>
    <cellStyle name="Comma 74 5 3" xfId="13814"/>
    <cellStyle name="Comma 74 5 4" xfId="19347"/>
    <cellStyle name="Comma 74 5 5" xfId="11206"/>
    <cellStyle name="Comma 75" xfId="2272"/>
    <cellStyle name="Comma 75 2" xfId="4186"/>
    <cellStyle name="Comma 75 2 10" xfId="24583"/>
    <cellStyle name="Comma 75 2 11" xfId="41475"/>
    <cellStyle name="Comma 75 2 2" xfId="4187"/>
    <cellStyle name="Comma 75 2 2 2" xfId="4188"/>
    <cellStyle name="Comma 75 2 2 2 2" xfId="8313"/>
    <cellStyle name="Comma 75 2 2 2 2 2" xfId="22420"/>
    <cellStyle name="Comma 75 2 2 2 2 3" xfId="16947"/>
    <cellStyle name="Comma 75 2 2 2 3" xfId="13817"/>
    <cellStyle name="Comma 75 2 2 2 4" xfId="19350"/>
    <cellStyle name="Comma 75 2 2 2 5" xfId="11561"/>
    <cellStyle name="Comma 75 2 2 3" xfId="4189"/>
    <cellStyle name="Comma 75 2 2 3 2" xfId="9111"/>
    <cellStyle name="Comma 75 2 2 3 2 2" xfId="23212"/>
    <cellStyle name="Comma 75 2 2 3 2 3" xfId="17745"/>
    <cellStyle name="Comma 75 2 2 3 3" xfId="13818"/>
    <cellStyle name="Comma 75 2 2 3 4" xfId="19351"/>
    <cellStyle name="Comma 75 2 2 3 5" xfId="12356"/>
    <cellStyle name="Comma 75 2 2 4" xfId="7521"/>
    <cellStyle name="Comma 75 2 2 4 2" xfId="21628"/>
    <cellStyle name="Comma 75 2 2 4 3" xfId="16155"/>
    <cellStyle name="Comma 75 2 2 5" xfId="13816"/>
    <cellStyle name="Comma 75 2 2 6" xfId="19349"/>
    <cellStyle name="Comma 75 2 2 7" xfId="10768"/>
    <cellStyle name="Comma 75 2 3" xfId="4190"/>
    <cellStyle name="Comma 75 2 3 2" xfId="4191"/>
    <cellStyle name="Comma 75 2 3 2 2" xfId="8573"/>
    <cellStyle name="Comma 75 2 3 2 2 2" xfId="22680"/>
    <cellStyle name="Comma 75 2 3 2 2 3" xfId="17207"/>
    <cellStyle name="Comma 75 2 3 2 3" xfId="13820"/>
    <cellStyle name="Comma 75 2 3 2 4" xfId="19353"/>
    <cellStyle name="Comma 75 2 3 2 5" xfId="11821"/>
    <cellStyle name="Comma 75 2 3 3" xfId="7781"/>
    <cellStyle name="Comma 75 2 3 3 2" xfId="21888"/>
    <cellStyle name="Comma 75 2 3 3 3" xfId="16415"/>
    <cellStyle name="Comma 75 2 3 4" xfId="13819"/>
    <cellStyle name="Comma 75 2 3 5" xfId="19352"/>
    <cellStyle name="Comma 75 2 3 6" xfId="11028"/>
    <cellStyle name="Comma 75 2 4" xfId="4192"/>
    <cellStyle name="Comma 75 2 4 2" xfId="6499"/>
    <cellStyle name="Comma 75 2 4 2 2" xfId="8935"/>
    <cellStyle name="Comma 75 2 4 2 2 2" xfId="23036"/>
    <cellStyle name="Comma 75 2 4 2 2 3" xfId="17569"/>
    <cellStyle name="Comma 75 2 4 2 3" xfId="15328"/>
    <cellStyle name="Comma 75 2 4 2 4" xfId="20822"/>
    <cellStyle name="Comma 75 2 4 2 5" xfId="12179"/>
    <cellStyle name="Comma 75 2 4 3" xfId="7345"/>
    <cellStyle name="Comma 75 2 4 3 2" xfId="21452"/>
    <cellStyle name="Comma 75 2 4 3 3" xfId="15979"/>
    <cellStyle name="Comma 75 2 4 4" xfId="13821"/>
    <cellStyle name="Comma 75 2 4 5" xfId="19354"/>
    <cellStyle name="Comma 75 2 4 6" xfId="10592"/>
    <cellStyle name="Comma 75 2 5" xfId="4193"/>
    <cellStyle name="Comma 75 2 5 2" xfId="8137"/>
    <cellStyle name="Comma 75 2 5 2 2" xfId="22244"/>
    <cellStyle name="Comma 75 2 5 2 3" xfId="16771"/>
    <cellStyle name="Comma 75 2 5 3" xfId="13822"/>
    <cellStyle name="Comma 75 2 5 4" xfId="19355"/>
    <cellStyle name="Comma 75 2 5 5" xfId="11384"/>
    <cellStyle name="Comma 75 2 6" xfId="6986"/>
    <cellStyle name="Comma 75 2 6 2" xfId="21096"/>
    <cellStyle name="Comma 75 2 6 3" xfId="15623"/>
    <cellStyle name="Comma 75 2 7" xfId="13815"/>
    <cellStyle name="Comma 75 2 8" xfId="19348"/>
    <cellStyle name="Comma 75 2 9" xfId="10236"/>
    <cellStyle name="Comma 75 3" xfId="4194"/>
    <cellStyle name="Comma 75 3 2" xfId="41476"/>
    <cellStyle name="Comma 75 4" xfId="4195"/>
    <cellStyle name="Comma 75 4 2" xfId="6323"/>
    <cellStyle name="Comma 75 4 2 2" xfId="8759"/>
    <cellStyle name="Comma 75 4 2 2 2" xfId="22860"/>
    <cellStyle name="Comma 75 4 2 2 3" xfId="17393"/>
    <cellStyle name="Comma 75 4 2 3" xfId="15152"/>
    <cellStyle name="Comma 75 4 2 4" xfId="20646"/>
    <cellStyle name="Comma 75 4 2 5" xfId="12003"/>
    <cellStyle name="Comma 75 4 3" xfId="7169"/>
    <cellStyle name="Comma 75 4 3 2" xfId="21276"/>
    <cellStyle name="Comma 75 4 3 3" xfId="15803"/>
    <cellStyle name="Comma 75 4 4" xfId="13823"/>
    <cellStyle name="Comma 75 4 5" xfId="19356"/>
    <cellStyle name="Comma 75 4 6" xfId="10416"/>
    <cellStyle name="Comma 75 5" xfId="4196"/>
    <cellStyle name="Comma 75 5 2" xfId="7961"/>
    <cellStyle name="Comma 75 5 2 2" xfId="22068"/>
    <cellStyle name="Comma 75 5 2 3" xfId="16595"/>
    <cellStyle name="Comma 75 5 3" xfId="13824"/>
    <cellStyle name="Comma 75 5 4" xfId="19357"/>
    <cellStyle name="Comma 75 5 5" xfId="11208"/>
    <cellStyle name="Comma 76" xfId="2214"/>
    <cellStyle name="Comma 76 2" xfId="4197"/>
    <cellStyle name="Comma 76 2 10" xfId="15054"/>
    <cellStyle name="Comma 76 2 11" xfId="41477"/>
    <cellStyle name="Comma 76 2 2" xfId="4198"/>
    <cellStyle name="Comma 76 2 2 2" xfId="4199"/>
    <cellStyle name="Comma 76 2 2 2 2" xfId="8315"/>
    <cellStyle name="Comma 76 2 2 2 2 2" xfId="22422"/>
    <cellStyle name="Comma 76 2 2 2 2 3" xfId="16949"/>
    <cellStyle name="Comma 76 2 2 2 3" xfId="13827"/>
    <cellStyle name="Comma 76 2 2 2 4" xfId="19360"/>
    <cellStyle name="Comma 76 2 2 2 5" xfId="11563"/>
    <cellStyle name="Comma 76 2 2 3" xfId="4200"/>
    <cellStyle name="Comma 76 2 2 3 2" xfId="9113"/>
    <cellStyle name="Comma 76 2 2 3 2 2" xfId="23214"/>
    <cellStyle name="Comma 76 2 2 3 2 3" xfId="17747"/>
    <cellStyle name="Comma 76 2 2 3 3" xfId="13828"/>
    <cellStyle name="Comma 76 2 2 3 4" xfId="19361"/>
    <cellStyle name="Comma 76 2 2 3 5" xfId="12358"/>
    <cellStyle name="Comma 76 2 2 4" xfId="7523"/>
    <cellStyle name="Comma 76 2 2 4 2" xfId="21630"/>
    <cellStyle name="Comma 76 2 2 4 3" xfId="16157"/>
    <cellStyle name="Comma 76 2 2 5" xfId="13826"/>
    <cellStyle name="Comma 76 2 2 6" xfId="19359"/>
    <cellStyle name="Comma 76 2 2 7" xfId="10770"/>
    <cellStyle name="Comma 76 2 3" xfId="4201"/>
    <cellStyle name="Comma 76 2 3 2" xfId="4202"/>
    <cellStyle name="Comma 76 2 3 2 2" xfId="8575"/>
    <cellStyle name="Comma 76 2 3 2 2 2" xfId="22682"/>
    <cellStyle name="Comma 76 2 3 2 2 3" xfId="17209"/>
    <cellStyle name="Comma 76 2 3 2 3" xfId="13830"/>
    <cellStyle name="Comma 76 2 3 2 4" xfId="19363"/>
    <cellStyle name="Comma 76 2 3 2 5" xfId="11823"/>
    <cellStyle name="Comma 76 2 3 3" xfId="7783"/>
    <cellStyle name="Comma 76 2 3 3 2" xfId="21890"/>
    <cellStyle name="Comma 76 2 3 3 3" xfId="16417"/>
    <cellStyle name="Comma 76 2 3 4" xfId="13829"/>
    <cellStyle name="Comma 76 2 3 5" xfId="19362"/>
    <cellStyle name="Comma 76 2 3 6" xfId="11030"/>
    <cellStyle name="Comma 76 2 4" xfId="4203"/>
    <cellStyle name="Comma 76 2 4 2" xfId="6501"/>
    <cellStyle name="Comma 76 2 4 2 2" xfId="8937"/>
    <cellStyle name="Comma 76 2 4 2 2 2" xfId="23038"/>
    <cellStyle name="Comma 76 2 4 2 2 3" xfId="17571"/>
    <cellStyle name="Comma 76 2 4 2 3" xfId="15330"/>
    <cellStyle name="Comma 76 2 4 2 4" xfId="20824"/>
    <cellStyle name="Comma 76 2 4 2 5" xfId="12181"/>
    <cellStyle name="Comma 76 2 4 3" xfId="7347"/>
    <cellStyle name="Comma 76 2 4 3 2" xfId="21454"/>
    <cellStyle name="Comma 76 2 4 3 3" xfId="15981"/>
    <cellStyle name="Comma 76 2 4 4" xfId="13831"/>
    <cellStyle name="Comma 76 2 4 5" xfId="19364"/>
    <cellStyle name="Comma 76 2 4 6" xfId="10594"/>
    <cellStyle name="Comma 76 2 5" xfId="4204"/>
    <cellStyle name="Comma 76 2 5 2" xfId="8139"/>
    <cellStyle name="Comma 76 2 5 2 2" xfId="22246"/>
    <cellStyle name="Comma 76 2 5 2 3" xfId="16773"/>
    <cellStyle name="Comma 76 2 5 3" xfId="13832"/>
    <cellStyle name="Comma 76 2 5 4" xfId="19365"/>
    <cellStyle name="Comma 76 2 5 5" xfId="11386"/>
    <cellStyle name="Comma 76 2 6" xfId="6988"/>
    <cellStyle name="Comma 76 2 6 2" xfId="21098"/>
    <cellStyle name="Comma 76 2 6 3" xfId="15625"/>
    <cellStyle name="Comma 76 2 7" xfId="13825"/>
    <cellStyle name="Comma 76 2 8" xfId="19358"/>
    <cellStyle name="Comma 76 2 9" xfId="10238"/>
    <cellStyle name="Comma 76 3" xfId="4205"/>
    <cellStyle name="Comma 76 3 2" xfId="41478"/>
    <cellStyle name="Comma 76 4" xfId="4206"/>
    <cellStyle name="Comma 76 4 2" xfId="6325"/>
    <cellStyle name="Comma 76 4 2 2" xfId="8761"/>
    <cellStyle name="Comma 76 4 2 2 2" xfId="22862"/>
    <cellStyle name="Comma 76 4 2 2 3" xfId="17395"/>
    <cellStyle name="Comma 76 4 2 3" xfId="15154"/>
    <cellStyle name="Comma 76 4 2 4" xfId="20648"/>
    <cellStyle name="Comma 76 4 2 5" xfId="12005"/>
    <cellStyle name="Comma 76 4 3" xfId="7171"/>
    <cellStyle name="Comma 76 4 3 2" xfId="21278"/>
    <cellStyle name="Comma 76 4 3 3" xfId="15805"/>
    <cellStyle name="Comma 76 4 4" xfId="13833"/>
    <cellStyle name="Comma 76 4 5" xfId="19366"/>
    <cellStyle name="Comma 76 4 6" xfId="10418"/>
    <cellStyle name="Comma 76 5" xfId="4207"/>
    <cellStyle name="Comma 76 5 2" xfId="7963"/>
    <cellStyle name="Comma 76 5 2 2" xfId="22070"/>
    <cellStyle name="Comma 76 5 2 3" xfId="16597"/>
    <cellStyle name="Comma 76 5 3" xfId="13834"/>
    <cellStyle name="Comma 76 5 4" xfId="19367"/>
    <cellStyle name="Comma 76 5 5" xfId="11210"/>
    <cellStyle name="Comma 77" xfId="2275"/>
    <cellStyle name="Comma 77 2" xfId="4208"/>
    <cellStyle name="Comma 77 2 10" xfId="10077"/>
    <cellStyle name="Comma 77 2 11" xfId="41479"/>
    <cellStyle name="Comma 77 2 2" xfId="4209"/>
    <cellStyle name="Comma 77 2 2 2" xfId="4210"/>
    <cellStyle name="Comma 77 2 2 2 2" xfId="8284"/>
    <cellStyle name="Comma 77 2 2 2 2 2" xfId="22391"/>
    <cellStyle name="Comma 77 2 2 2 2 3" xfId="16918"/>
    <cellStyle name="Comma 77 2 2 2 3" xfId="13837"/>
    <cellStyle name="Comma 77 2 2 2 4" xfId="19370"/>
    <cellStyle name="Comma 77 2 2 2 5" xfId="11532"/>
    <cellStyle name="Comma 77 2 2 3" xfId="4211"/>
    <cellStyle name="Comma 77 2 2 3 2" xfId="9082"/>
    <cellStyle name="Comma 77 2 2 3 2 2" xfId="23183"/>
    <cellStyle name="Comma 77 2 2 3 2 3" xfId="17716"/>
    <cellStyle name="Comma 77 2 2 3 3" xfId="13838"/>
    <cellStyle name="Comma 77 2 2 3 4" xfId="19371"/>
    <cellStyle name="Comma 77 2 2 3 5" xfId="12327"/>
    <cellStyle name="Comma 77 2 2 4" xfId="7492"/>
    <cellStyle name="Comma 77 2 2 4 2" xfId="21599"/>
    <cellStyle name="Comma 77 2 2 4 3" xfId="16126"/>
    <cellStyle name="Comma 77 2 2 5" xfId="13836"/>
    <cellStyle name="Comma 77 2 2 6" xfId="19369"/>
    <cellStyle name="Comma 77 2 2 7" xfId="10739"/>
    <cellStyle name="Comma 77 2 3" xfId="4212"/>
    <cellStyle name="Comma 77 2 3 2" xfId="4213"/>
    <cellStyle name="Comma 77 2 3 2 2" xfId="8544"/>
    <cellStyle name="Comma 77 2 3 2 2 2" xfId="22651"/>
    <cellStyle name="Comma 77 2 3 2 2 3" xfId="17178"/>
    <cellStyle name="Comma 77 2 3 2 3" xfId="13840"/>
    <cellStyle name="Comma 77 2 3 2 4" xfId="19373"/>
    <cellStyle name="Comma 77 2 3 2 5" xfId="11792"/>
    <cellStyle name="Comma 77 2 3 3" xfId="7752"/>
    <cellStyle name="Comma 77 2 3 3 2" xfId="21859"/>
    <cellStyle name="Comma 77 2 3 3 3" xfId="16386"/>
    <cellStyle name="Comma 77 2 3 4" xfId="13839"/>
    <cellStyle name="Comma 77 2 3 5" xfId="19372"/>
    <cellStyle name="Comma 77 2 3 6" xfId="10999"/>
    <cellStyle name="Comma 77 2 4" xfId="4214"/>
    <cellStyle name="Comma 77 2 4 2" xfId="6470"/>
    <cellStyle name="Comma 77 2 4 2 2" xfId="8906"/>
    <cellStyle name="Comma 77 2 4 2 2 2" xfId="23007"/>
    <cellStyle name="Comma 77 2 4 2 2 3" xfId="17540"/>
    <cellStyle name="Comma 77 2 4 2 3" xfId="15299"/>
    <cellStyle name="Comma 77 2 4 2 4" xfId="20793"/>
    <cellStyle name="Comma 77 2 4 2 5" xfId="12150"/>
    <cellStyle name="Comma 77 2 4 3" xfId="7316"/>
    <cellStyle name="Comma 77 2 4 3 2" xfId="21423"/>
    <cellStyle name="Comma 77 2 4 3 3" xfId="15950"/>
    <cellStyle name="Comma 77 2 4 4" xfId="13841"/>
    <cellStyle name="Comma 77 2 4 5" xfId="19374"/>
    <cellStyle name="Comma 77 2 4 6" xfId="10563"/>
    <cellStyle name="Comma 77 2 5" xfId="4215"/>
    <cellStyle name="Comma 77 2 5 2" xfId="8108"/>
    <cellStyle name="Comma 77 2 5 2 2" xfId="22215"/>
    <cellStyle name="Comma 77 2 5 2 3" xfId="16742"/>
    <cellStyle name="Comma 77 2 5 3" xfId="13842"/>
    <cellStyle name="Comma 77 2 5 4" xfId="19375"/>
    <cellStyle name="Comma 77 2 5 5" xfId="11355"/>
    <cellStyle name="Comma 77 2 6" xfId="6957"/>
    <cellStyle name="Comma 77 2 6 2" xfId="21067"/>
    <cellStyle name="Comma 77 2 6 3" xfId="15594"/>
    <cellStyle name="Comma 77 2 7" xfId="13835"/>
    <cellStyle name="Comma 77 2 8" xfId="19368"/>
    <cellStyle name="Comma 77 2 9" xfId="10207"/>
    <cellStyle name="Comma 77 3" xfId="4216"/>
    <cellStyle name="Comma 77 3 2" xfId="41480"/>
    <cellStyle name="Comma 77 4" xfId="4217"/>
    <cellStyle name="Comma 77 4 2" xfId="6294"/>
    <cellStyle name="Comma 77 4 2 2" xfId="8730"/>
    <cellStyle name="Comma 77 4 2 2 2" xfId="22831"/>
    <cellStyle name="Comma 77 4 2 2 3" xfId="17364"/>
    <cellStyle name="Comma 77 4 2 3" xfId="15123"/>
    <cellStyle name="Comma 77 4 2 4" xfId="20617"/>
    <cellStyle name="Comma 77 4 2 5" xfId="11974"/>
    <cellStyle name="Comma 77 4 3" xfId="7140"/>
    <cellStyle name="Comma 77 4 3 2" xfId="21247"/>
    <cellStyle name="Comma 77 4 3 3" xfId="15774"/>
    <cellStyle name="Comma 77 4 4" xfId="13843"/>
    <cellStyle name="Comma 77 4 5" xfId="19376"/>
    <cellStyle name="Comma 77 4 6" xfId="10387"/>
    <cellStyle name="Comma 77 5" xfId="4218"/>
    <cellStyle name="Comma 77 5 2" xfId="7932"/>
    <cellStyle name="Comma 77 5 2 2" xfId="22039"/>
    <cellStyle name="Comma 77 5 2 3" xfId="16566"/>
    <cellStyle name="Comma 77 5 3" xfId="13844"/>
    <cellStyle name="Comma 77 5 4" xfId="19377"/>
    <cellStyle name="Comma 77 5 5" xfId="11179"/>
    <cellStyle name="Comma 78" xfId="2221"/>
    <cellStyle name="Comma 78 2" xfId="4219"/>
    <cellStyle name="Comma 78 2 10" xfId="24616"/>
    <cellStyle name="Comma 78 2 11" xfId="41481"/>
    <cellStyle name="Comma 78 2 2" xfId="4220"/>
    <cellStyle name="Comma 78 2 2 2" xfId="4221"/>
    <cellStyle name="Comma 78 2 2 2 2" xfId="8319"/>
    <cellStyle name="Comma 78 2 2 2 2 2" xfId="22426"/>
    <cellStyle name="Comma 78 2 2 2 2 3" xfId="16953"/>
    <cellStyle name="Comma 78 2 2 2 3" xfId="13847"/>
    <cellStyle name="Comma 78 2 2 2 4" xfId="19380"/>
    <cellStyle name="Comma 78 2 2 2 5" xfId="11567"/>
    <cellStyle name="Comma 78 2 2 3" xfId="4222"/>
    <cellStyle name="Comma 78 2 2 3 2" xfId="9117"/>
    <cellStyle name="Comma 78 2 2 3 2 2" xfId="23218"/>
    <cellStyle name="Comma 78 2 2 3 2 3" xfId="17751"/>
    <cellStyle name="Comma 78 2 2 3 3" xfId="13848"/>
    <cellStyle name="Comma 78 2 2 3 4" xfId="19381"/>
    <cellStyle name="Comma 78 2 2 3 5" xfId="12362"/>
    <cellStyle name="Comma 78 2 2 4" xfId="7527"/>
    <cellStyle name="Comma 78 2 2 4 2" xfId="21634"/>
    <cellStyle name="Comma 78 2 2 4 3" xfId="16161"/>
    <cellStyle name="Comma 78 2 2 5" xfId="13846"/>
    <cellStyle name="Comma 78 2 2 6" xfId="19379"/>
    <cellStyle name="Comma 78 2 2 7" xfId="10774"/>
    <cellStyle name="Comma 78 2 3" xfId="4223"/>
    <cellStyle name="Comma 78 2 3 2" xfId="4224"/>
    <cellStyle name="Comma 78 2 3 2 2" xfId="8579"/>
    <cellStyle name="Comma 78 2 3 2 2 2" xfId="22686"/>
    <cellStyle name="Comma 78 2 3 2 2 3" xfId="17213"/>
    <cellStyle name="Comma 78 2 3 2 3" xfId="13850"/>
    <cellStyle name="Comma 78 2 3 2 4" xfId="19383"/>
    <cellStyle name="Comma 78 2 3 2 5" xfId="11827"/>
    <cellStyle name="Comma 78 2 3 3" xfId="7787"/>
    <cellStyle name="Comma 78 2 3 3 2" xfId="21894"/>
    <cellStyle name="Comma 78 2 3 3 3" xfId="16421"/>
    <cellStyle name="Comma 78 2 3 4" xfId="13849"/>
    <cellStyle name="Comma 78 2 3 5" xfId="19382"/>
    <cellStyle name="Comma 78 2 3 6" xfId="11034"/>
    <cellStyle name="Comma 78 2 4" xfId="4225"/>
    <cellStyle name="Comma 78 2 4 2" xfId="6505"/>
    <cellStyle name="Comma 78 2 4 2 2" xfId="8941"/>
    <cellStyle name="Comma 78 2 4 2 2 2" xfId="23042"/>
    <cellStyle name="Comma 78 2 4 2 2 3" xfId="17575"/>
    <cellStyle name="Comma 78 2 4 2 3" xfId="15334"/>
    <cellStyle name="Comma 78 2 4 2 4" xfId="20828"/>
    <cellStyle name="Comma 78 2 4 2 5" xfId="12185"/>
    <cellStyle name="Comma 78 2 4 3" xfId="7351"/>
    <cellStyle name="Comma 78 2 4 3 2" xfId="21458"/>
    <cellStyle name="Comma 78 2 4 3 3" xfId="15985"/>
    <cellStyle name="Comma 78 2 4 4" xfId="13851"/>
    <cellStyle name="Comma 78 2 4 5" xfId="19384"/>
    <cellStyle name="Comma 78 2 4 6" xfId="10598"/>
    <cellStyle name="Comma 78 2 5" xfId="4226"/>
    <cellStyle name="Comma 78 2 5 2" xfId="8143"/>
    <cellStyle name="Comma 78 2 5 2 2" xfId="22250"/>
    <cellStyle name="Comma 78 2 5 2 3" xfId="16777"/>
    <cellStyle name="Comma 78 2 5 3" xfId="13852"/>
    <cellStyle name="Comma 78 2 5 4" xfId="19385"/>
    <cellStyle name="Comma 78 2 5 5" xfId="11390"/>
    <cellStyle name="Comma 78 2 6" xfId="6992"/>
    <cellStyle name="Comma 78 2 6 2" xfId="21102"/>
    <cellStyle name="Comma 78 2 6 3" xfId="15629"/>
    <cellStyle name="Comma 78 2 7" xfId="13845"/>
    <cellStyle name="Comma 78 2 8" xfId="19378"/>
    <cellStyle name="Comma 78 2 9" xfId="10242"/>
    <cellStyle name="Comma 78 3" xfId="4227"/>
    <cellStyle name="Comma 78 3 2" xfId="41482"/>
    <cellStyle name="Comma 78 4" xfId="4228"/>
    <cellStyle name="Comma 78 4 2" xfId="6329"/>
    <cellStyle name="Comma 78 4 2 2" xfId="8765"/>
    <cellStyle name="Comma 78 4 2 2 2" xfId="22866"/>
    <cellStyle name="Comma 78 4 2 2 3" xfId="17399"/>
    <cellStyle name="Comma 78 4 2 3" xfId="15158"/>
    <cellStyle name="Comma 78 4 2 4" xfId="20652"/>
    <cellStyle name="Comma 78 4 2 5" xfId="12009"/>
    <cellStyle name="Comma 78 4 3" xfId="7175"/>
    <cellStyle name="Comma 78 4 3 2" xfId="21282"/>
    <cellStyle name="Comma 78 4 3 3" xfId="15809"/>
    <cellStyle name="Comma 78 4 4" xfId="13853"/>
    <cellStyle name="Comma 78 4 5" xfId="19386"/>
    <cellStyle name="Comma 78 4 6" xfId="10422"/>
    <cellStyle name="Comma 78 5" xfId="4229"/>
    <cellStyle name="Comma 78 5 2" xfId="7967"/>
    <cellStyle name="Comma 78 5 2 2" xfId="22074"/>
    <cellStyle name="Comma 78 5 2 3" xfId="16601"/>
    <cellStyle name="Comma 78 5 3" xfId="13854"/>
    <cellStyle name="Comma 78 5 4" xfId="19387"/>
    <cellStyle name="Comma 78 5 5" xfId="11214"/>
    <cellStyle name="Comma 79" xfId="2224"/>
    <cellStyle name="Comma 79 2" xfId="4230"/>
    <cellStyle name="Comma 79 2 10" xfId="24644"/>
    <cellStyle name="Comma 79 2 11" xfId="43931"/>
    <cellStyle name="Comma 79 2 2" xfId="4231"/>
    <cellStyle name="Comma 79 2 2 10" xfId="43932"/>
    <cellStyle name="Comma 79 2 2 2" xfId="4232"/>
    <cellStyle name="Comma 79 2 2 2 2" xfId="8320"/>
    <cellStyle name="Comma 79 2 2 2 2 2" xfId="22427"/>
    <cellStyle name="Comma 79 2 2 2 2 3" xfId="16954"/>
    <cellStyle name="Comma 79 2 2 2 2 4" xfId="42684"/>
    <cellStyle name="Comma 79 2 2 2 3" xfId="13857"/>
    <cellStyle name="Comma 79 2 2 2 3 2" xfId="42835"/>
    <cellStyle name="Comma 79 2 2 2 4" xfId="19390"/>
    <cellStyle name="Comma 79 2 2 2 4 2" xfId="43643"/>
    <cellStyle name="Comma 79 2 2 2 5" xfId="11568"/>
    <cellStyle name="Comma 79 2 2 2 5 2" xfId="43513"/>
    <cellStyle name="Comma 79 2 2 2 6" xfId="42488"/>
    <cellStyle name="Comma 79 2 2 3" xfId="4233"/>
    <cellStyle name="Comma 79 2 2 3 2" xfId="9118"/>
    <cellStyle name="Comma 79 2 2 3 2 2" xfId="23219"/>
    <cellStyle name="Comma 79 2 2 3 2 3" xfId="17752"/>
    <cellStyle name="Comma 79 2 2 3 2 4" xfId="42903"/>
    <cellStyle name="Comma 79 2 2 3 3" xfId="13858"/>
    <cellStyle name="Comma 79 2 2 3 4" xfId="19391"/>
    <cellStyle name="Comma 79 2 2 3 5" xfId="12363"/>
    <cellStyle name="Comma 79 2 2 3 6" xfId="42555"/>
    <cellStyle name="Comma 79 2 2 4" xfId="7528"/>
    <cellStyle name="Comma 79 2 2 4 2" xfId="21635"/>
    <cellStyle name="Comma 79 2 2 4 3" xfId="16162"/>
    <cellStyle name="Comma 79 2 2 4 4" xfId="42617"/>
    <cellStyle name="Comma 79 2 2 5" xfId="13856"/>
    <cellStyle name="Comma 79 2 2 5 2" xfId="42764"/>
    <cellStyle name="Comma 79 2 2 6" xfId="19389"/>
    <cellStyle name="Comma 79 2 2 6 2" xfId="43705"/>
    <cellStyle name="Comma 79 2 2 7" xfId="10775"/>
    <cellStyle name="Comma 79 2 2 7 2" xfId="43758"/>
    <cellStyle name="Comma 79 2 2 8" xfId="41483"/>
    <cellStyle name="Comma 79 2 2 9" xfId="43446"/>
    <cellStyle name="Comma 79 2 3" xfId="4234"/>
    <cellStyle name="Comma 79 2 3 2" xfId="4235"/>
    <cellStyle name="Comma 79 2 3 2 2" xfId="8580"/>
    <cellStyle name="Comma 79 2 3 2 2 2" xfId="22687"/>
    <cellStyle name="Comma 79 2 3 2 2 3" xfId="17214"/>
    <cellStyle name="Comma 79 2 3 2 3" xfId="13860"/>
    <cellStyle name="Comma 79 2 3 2 4" xfId="19393"/>
    <cellStyle name="Comma 79 2 3 2 5" xfId="11828"/>
    <cellStyle name="Comma 79 2 3 2 6" xfId="42683"/>
    <cellStyle name="Comma 79 2 3 3" xfId="7788"/>
    <cellStyle name="Comma 79 2 3 3 2" xfId="21895"/>
    <cellStyle name="Comma 79 2 3 3 3" xfId="16422"/>
    <cellStyle name="Comma 79 2 3 3 4" xfId="42834"/>
    <cellStyle name="Comma 79 2 3 4" xfId="13859"/>
    <cellStyle name="Comma 79 2 3 4 2" xfId="43642"/>
    <cellStyle name="Comma 79 2 3 5" xfId="19392"/>
    <cellStyle name="Comma 79 2 3 5 2" xfId="43512"/>
    <cellStyle name="Comma 79 2 3 6" xfId="11035"/>
    <cellStyle name="Comma 79 2 3 6 2" xfId="43999"/>
    <cellStyle name="Comma 79 2 3 7" xfId="42487"/>
    <cellStyle name="Comma 79 2 4" xfId="4236"/>
    <cellStyle name="Comma 79 2 4 2" xfId="6506"/>
    <cellStyle name="Comma 79 2 4 2 2" xfId="8942"/>
    <cellStyle name="Comma 79 2 4 2 2 2" xfId="23043"/>
    <cellStyle name="Comma 79 2 4 2 2 3" xfId="17576"/>
    <cellStyle name="Comma 79 2 4 2 3" xfId="15335"/>
    <cellStyle name="Comma 79 2 4 2 4" xfId="20829"/>
    <cellStyle name="Comma 79 2 4 2 5" xfId="12186"/>
    <cellStyle name="Comma 79 2 4 2 6" xfId="42902"/>
    <cellStyle name="Comma 79 2 4 3" xfId="7352"/>
    <cellStyle name="Comma 79 2 4 3 2" xfId="21459"/>
    <cellStyle name="Comma 79 2 4 3 3" xfId="15986"/>
    <cellStyle name="Comma 79 2 4 4" xfId="13861"/>
    <cellStyle name="Comma 79 2 4 5" xfId="19394"/>
    <cellStyle name="Comma 79 2 4 6" xfId="10599"/>
    <cellStyle name="Comma 79 2 4 7" xfId="42554"/>
    <cellStyle name="Comma 79 2 5" xfId="4237"/>
    <cellStyle name="Comma 79 2 5 2" xfId="8144"/>
    <cellStyle name="Comma 79 2 5 2 2" xfId="22251"/>
    <cellStyle name="Comma 79 2 5 2 3" xfId="16778"/>
    <cellStyle name="Comma 79 2 5 3" xfId="13862"/>
    <cellStyle name="Comma 79 2 5 4" xfId="19395"/>
    <cellStyle name="Comma 79 2 5 5" xfId="11391"/>
    <cellStyle name="Comma 79 2 5 6" xfId="42616"/>
    <cellStyle name="Comma 79 2 6" xfId="6993"/>
    <cellStyle name="Comma 79 2 6 2" xfId="21103"/>
    <cellStyle name="Comma 79 2 6 3" xfId="15630"/>
    <cellStyle name="Comma 79 2 6 4" xfId="42763"/>
    <cellStyle name="Comma 79 2 7" xfId="13855"/>
    <cellStyle name="Comma 79 2 7 2" xfId="43704"/>
    <cellStyle name="Comma 79 2 8" xfId="19388"/>
    <cellStyle name="Comma 79 2 8 2" xfId="43757"/>
    <cellStyle name="Comma 79 2 9" xfId="10243"/>
    <cellStyle name="Comma 79 2 9 2" xfId="43582"/>
    <cellStyle name="Comma 79 3" xfId="4238"/>
    <cellStyle name="Comma 79 3 10" xfId="43447"/>
    <cellStyle name="Comma 79 3 11" xfId="43933"/>
    <cellStyle name="Comma 79 3 2" xfId="24397"/>
    <cellStyle name="Comma 79 3 2 10" xfId="43934"/>
    <cellStyle name="Comma 79 3 2 2" xfId="42490"/>
    <cellStyle name="Comma 79 3 2 2 2" xfId="42686"/>
    <cellStyle name="Comma 79 3 2 2 3" xfId="42837"/>
    <cellStyle name="Comma 79 3 2 2 4" xfId="43645"/>
    <cellStyle name="Comma 79 3 2 2 5" xfId="43515"/>
    <cellStyle name="Comma 79 3 2 2 6" xfId="44001"/>
    <cellStyle name="Comma 79 3 2 3" xfId="42557"/>
    <cellStyle name="Comma 79 3 2 3 2" xfId="42905"/>
    <cellStyle name="Comma 79 3 2 4" xfId="42619"/>
    <cellStyle name="Comma 79 3 2 5" xfId="42766"/>
    <cellStyle name="Comma 79 3 2 6" xfId="43707"/>
    <cellStyle name="Comma 79 3 2 7" xfId="43760"/>
    <cellStyle name="Comma 79 3 2 8" xfId="43584"/>
    <cellStyle name="Comma 79 3 2 9" xfId="43448"/>
    <cellStyle name="Comma 79 3 3" xfId="42489"/>
    <cellStyle name="Comma 79 3 3 2" xfId="42685"/>
    <cellStyle name="Comma 79 3 3 3" xfId="42836"/>
    <cellStyle name="Comma 79 3 3 4" xfId="43644"/>
    <cellStyle name="Comma 79 3 3 5" xfId="43514"/>
    <cellStyle name="Comma 79 3 3 6" xfId="44000"/>
    <cellStyle name="Comma 79 3 4" xfId="42556"/>
    <cellStyle name="Comma 79 3 4 2" xfId="42904"/>
    <cellStyle name="Comma 79 3 5" xfId="42618"/>
    <cellStyle name="Comma 79 3 6" xfId="42765"/>
    <cellStyle name="Comma 79 3 7" xfId="43706"/>
    <cellStyle name="Comma 79 3 8" xfId="43759"/>
    <cellStyle name="Comma 79 3 9" xfId="43583"/>
    <cellStyle name="Comma 79 4" xfId="4239"/>
    <cellStyle name="Comma 79 4 10" xfId="43449"/>
    <cellStyle name="Comma 79 4 11" xfId="43935"/>
    <cellStyle name="Comma 79 4 2" xfId="6330"/>
    <cellStyle name="Comma 79 4 2 10" xfId="43936"/>
    <cellStyle name="Comma 79 4 2 2" xfId="8766"/>
    <cellStyle name="Comma 79 4 2 2 2" xfId="22867"/>
    <cellStyle name="Comma 79 4 2 2 2 2" xfId="42688"/>
    <cellStyle name="Comma 79 4 2 2 3" xfId="17400"/>
    <cellStyle name="Comma 79 4 2 2 3 2" xfId="42839"/>
    <cellStyle name="Comma 79 4 2 2 4" xfId="42492"/>
    <cellStyle name="Comma 79 4 2 2 5" xfId="43517"/>
    <cellStyle name="Comma 79 4 2 2 6" xfId="44003"/>
    <cellStyle name="Comma 79 4 2 3" xfId="15159"/>
    <cellStyle name="Comma 79 4 2 3 2" xfId="42907"/>
    <cellStyle name="Comma 79 4 2 3 3" xfId="42559"/>
    <cellStyle name="Comma 79 4 2 4" xfId="20653"/>
    <cellStyle name="Comma 79 4 2 4 2" xfId="42621"/>
    <cellStyle name="Comma 79 4 2 5" xfId="12010"/>
    <cellStyle name="Comma 79 4 2 5 2" xfId="42768"/>
    <cellStyle name="Comma 79 4 2 6" xfId="41484"/>
    <cellStyle name="Comma 79 4 2 7" xfId="43762"/>
    <cellStyle name="Comma 79 4 2 8" xfId="43586"/>
    <cellStyle name="Comma 79 4 2 9" xfId="43450"/>
    <cellStyle name="Comma 79 4 3" xfId="7176"/>
    <cellStyle name="Comma 79 4 3 2" xfId="21283"/>
    <cellStyle name="Comma 79 4 3 2 2" xfId="42687"/>
    <cellStyle name="Comma 79 4 3 3" xfId="15810"/>
    <cellStyle name="Comma 79 4 3 3 2" xfId="42838"/>
    <cellStyle name="Comma 79 4 3 4" xfId="42491"/>
    <cellStyle name="Comma 79 4 3 5" xfId="43516"/>
    <cellStyle name="Comma 79 4 3 6" xfId="44002"/>
    <cellStyle name="Comma 79 4 4" xfId="13863"/>
    <cellStyle name="Comma 79 4 4 2" xfId="42906"/>
    <cellStyle name="Comma 79 4 4 3" xfId="42558"/>
    <cellStyle name="Comma 79 4 5" xfId="19396"/>
    <cellStyle name="Comma 79 4 5 2" xfId="42620"/>
    <cellStyle name="Comma 79 4 6" xfId="10423"/>
    <cellStyle name="Comma 79 4 6 2" xfId="42767"/>
    <cellStyle name="Comma 79 4 7" xfId="24603"/>
    <cellStyle name="Comma 79 4 8" xfId="43761"/>
    <cellStyle name="Comma 79 4 9" xfId="43585"/>
    <cellStyle name="Comma 79 5" xfId="4240"/>
    <cellStyle name="Comma 79 5 2" xfId="7968"/>
    <cellStyle name="Comma 79 5 2 2" xfId="22075"/>
    <cellStyle name="Comma 79 5 2 3" xfId="16602"/>
    <cellStyle name="Comma 79 5 3" xfId="13864"/>
    <cellStyle name="Comma 79 5 4" xfId="19397"/>
    <cellStyle name="Comma 79 5 5" xfId="11215"/>
    <cellStyle name="Comma 8" xfId="326"/>
    <cellStyle name="Comma 8 2" xfId="757"/>
    <cellStyle name="Comma 8 2 2" xfId="4241"/>
    <cellStyle name="Comma 8 2 3" xfId="41486"/>
    <cellStyle name="Comma 8 3" xfId="685"/>
    <cellStyle name="Comma 8 4" xfId="1285"/>
    <cellStyle name="Comma 8 4 2" xfId="2669"/>
    <cellStyle name="Comma 8 4 2 2" xfId="41487"/>
    <cellStyle name="Comma 8 4 3" xfId="4242"/>
    <cellStyle name="Comma 8 4 4" xfId="2183"/>
    <cellStyle name="Comma 8 5" xfId="2042"/>
    <cellStyle name="Comma 8 6" xfId="41485"/>
    <cellStyle name="Comma 80" xfId="2291"/>
    <cellStyle name="Comma 80 2" xfId="4243"/>
    <cellStyle name="Comma 80 2 10" xfId="24577"/>
    <cellStyle name="Comma 80 2 11" xfId="43937"/>
    <cellStyle name="Comma 80 2 2" xfId="4244"/>
    <cellStyle name="Comma 80 2 2 10" xfId="43938"/>
    <cellStyle name="Comma 80 2 2 2" xfId="4245"/>
    <cellStyle name="Comma 80 2 2 2 2" xfId="8322"/>
    <cellStyle name="Comma 80 2 2 2 2 2" xfId="22429"/>
    <cellStyle name="Comma 80 2 2 2 2 3" xfId="16956"/>
    <cellStyle name="Comma 80 2 2 2 2 4" xfId="42690"/>
    <cellStyle name="Comma 80 2 2 2 3" xfId="13867"/>
    <cellStyle name="Comma 80 2 2 2 3 2" xfId="42841"/>
    <cellStyle name="Comma 80 2 2 2 4" xfId="19400"/>
    <cellStyle name="Comma 80 2 2 2 4 2" xfId="43647"/>
    <cellStyle name="Comma 80 2 2 2 5" xfId="11570"/>
    <cellStyle name="Comma 80 2 2 2 5 2" xfId="43519"/>
    <cellStyle name="Comma 80 2 2 2 6" xfId="42494"/>
    <cellStyle name="Comma 80 2 2 3" xfId="4246"/>
    <cellStyle name="Comma 80 2 2 3 2" xfId="9120"/>
    <cellStyle name="Comma 80 2 2 3 2 2" xfId="23221"/>
    <cellStyle name="Comma 80 2 2 3 2 3" xfId="17754"/>
    <cellStyle name="Comma 80 2 2 3 2 4" xfId="42909"/>
    <cellStyle name="Comma 80 2 2 3 3" xfId="13868"/>
    <cellStyle name="Comma 80 2 2 3 4" xfId="19401"/>
    <cellStyle name="Comma 80 2 2 3 5" xfId="12365"/>
    <cellStyle name="Comma 80 2 2 3 6" xfId="42561"/>
    <cellStyle name="Comma 80 2 2 4" xfId="7530"/>
    <cellStyle name="Comma 80 2 2 4 2" xfId="21637"/>
    <cellStyle name="Comma 80 2 2 4 3" xfId="16164"/>
    <cellStyle name="Comma 80 2 2 4 4" xfId="42623"/>
    <cellStyle name="Comma 80 2 2 5" xfId="13866"/>
    <cellStyle name="Comma 80 2 2 5 2" xfId="42770"/>
    <cellStyle name="Comma 80 2 2 6" xfId="19399"/>
    <cellStyle name="Comma 80 2 2 6 2" xfId="43709"/>
    <cellStyle name="Comma 80 2 2 7" xfId="10777"/>
    <cellStyle name="Comma 80 2 2 7 2" xfId="43764"/>
    <cellStyle name="Comma 80 2 2 8" xfId="41488"/>
    <cellStyle name="Comma 80 2 2 9" xfId="43451"/>
    <cellStyle name="Comma 80 2 3" xfId="4247"/>
    <cellStyle name="Comma 80 2 3 2" xfId="4248"/>
    <cellStyle name="Comma 80 2 3 2 2" xfId="8582"/>
    <cellStyle name="Comma 80 2 3 2 2 2" xfId="22689"/>
    <cellStyle name="Comma 80 2 3 2 2 3" xfId="17216"/>
    <cellStyle name="Comma 80 2 3 2 3" xfId="13870"/>
    <cellStyle name="Comma 80 2 3 2 4" xfId="19403"/>
    <cellStyle name="Comma 80 2 3 2 5" xfId="11830"/>
    <cellStyle name="Comma 80 2 3 2 6" xfId="42689"/>
    <cellStyle name="Comma 80 2 3 3" xfId="7790"/>
    <cellStyle name="Comma 80 2 3 3 2" xfId="21897"/>
    <cellStyle name="Comma 80 2 3 3 3" xfId="16424"/>
    <cellStyle name="Comma 80 2 3 3 4" xfId="42840"/>
    <cellStyle name="Comma 80 2 3 4" xfId="13869"/>
    <cellStyle name="Comma 80 2 3 4 2" xfId="43646"/>
    <cellStyle name="Comma 80 2 3 5" xfId="19402"/>
    <cellStyle name="Comma 80 2 3 5 2" xfId="43518"/>
    <cellStyle name="Comma 80 2 3 6" xfId="11037"/>
    <cellStyle name="Comma 80 2 3 6 2" xfId="44004"/>
    <cellStyle name="Comma 80 2 3 7" xfId="42493"/>
    <cellStyle name="Comma 80 2 4" xfId="4249"/>
    <cellStyle name="Comma 80 2 4 2" xfId="6508"/>
    <cellStyle name="Comma 80 2 4 2 2" xfId="8944"/>
    <cellStyle name="Comma 80 2 4 2 2 2" xfId="23045"/>
    <cellStyle name="Comma 80 2 4 2 2 3" xfId="17578"/>
    <cellStyle name="Comma 80 2 4 2 3" xfId="15337"/>
    <cellStyle name="Comma 80 2 4 2 4" xfId="20831"/>
    <cellStyle name="Comma 80 2 4 2 5" xfId="12188"/>
    <cellStyle name="Comma 80 2 4 2 6" xfId="42908"/>
    <cellStyle name="Comma 80 2 4 3" xfId="7354"/>
    <cellStyle name="Comma 80 2 4 3 2" xfId="21461"/>
    <cellStyle name="Comma 80 2 4 3 3" xfId="15988"/>
    <cellStyle name="Comma 80 2 4 4" xfId="13871"/>
    <cellStyle name="Comma 80 2 4 5" xfId="19404"/>
    <cellStyle name="Comma 80 2 4 6" xfId="10601"/>
    <cellStyle name="Comma 80 2 4 7" xfId="42560"/>
    <cellStyle name="Comma 80 2 5" xfId="4250"/>
    <cellStyle name="Comma 80 2 5 2" xfId="8146"/>
    <cellStyle name="Comma 80 2 5 2 2" xfId="22253"/>
    <cellStyle name="Comma 80 2 5 2 3" xfId="16780"/>
    <cellStyle name="Comma 80 2 5 3" xfId="13872"/>
    <cellStyle name="Comma 80 2 5 4" xfId="19405"/>
    <cellStyle name="Comma 80 2 5 5" xfId="11393"/>
    <cellStyle name="Comma 80 2 5 6" xfId="42622"/>
    <cellStyle name="Comma 80 2 6" xfId="6995"/>
    <cellStyle name="Comma 80 2 6 2" xfId="21105"/>
    <cellStyle name="Comma 80 2 6 3" xfId="15632"/>
    <cellStyle name="Comma 80 2 6 4" xfId="42769"/>
    <cellStyle name="Comma 80 2 7" xfId="13865"/>
    <cellStyle name="Comma 80 2 7 2" xfId="43708"/>
    <cellStyle name="Comma 80 2 8" xfId="19398"/>
    <cellStyle name="Comma 80 2 8 2" xfId="43763"/>
    <cellStyle name="Comma 80 2 9" xfId="10245"/>
    <cellStyle name="Comma 80 2 9 2" xfId="43587"/>
    <cellStyle name="Comma 80 3" xfId="4251"/>
    <cellStyle name="Comma 80 3 10" xfId="43452"/>
    <cellStyle name="Comma 80 3 11" xfId="43939"/>
    <cellStyle name="Comma 80 3 2" xfId="24633"/>
    <cellStyle name="Comma 80 3 2 10" xfId="43940"/>
    <cellStyle name="Comma 80 3 2 2" xfId="42496"/>
    <cellStyle name="Comma 80 3 2 2 2" xfId="42692"/>
    <cellStyle name="Comma 80 3 2 2 3" xfId="42843"/>
    <cellStyle name="Comma 80 3 2 2 4" xfId="43649"/>
    <cellStyle name="Comma 80 3 2 2 5" xfId="43521"/>
    <cellStyle name="Comma 80 3 2 2 6" xfId="44006"/>
    <cellStyle name="Comma 80 3 2 3" xfId="42563"/>
    <cellStyle name="Comma 80 3 2 3 2" xfId="42911"/>
    <cellStyle name="Comma 80 3 2 4" xfId="42625"/>
    <cellStyle name="Comma 80 3 2 5" xfId="42772"/>
    <cellStyle name="Comma 80 3 2 6" xfId="43711"/>
    <cellStyle name="Comma 80 3 2 7" xfId="43766"/>
    <cellStyle name="Comma 80 3 2 8" xfId="43589"/>
    <cellStyle name="Comma 80 3 2 9" xfId="43453"/>
    <cellStyle name="Comma 80 3 3" xfId="42495"/>
    <cellStyle name="Comma 80 3 3 2" xfId="42691"/>
    <cellStyle name="Comma 80 3 3 3" xfId="42842"/>
    <cellStyle name="Comma 80 3 3 4" xfId="43648"/>
    <cellStyle name="Comma 80 3 3 5" xfId="43520"/>
    <cellStyle name="Comma 80 3 3 6" xfId="44005"/>
    <cellStyle name="Comma 80 3 4" xfId="42562"/>
    <cellStyle name="Comma 80 3 4 2" xfId="42910"/>
    <cellStyle name="Comma 80 3 5" xfId="42624"/>
    <cellStyle name="Comma 80 3 6" xfId="42771"/>
    <cellStyle name="Comma 80 3 7" xfId="43710"/>
    <cellStyle name="Comma 80 3 8" xfId="43765"/>
    <cellStyle name="Comma 80 3 9" xfId="43588"/>
    <cellStyle name="Comma 80 4" xfId="4252"/>
    <cellStyle name="Comma 80 4 10" xfId="43454"/>
    <cellStyle name="Comma 80 4 11" xfId="43941"/>
    <cellStyle name="Comma 80 4 2" xfId="6332"/>
    <cellStyle name="Comma 80 4 2 10" xfId="43942"/>
    <cellStyle name="Comma 80 4 2 2" xfId="8768"/>
    <cellStyle name="Comma 80 4 2 2 2" xfId="22869"/>
    <cellStyle name="Comma 80 4 2 2 2 2" xfId="42694"/>
    <cellStyle name="Comma 80 4 2 2 3" xfId="17402"/>
    <cellStyle name="Comma 80 4 2 2 3 2" xfId="42845"/>
    <cellStyle name="Comma 80 4 2 2 4" xfId="42498"/>
    <cellStyle name="Comma 80 4 2 2 5" xfId="43523"/>
    <cellStyle name="Comma 80 4 2 2 6" xfId="44008"/>
    <cellStyle name="Comma 80 4 2 3" xfId="15161"/>
    <cellStyle name="Comma 80 4 2 3 2" xfId="42913"/>
    <cellStyle name="Comma 80 4 2 3 3" xfId="42565"/>
    <cellStyle name="Comma 80 4 2 4" xfId="20655"/>
    <cellStyle name="Comma 80 4 2 4 2" xfId="42627"/>
    <cellStyle name="Comma 80 4 2 5" xfId="12012"/>
    <cellStyle name="Comma 80 4 2 5 2" xfId="42774"/>
    <cellStyle name="Comma 80 4 2 6" xfId="41489"/>
    <cellStyle name="Comma 80 4 2 7" xfId="43768"/>
    <cellStyle name="Comma 80 4 2 8" xfId="43591"/>
    <cellStyle name="Comma 80 4 2 9" xfId="43455"/>
    <cellStyle name="Comma 80 4 3" xfId="7178"/>
    <cellStyle name="Comma 80 4 3 2" xfId="21285"/>
    <cellStyle name="Comma 80 4 3 2 2" xfId="42693"/>
    <cellStyle name="Comma 80 4 3 3" xfId="15812"/>
    <cellStyle name="Comma 80 4 3 3 2" xfId="42844"/>
    <cellStyle name="Comma 80 4 3 4" xfId="42497"/>
    <cellStyle name="Comma 80 4 3 5" xfId="43522"/>
    <cellStyle name="Comma 80 4 3 6" xfId="44007"/>
    <cellStyle name="Comma 80 4 4" xfId="13873"/>
    <cellStyle name="Comma 80 4 4 2" xfId="42912"/>
    <cellStyle name="Comma 80 4 4 3" xfId="42564"/>
    <cellStyle name="Comma 80 4 5" xfId="19406"/>
    <cellStyle name="Comma 80 4 5 2" xfId="42626"/>
    <cellStyle name="Comma 80 4 6" xfId="10425"/>
    <cellStyle name="Comma 80 4 6 2" xfId="42773"/>
    <cellStyle name="Comma 80 4 7" xfId="24409"/>
    <cellStyle name="Comma 80 4 8" xfId="43767"/>
    <cellStyle name="Comma 80 4 9" xfId="43590"/>
    <cellStyle name="Comma 80 5" xfId="4253"/>
    <cellStyle name="Comma 80 5 10" xfId="43456"/>
    <cellStyle name="Comma 80 5 11" xfId="43943"/>
    <cellStyle name="Comma 80 5 2" xfId="7970"/>
    <cellStyle name="Comma 80 5 2 10" xfId="43944"/>
    <cellStyle name="Comma 80 5 2 2" xfId="22077"/>
    <cellStyle name="Comma 80 5 2 2 2" xfId="42696"/>
    <cellStyle name="Comma 80 5 2 2 3" xfId="42847"/>
    <cellStyle name="Comma 80 5 2 2 4" xfId="42500"/>
    <cellStyle name="Comma 80 5 2 2 5" xfId="43525"/>
    <cellStyle name="Comma 80 5 2 2 6" xfId="44010"/>
    <cellStyle name="Comma 80 5 2 3" xfId="16604"/>
    <cellStyle name="Comma 80 5 2 3 2" xfId="42915"/>
    <cellStyle name="Comma 80 5 2 3 3" xfId="42567"/>
    <cellStyle name="Comma 80 5 2 4" xfId="42629"/>
    <cellStyle name="Comma 80 5 2 5" xfId="42775"/>
    <cellStyle name="Comma 80 5 2 6" xfId="41490"/>
    <cellStyle name="Comma 80 5 2 7" xfId="43770"/>
    <cellStyle name="Comma 80 5 2 8" xfId="43593"/>
    <cellStyle name="Comma 80 5 2 9" xfId="43457"/>
    <cellStyle name="Comma 80 5 3" xfId="13874"/>
    <cellStyle name="Comma 80 5 3 2" xfId="42695"/>
    <cellStyle name="Comma 80 5 3 3" xfId="42846"/>
    <cellStyle name="Comma 80 5 3 4" xfId="42499"/>
    <cellStyle name="Comma 80 5 3 5" xfId="43524"/>
    <cellStyle name="Comma 80 5 3 6" xfId="44009"/>
    <cellStyle name="Comma 80 5 4" xfId="19407"/>
    <cellStyle name="Comma 80 5 4 2" xfId="42914"/>
    <cellStyle name="Comma 80 5 4 3" xfId="42566"/>
    <cellStyle name="Comma 80 5 5" xfId="11217"/>
    <cellStyle name="Comma 80 5 5 2" xfId="42628"/>
    <cellStyle name="Comma 80 5 6" xfId="24385"/>
    <cellStyle name="Comma 80 5 7" xfId="43712"/>
    <cellStyle name="Comma 80 5 8" xfId="43769"/>
    <cellStyle name="Comma 80 5 9" xfId="43592"/>
    <cellStyle name="Comma 80 6" xfId="41491"/>
    <cellStyle name="Comma 81" xfId="2295"/>
    <cellStyle name="Comma 81 2" xfId="4254"/>
    <cellStyle name="Comma 81 2 2" xfId="4255"/>
    <cellStyle name="Comma 81 2 2 2" xfId="4256"/>
    <cellStyle name="Comma 81 2 2 2 2" xfId="8324"/>
    <cellStyle name="Comma 81 2 2 2 2 2" xfId="22431"/>
    <cellStyle name="Comma 81 2 2 2 2 3" xfId="16958"/>
    <cellStyle name="Comma 81 2 2 2 3" xfId="13877"/>
    <cellStyle name="Comma 81 2 2 2 4" xfId="19410"/>
    <cellStyle name="Comma 81 2 2 2 5" xfId="11572"/>
    <cellStyle name="Comma 81 2 2 3" xfId="4257"/>
    <cellStyle name="Comma 81 2 2 3 2" xfId="9122"/>
    <cellStyle name="Comma 81 2 2 3 2 2" xfId="23223"/>
    <cellStyle name="Comma 81 2 2 3 2 3" xfId="17756"/>
    <cellStyle name="Comma 81 2 2 3 3" xfId="13878"/>
    <cellStyle name="Comma 81 2 2 3 4" xfId="19411"/>
    <cellStyle name="Comma 81 2 2 3 5" xfId="12367"/>
    <cellStyle name="Comma 81 2 2 4" xfId="7532"/>
    <cellStyle name="Comma 81 2 2 4 2" xfId="21639"/>
    <cellStyle name="Comma 81 2 2 4 3" xfId="16166"/>
    <cellStyle name="Comma 81 2 2 5" xfId="13876"/>
    <cellStyle name="Comma 81 2 2 6" xfId="19409"/>
    <cellStyle name="Comma 81 2 2 7" xfId="10779"/>
    <cellStyle name="Comma 81 2 3" xfId="4258"/>
    <cellStyle name="Comma 81 2 3 2" xfId="4259"/>
    <cellStyle name="Comma 81 2 3 2 2" xfId="8584"/>
    <cellStyle name="Comma 81 2 3 2 2 2" xfId="22691"/>
    <cellStyle name="Comma 81 2 3 2 2 3" xfId="17218"/>
    <cellStyle name="Comma 81 2 3 2 3" xfId="13880"/>
    <cellStyle name="Comma 81 2 3 2 4" xfId="19413"/>
    <cellStyle name="Comma 81 2 3 2 5" xfId="11832"/>
    <cellStyle name="Comma 81 2 3 3" xfId="7792"/>
    <cellStyle name="Comma 81 2 3 3 2" xfId="21899"/>
    <cellStyle name="Comma 81 2 3 3 3" xfId="16426"/>
    <cellStyle name="Comma 81 2 3 4" xfId="13879"/>
    <cellStyle name="Comma 81 2 3 5" xfId="19412"/>
    <cellStyle name="Comma 81 2 3 6" xfId="11039"/>
    <cellStyle name="Comma 81 2 4" xfId="4260"/>
    <cellStyle name="Comma 81 2 4 2" xfId="6510"/>
    <cellStyle name="Comma 81 2 4 2 2" xfId="8946"/>
    <cellStyle name="Comma 81 2 4 2 2 2" xfId="23047"/>
    <cellStyle name="Comma 81 2 4 2 2 3" xfId="17580"/>
    <cellStyle name="Comma 81 2 4 2 3" xfId="15339"/>
    <cellStyle name="Comma 81 2 4 2 4" xfId="20833"/>
    <cellStyle name="Comma 81 2 4 2 5" xfId="12190"/>
    <cellStyle name="Comma 81 2 4 3" xfId="7356"/>
    <cellStyle name="Comma 81 2 4 3 2" xfId="21463"/>
    <cellStyle name="Comma 81 2 4 3 3" xfId="15990"/>
    <cellStyle name="Comma 81 2 4 4" xfId="13881"/>
    <cellStyle name="Comma 81 2 4 5" xfId="19414"/>
    <cellStyle name="Comma 81 2 4 6" xfId="10603"/>
    <cellStyle name="Comma 81 2 5" xfId="4261"/>
    <cellStyle name="Comma 81 2 5 2" xfId="8148"/>
    <cellStyle name="Comma 81 2 5 2 2" xfId="22255"/>
    <cellStyle name="Comma 81 2 5 2 3" xfId="16782"/>
    <cellStyle name="Comma 81 2 5 3" xfId="13882"/>
    <cellStyle name="Comma 81 2 5 4" xfId="19415"/>
    <cellStyle name="Comma 81 2 5 5" xfId="11395"/>
    <cellStyle name="Comma 81 2 6" xfId="6997"/>
    <cellStyle name="Comma 81 2 6 2" xfId="21107"/>
    <cellStyle name="Comma 81 2 6 3" xfId="15634"/>
    <cellStyle name="Comma 81 2 7" xfId="13875"/>
    <cellStyle name="Comma 81 2 8" xfId="19408"/>
    <cellStyle name="Comma 81 2 9" xfId="10247"/>
    <cellStyle name="Comma 81 3" xfId="4262"/>
    <cellStyle name="Comma 81 4" xfId="4263"/>
    <cellStyle name="Comma 81 4 2" xfId="6334"/>
    <cellStyle name="Comma 81 4 2 2" xfId="8770"/>
    <cellStyle name="Comma 81 4 2 2 2" xfId="22871"/>
    <cellStyle name="Comma 81 4 2 2 3" xfId="17404"/>
    <cellStyle name="Comma 81 4 2 3" xfId="15163"/>
    <cellStyle name="Comma 81 4 2 4" xfId="20657"/>
    <cellStyle name="Comma 81 4 2 5" xfId="12014"/>
    <cellStyle name="Comma 81 4 3" xfId="7180"/>
    <cellStyle name="Comma 81 4 3 2" xfId="21287"/>
    <cellStyle name="Comma 81 4 3 3" xfId="15814"/>
    <cellStyle name="Comma 81 4 4" xfId="13883"/>
    <cellStyle name="Comma 81 4 5" xfId="19416"/>
    <cellStyle name="Comma 81 4 6" xfId="10427"/>
    <cellStyle name="Comma 81 5" xfId="4264"/>
    <cellStyle name="Comma 81 5 2" xfId="7972"/>
    <cellStyle name="Comma 81 5 2 2" xfId="22079"/>
    <cellStyle name="Comma 81 5 2 3" xfId="16606"/>
    <cellStyle name="Comma 81 5 3" xfId="13884"/>
    <cellStyle name="Comma 81 5 4" xfId="19417"/>
    <cellStyle name="Comma 81 5 5" xfId="11219"/>
    <cellStyle name="Comma 82" xfId="2307"/>
    <cellStyle name="Comma 82 2" xfId="4265"/>
    <cellStyle name="Comma 82 2 2" xfId="4266"/>
    <cellStyle name="Comma 82 2 2 2" xfId="4267"/>
    <cellStyle name="Comma 82 2 2 2 2" xfId="8326"/>
    <cellStyle name="Comma 82 2 2 2 2 2" xfId="22433"/>
    <cellStyle name="Comma 82 2 2 2 2 3" xfId="16960"/>
    <cellStyle name="Comma 82 2 2 2 3" xfId="13887"/>
    <cellStyle name="Comma 82 2 2 2 4" xfId="19420"/>
    <cellStyle name="Comma 82 2 2 2 5" xfId="11574"/>
    <cellStyle name="Comma 82 2 2 3" xfId="4268"/>
    <cellStyle name="Comma 82 2 2 3 2" xfId="9124"/>
    <cellStyle name="Comma 82 2 2 3 2 2" xfId="23225"/>
    <cellStyle name="Comma 82 2 2 3 2 3" xfId="17758"/>
    <cellStyle name="Comma 82 2 2 3 3" xfId="13888"/>
    <cellStyle name="Comma 82 2 2 3 4" xfId="19421"/>
    <cellStyle name="Comma 82 2 2 3 5" xfId="12369"/>
    <cellStyle name="Comma 82 2 2 4" xfId="7534"/>
    <cellStyle name="Comma 82 2 2 4 2" xfId="21641"/>
    <cellStyle name="Comma 82 2 2 4 3" xfId="16168"/>
    <cellStyle name="Comma 82 2 2 5" xfId="13886"/>
    <cellStyle name="Comma 82 2 2 6" xfId="19419"/>
    <cellStyle name="Comma 82 2 2 7" xfId="10781"/>
    <cellStyle name="Comma 82 2 3" xfId="4269"/>
    <cellStyle name="Comma 82 2 3 2" xfId="4270"/>
    <cellStyle name="Comma 82 2 3 2 2" xfId="8586"/>
    <cellStyle name="Comma 82 2 3 2 2 2" xfId="22693"/>
    <cellStyle name="Comma 82 2 3 2 2 3" xfId="17220"/>
    <cellStyle name="Comma 82 2 3 2 3" xfId="13890"/>
    <cellStyle name="Comma 82 2 3 2 4" xfId="19423"/>
    <cellStyle name="Comma 82 2 3 2 5" xfId="11834"/>
    <cellStyle name="Comma 82 2 3 3" xfId="7794"/>
    <cellStyle name="Comma 82 2 3 3 2" xfId="21901"/>
    <cellStyle name="Comma 82 2 3 3 3" xfId="16428"/>
    <cellStyle name="Comma 82 2 3 4" xfId="13889"/>
    <cellStyle name="Comma 82 2 3 5" xfId="19422"/>
    <cellStyle name="Comma 82 2 3 6" xfId="11041"/>
    <cellStyle name="Comma 82 2 4" xfId="4271"/>
    <cellStyle name="Comma 82 2 4 2" xfId="6512"/>
    <cellStyle name="Comma 82 2 4 2 2" xfId="8948"/>
    <cellStyle name="Comma 82 2 4 2 2 2" xfId="23049"/>
    <cellStyle name="Comma 82 2 4 2 2 3" xfId="17582"/>
    <cellStyle name="Comma 82 2 4 2 3" xfId="15341"/>
    <cellStyle name="Comma 82 2 4 2 4" xfId="20835"/>
    <cellStyle name="Comma 82 2 4 2 5" xfId="12192"/>
    <cellStyle name="Comma 82 2 4 3" xfId="7358"/>
    <cellStyle name="Comma 82 2 4 3 2" xfId="21465"/>
    <cellStyle name="Comma 82 2 4 3 3" xfId="15992"/>
    <cellStyle name="Comma 82 2 4 4" xfId="13891"/>
    <cellStyle name="Comma 82 2 4 5" xfId="19424"/>
    <cellStyle name="Comma 82 2 4 6" xfId="10605"/>
    <cellStyle name="Comma 82 2 5" xfId="4272"/>
    <cellStyle name="Comma 82 2 5 2" xfId="8150"/>
    <cellStyle name="Comma 82 2 5 2 2" xfId="22257"/>
    <cellStyle name="Comma 82 2 5 2 3" xfId="16784"/>
    <cellStyle name="Comma 82 2 5 3" xfId="13892"/>
    <cellStyle name="Comma 82 2 5 4" xfId="19425"/>
    <cellStyle name="Comma 82 2 5 5" xfId="11397"/>
    <cellStyle name="Comma 82 2 6" xfId="6999"/>
    <cellStyle name="Comma 82 2 6 2" xfId="21109"/>
    <cellStyle name="Comma 82 2 6 3" xfId="15636"/>
    <cellStyle name="Comma 82 2 7" xfId="13885"/>
    <cellStyle name="Comma 82 2 8" xfId="19418"/>
    <cellStyle name="Comma 82 2 9" xfId="10249"/>
    <cellStyle name="Comma 82 3" xfId="4273"/>
    <cellStyle name="Comma 82 4" xfId="4274"/>
    <cellStyle name="Comma 82 4 2" xfId="6336"/>
    <cellStyle name="Comma 82 4 2 2" xfId="8772"/>
    <cellStyle name="Comma 82 4 2 2 2" xfId="22873"/>
    <cellStyle name="Comma 82 4 2 2 3" xfId="17406"/>
    <cellStyle name="Comma 82 4 2 3" xfId="15165"/>
    <cellStyle name="Comma 82 4 2 4" xfId="20659"/>
    <cellStyle name="Comma 82 4 2 5" xfId="12016"/>
    <cellStyle name="Comma 82 4 3" xfId="7182"/>
    <cellStyle name="Comma 82 4 3 2" xfId="21289"/>
    <cellStyle name="Comma 82 4 3 3" xfId="15816"/>
    <cellStyle name="Comma 82 4 4" xfId="13893"/>
    <cellStyle name="Comma 82 4 5" xfId="19426"/>
    <cellStyle name="Comma 82 4 6" xfId="10429"/>
    <cellStyle name="Comma 82 5" xfId="4275"/>
    <cellStyle name="Comma 82 5 2" xfId="7974"/>
    <cellStyle name="Comma 82 5 2 2" xfId="22081"/>
    <cellStyle name="Comma 82 5 2 3" xfId="16608"/>
    <cellStyle name="Comma 82 5 3" xfId="13894"/>
    <cellStyle name="Comma 82 5 4" xfId="19427"/>
    <cellStyle name="Comma 82 5 5" xfId="11221"/>
    <cellStyle name="Comma 83" xfId="2173"/>
    <cellStyle name="Comma 83 2" xfId="4276"/>
    <cellStyle name="Comma 83 2 10" xfId="10251"/>
    <cellStyle name="Comma 83 2 2" xfId="4277"/>
    <cellStyle name="Comma 83 2 2 2" xfId="4278"/>
    <cellStyle name="Comma 83 2 2 2 2" xfId="8328"/>
    <cellStyle name="Comma 83 2 2 2 2 2" xfId="22435"/>
    <cellStyle name="Comma 83 2 2 2 2 3" xfId="16962"/>
    <cellStyle name="Comma 83 2 2 2 3" xfId="13897"/>
    <cellStyle name="Comma 83 2 2 2 4" xfId="19430"/>
    <cellStyle name="Comma 83 2 2 2 5" xfId="11576"/>
    <cellStyle name="Comma 83 2 2 3" xfId="4279"/>
    <cellStyle name="Comma 83 2 2 3 2" xfId="9126"/>
    <cellStyle name="Comma 83 2 2 3 2 2" xfId="23227"/>
    <cellStyle name="Comma 83 2 2 3 2 3" xfId="17760"/>
    <cellStyle name="Comma 83 2 2 3 3" xfId="13898"/>
    <cellStyle name="Comma 83 2 2 3 4" xfId="19431"/>
    <cellStyle name="Comma 83 2 2 3 5" xfId="12371"/>
    <cellStyle name="Comma 83 2 2 4" xfId="7536"/>
    <cellStyle name="Comma 83 2 2 4 2" xfId="21643"/>
    <cellStyle name="Comma 83 2 2 4 3" xfId="16170"/>
    <cellStyle name="Comma 83 2 2 5" xfId="13896"/>
    <cellStyle name="Comma 83 2 2 6" xfId="19429"/>
    <cellStyle name="Comma 83 2 2 7" xfId="10783"/>
    <cellStyle name="Comma 83 2 3" xfId="4280"/>
    <cellStyle name="Comma 83 2 3 2" xfId="4281"/>
    <cellStyle name="Comma 83 2 3 2 2" xfId="8588"/>
    <cellStyle name="Comma 83 2 3 2 2 2" xfId="22695"/>
    <cellStyle name="Comma 83 2 3 2 2 3" xfId="17222"/>
    <cellStyle name="Comma 83 2 3 2 3" xfId="13900"/>
    <cellStyle name="Comma 83 2 3 2 4" xfId="19433"/>
    <cellStyle name="Comma 83 2 3 2 5" xfId="11836"/>
    <cellStyle name="Comma 83 2 3 3" xfId="7796"/>
    <cellStyle name="Comma 83 2 3 3 2" xfId="21903"/>
    <cellStyle name="Comma 83 2 3 3 3" xfId="16430"/>
    <cellStyle name="Comma 83 2 3 4" xfId="13899"/>
    <cellStyle name="Comma 83 2 3 5" xfId="19432"/>
    <cellStyle name="Comma 83 2 3 6" xfId="11043"/>
    <cellStyle name="Comma 83 2 4" xfId="4282"/>
    <cellStyle name="Comma 83 2 4 2" xfId="6514"/>
    <cellStyle name="Comma 83 2 4 2 2" xfId="8950"/>
    <cellStyle name="Comma 83 2 4 2 2 2" xfId="23051"/>
    <cellStyle name="Comma 83 2 4 2 2 3" xfId="17584"/>
    <cellStyle name="Comma 83 2 4 2 3" xfId="15343"/>
    <cellStyle name="Comma 83 2 4 2 4" xfId="20837"/>
    <cellStyle name="Comma 83 2 4 2 5" xfId="12194"/>
    <cellStyle name="Comma 83 2 4 3" xfId="7360"/>
    <cellStyle name="Comma 83 2 4 3 2" xfId="21467"/>
    <cellStyle name="Comma 83 2 4 3 3" xfId="15994"/>
    <cellStyle name="Comma 83 2 4 4" xfId="13901"/>
    <cellStyle name="Comma 83 2 4 5" xfId="19434"/>
    <cellStyle name="Comma 83 2 4 6" xfId="10607"/>
    <cellStyle name="Comma 83 2 5" xfId="4283"/>
    <cellStyle name="Comma 83 2 5 2" xfId="8152"/>
    <cellStyle name="Comma 83 2 5 2 2" xfId="22259"/>
    <cellStyle name="Comma 83 2 5 2 3" xfId="16786"/>
    <cellStyle name="Comma 83 2 5 3" xfId="13902"/>
    <cellStyle name="Comma 83 2 5 4" xfId="19435"/>
    <cellStyle name="Comma 83 2 5 5" xfId="11399"/>
    <cellStyle name="Comma 83 2 6" xfId="7001"/>
    <cellStyle name="Comma 83 2 6 2" xfId="21111"/>
    <cellStyle name="Comma 83 2 6 3" xfId="15638"/>
    <cellStyle name="Comma 83 2 7" xfId="13895"/>
    <cellStyle name="Comma 83 2 8" xfId="19428"/>
    <cellStyle name="Comma 83 2 9" xfId="23852"/>
    <cellStyle name="Comma 83 3" xfId="4284"/>
    <cellStyle name="Comma 83 4" xfId="4285"/>
    <cellStyle name="Comma 83 4 2" xfId="6338"/>
    <cellStyle name="Comma 83 4 2 2" xfId="8774"/>
    <cellStyle name="Comma 83 4 2 2 2" xfId="22875"/>
    <cellStyle name="Comma 83 4 2 2 3" xfId="17408"/>
    <cellStyle name="Comma 83 4 2 3" xfId="15167"/>
    <cellStyle name="Comma 83 4 2 4" xfId="20661"/>
    <cellStyle name="Comma 83 4 2 5" xfId="12018"/>
    <cellStyle name="Comma 83 4 3" xfId="7184"/>
    <cellStyle name="Comma 83 4 3 2" xfId="21291"/>
    <cellStyle name="Comma 83 4 3 3" xfId="15818"/>
    <cellStyle name="Comma 83 4 4" xfId="13903"/>
    <cellStyle name="Comma 83 4 5" xfId="19436"/>
    <cellStyle name="Comma 83 4 6" xfId="10431"/>
    <cellStyle name="Comma 83 5" xfId="4286"/>
    <cellStyle name="Comma 83 5 2" xfId="7976"/>
    <cellStyle name="Comma 83 5 2 2" xfId="22083"/>
    <cellStyle name="Comma 83 5 2 3" xfId="16610"/>
    <cellStyle name="Comma 83 5 3" xfId="13904"/>
    <cellStyle name="Comma 83 5 4" xfId="19437"/>
    <cellStyle name="Comma 83 5 5" xfId="11223"/>
    <cellStyle name="Comma 84" xfId="2194"/>
    <cellStyle name="Comma 84 2" xfId="4287"/>
    <cellStyle name="Comma 84 2 10" xfId="10253"/>
    <cellStyle name="Comma 84 2 11" xfId="24329"/>
    <cellStyle name="Comma 84 2 2" xfId="4288"/>
    <cellStyle name="Comma 84 2 2 2" xfId="4289"/>
    <cellStyle name="Comma 84 2 2 2 2" xfId="8330"/>
    <cellStyle name="Comma 84 2 2 2 2 2" xfId="22437"/>
    <cellStyle name="Comma 84 2 2 2 2 3" xfId="16964"/>
    <cellStyle name="Comma 84 2 2 2 3" xfId="13907"/>
    <cellStyle name="Comma 84 2 2 2 4" xfId="19440"/>
    <cellStyle name="Comma 84 2 2 2 5" xfId="11578"/>
    <cellStyle name="Comma 84 2 2 3" xfId="4290"/>
    <cellStyle name="Comma 84 2 2 3 2" xfId="9128"/>
    <cellStyle name="Comma 84 2 2 3 2 2" xfId="23229"/>
    <cellStyle name="Comma 84 2 2 3 2 3" xfId="17762"/>
    <cellStyle name="Comma 84 2 2 3 3" xfId="13908"/>
    <cellStyle name="Comma 84 2 2 3 4" xfId="19441"/>
    <cellStyle name="Comma 84 2 2 3 5" xfId="12373"/>
    <cellStyle name="Comma 84 2 2 4" xfId="7538"/>
    <cellStyle name="Comma 84 2 2 4 2" xfId="21645"/>
    <cellStyle name="Comma 84 2 2 4 3" xfId="16172"/>
    <cellStyle name="Comma 84 2 2 5" xfId="13906"/>
    <cellStyle name="Comma 84 2 2 6" xfId="19439"/>
    <cellStyle name="Comma 84 2 2 7" xfId="10785"/>
    <cellStyle name="Comma 84 2 3" xfId="4291"/>
    <cellStyle name="Comma 84 2 3 2" xfId="4292"/>
    <cellStyle name="Comma 84 2 3 2 2" xfId="8590"/>
    <cellStyle name="Comma 84 2 3 2 2 2" xfId="22697"/>
    <cellStyle name="Comma 84 2 3 2 2 3" xfId="17224"/>
    <cellStyle name="Comma 84 2 3 2 3" xfId="13910"/>
    <cellStyle name="Comma 84 2 3 2 4" xfId="19443"/>
    <cellStyle name="Comma 84 2 3 2 5" xfId="11838"/>
    <cellStyle name="Comma 84 2 3 3" xfId="7798"/>
    <cellStyle name="Comma 84 2 3 3 2" xfId="21905"/>
    <cellStyle name="Comma 84 2 3 3 3" xfId="16432"/>
    <cellStyle name="Comma 84 2 3 4" xfId="13909"/>
    <cellStyle name="Comma 84 2 3 5" xfId="19442"/>
    <cellStyle name="Comma 84 2 3 6" xfId="11045"/>
    <cellStyle name="Comma 84 2 4" xfId="4293"/>
    <cellStyle name="Comma 84 2 4 2" xfId="6516"/>
    <cellStyle name="Comma 84 2 4 2 2" xfId="8952"/>
    <cellStyle name="Comma 84 2 4 2 2 2" xfId="23053"/>
    <cellStyle name="Comma 84 2 4 2 2 3" xfId="17586"/>
    <cellStyle name="Comma 84 2 4 2 3" xfId="15345"/>
    <cellStyle name="Comma 84 2 4 2 4" xfId="20839"/>
    <cellStyle name="Comma 84 2 4 2 5" xfId="12196"/>
    <cellStyle name="Comma 84 2 4 3" xfId="7362"/>
    <cellStyle name="Comma 84 2 4 3 2" xfId="21469"/>
    <cellStyle name="Comma 84 2 4 3 3" xfId="15996"/>
    <cellStyle name="Comma 84 2 4 4" xfId="13911"/>
    <cellStyle name="Comma 84 2 4 5" xfId="19444"/>
    <cellStyle name="Comma 84 2 4 6" xfId="10609"/>
    <cellStyle name="Comma 84 2 5" xfId="4294"/>
    <cellStyle name="Comma 84 2 5 2" xfId="8154"/>
    <cellStyle name="Comma 84 2 5 2 2" xfId="22261"/>
    <cellStyle name="Comma 84 2 5 2 3" xfId="16788"/>
    <cellStyle name="Comma 84 2 5 3" xfId="13912"/>
    <cellStyle name="Comma 84 2 5 4" xfId="19445"/>
    <cellStyle name="Comma 84 2 5 5" xfId="11401"/>
    <cellStyle name="Comma 84 2 6" xfId="7003"/>
    <cellStyle name="Comma 84 2 6 2" xfId="21113"/>
    <cellStyle name="Comma 84 2 6 3" xfId="15640"/>
    <cellStyle name="Comma 84 2 7" xfId="13905"/>
    <cellStyle name="Comma 84 2 8" xfId="19438"/>
    <cellStyle name="Comma 84 2 9" xfId="23861"/>
    <cellStyle name="Comma 84 3" xfId="4295"/>
    <cellStyle name="Comma 84 4" xfId="4296"/>
    <cellStyle name="Comma 84 4 2" xfId="6340"/>
    <cellStyle name="Comma 84 4 2 2" xfId="8776"/>
    <cellStyle name="Comma 84 4 2 2 2" xfId="22877"/>
    <cellStyle name="Comma 84 4 2 2 3" xfId="17410"/>
    <cellStyle name="Comma 84 4 2 3" xfId="15169"/>
    <cellStyle name="Comma 84 4 2 4" xfId="20663"/>
    <cellStyle name="Comma 84 4 2 5" xfId="12020"/>
    <cellStyle name="Comma 84 4 3" xfId="7186"/>
    <cellStyle name="Comma 84 4 3 2" xfId="21293"/>
    <cellStyle name="Comma 84 4 3 3" xfId="15820"/>
    <cellStyle name="Comma 84 4 4" xfId="13913"/>
    <cellStyle name="Comma 84 4 5" xfId="19446"/>
    <cellStyle name="Comma 84 4 6" xfId="10433"/>
    <cellStyle name="Comma 84 5" xfId="4297"/>
    <cellStyle name="Comma 84 5 2" xfId="7978"/>
    <cellStyle name="Comma 84 5 2 2" xfId="22085"/>
    <cellStyle name="Comma 84 5 2 3" xfId="16612"/>
    <cellStyle name="Comma 84 5 3" xfId="13914"/>
    <cellStyle name="Comma 84 5 4" xfId="19447"/>
    <cellStyle name="Comma 84 5 5" xfId="11225"/>
    <cellStyle name="Comma 85" xfId="2340"/>
    <cellStyle name="Comma 85 2" xfId="3196"/>
    <cellStyle name="Comma 85 2 10" xfId="10255"/>
    <cellStyle name="Comma 85 2 11" xfId="24384"/>
    <cellStyle name="Comma 85 2 2" xfId="4298"/>
    <cellStyle name="Comma 85 2 2 2" xfId="4299"/>
    <cellStyle name="Comma 85 2 2 2 2" xfId="8332"/>
    <cellStyle name="Comma 85 2 2 2 2 2" xfId="22439"/>
    <cellStyle name="Comma 85 2 2 2 2 3" xfId="16966"/>
    <cellStyle name="Comma 85 2 2 2 3" xfId="13916"/>
    <cellStyle name="Comma 85 2 2 2 4" xfId="19449"/>
    <cellStyle name="Comma 85 2 2 2 5" xfId="11580"/>
    <cellStyle name="Comma 85 2 2 3" xfId="4300"/>
    <cellStyle name="Comma 85 2 2 3 2" xfId="9130"/>
    <cellStyle name="Comma 85 2 2 3 2 2" xfId="23231"/>
    <cellStyle name="Comma 85 2 2 3 2 3" xfId="17764"/>
    <cellStyle name="Comma 85 2 2 3 3" xfId="13917"/>
    <cellStyle name="Comma 85 2 2 3 4" xfId="19450"/>
    <cellStyle name="Comma 85 2 2 3 5" xfId="12375"/>
    <cellStyle name="Comma 85 2 2 4" xfId="7540"/>
    <cellStyle name="Comma 85 2 2 4 2" xfId="21647"/>
    <cellStyle name="Comma 85 2 2 4 3" xfId="16174"/>
    <cellStyle name="Comma 85 2 2 5" xfId="13915"/>
    <cellStyle name="Comma 85 2 2 6" xfId="19448"/>
    <cellStyle name="Comma 85 2 2 7" xfId="10787"/>
    <cellStyle name="Comma 85 2 3" xfId="4301"/>
    <cellStyle name="Comma 85 2 3 2" xfId="4302"/>
    <cellStyle name="Comma 85 2 3 2 2" xfId="8592"/>
    <cellStyle name="Comma 85 2 3 2 2 2" xfId="22699"/>
    <cellStyle name="Comma 85 2 3 2 2 3" xfId="17226"/>
    <cellStyle name="Comma 85 2 3 2 3" xfId="13919"/>
    <cellStyle name="Comma 85 2 3 2 4" xfId="19452"/>
    <cellStyle name="Comma 85 2 3 2 5" xfId="11840"/>
    <cellStyle name="Comma 85 2 3 3" xfId="7800"/>
    <cellStyle name="Comma 85 2 3 3 2" xfId="21907"/>
    <cellStyle name="Comma 85 2 3 3 3" xfId="16434"/>
    <cellStyle name="Comma 85 2 3 4" xfId="13918"/>
    <cellStyle name="Comma 85 2 3 5" xfId="19451"/>
    <cellStyle name="Comma 85 2 3 6" xfId="11047"/>
    <cellStyle name="Comma 85 2 4" xfId="4303"/>
    <cellStyle name="Comma 85 2 4 2" xfId="6518"/>
    <cellStyle name="Comma 85 2 4 2 2" xfId="8954"/>
    <cellStyle name="Comma 85 2 4 2 2 2" xfId="23055"/>
    <cellStyle name="Comma 85 2 4 2 2 3" xfId="17588"/>
    <cellStyle name="Comma 85 2 4 2 3" xfId="15347"/>
    <cellStyle name="Comma 85 2 4 2 4" xfId="20841"/>
    <cellStyle name="Comma 85 2 4 2 5" xfId="12198"/>
    <cellStyle name="Comma 85 2 4 3" xfId="7364"/>
    <cellStyle name="Comma 85 2 4 3 2" xfId="21471"/>
    <cellStyle name="Comma 85 2 4 3 3" xfId="15998"/>
    <cellStyle name="Comma 85 2 4 4" xfId="13920"/>
    <cellStyle name="Comma 85 2 4 5" xfId="19453"/>
    <cellStyle name="Comma 85 2 4 6" xfId="10611"/>
    <cellStyle name="Comma 85 2 5" xfId="4304"/>
    <cellStyle name="Comma 85 2 5 2" xfId="8156"/>
    <cellStyle name="Comma 85 2 5 2 2" xfId="22263"/>
    <cellStyle name="Comma 85 2 5 2 3" xfId="16790"/>
    <cellStyle name="Comma 85 2 5 3" xfId="13921"/>
    <cellStyle name="Comma 85 2 5 4" xfId="19454"/>
    <cellStyle name="Comma 85 2 5 5" xfId="11403"/>
    <cellStyle name="Comma 85 2 6" xfId="7005"/>
    <cellStyle name="Comma 85 2 6 2" xfId="21115"/>
    <cellStyle name="Comma 85 2 6 3" xfId="15642"/>
    <cellStyle name="Comma 85 2 7" xfId="12988"/>
    <cellStyle name="Comma 85 2 8" xfId="18530"/>
    <cellStyle name="Comma 85 2 9" xfId="23914"/>
    <cellStyle name="Comma 85 3" xfId="4305"/>
    <cellStyle name="Comma 85 4" xfId="4306"/>
    <cellStyle name="Comma 85 4 2" xfId="6342"/>
    <cellStyle name="Comma 85 4 2 2" xfId="8778"/>
    <cellStyle name="Comma 85 4 2 2 2" xfId="22879"/>
    <cellStyle name="Comma 85 4 2 2 3" xfId="17412"/>
    <cellStyle name="Comma 85 4 2 3" xfId="15171"/>
    <cellStyle name="Comma 85 4 2 4" xfId="20665"/>
    <cellStyle name="Comma 85 4 2 5" xfId="12022"/>
    <cellStyle name="Comma 85 4 3" xfId="7188"/>
    <cellStyle name="Comma 85 4 3 2" xfId="21295"/>
    <cellStyle name="Comma 85 4 3 3" xfId="15822"/>
    <cellStyle name="Comma 85 4 4" xfId="13922"/>
    <cellStyle name="Comma 85 4 5" xfId="19455"/>
    <cellStyle name="Comma 85 4 6" xfId="10435"/>
    <cellStyle name="Comma 85 5" xfId="4307"/>
    <cellStyle name="Comma 85 5 2" xfId="7980"/>
    <cellStyle name="Comma 85 5 2 2" xfId="22087"/>
    <cellStyle name="Comma 85 5 2 3" xfId="16614"/>
    <cellStyle name="Comma 85 5 3" xfId="13923"/>
    <cellStyle name="Comma 85 5 4" xfId="19456"/>
    <cellStyle name="Comma 85 5 5" xfId="11227"/>
    <cellStyle name="Comma 86" xfId="2319"/>
    <cellStyle name="Comma 86 2" xfId="3197"/>
    <cellStyle name="Comma 86 2 10" xfId="10257"/>
    <cellStyle name="Comma 86 2 11" xfId="24403"/>
    <cellStyle name="Comma 86 2 2" xfId="4308"/>
    <cellStyle name="Comma 86 2 2 2" xfId="4309"/>
    <cellStyle name="Comma 86 2 2 2 2" xfId="8334"/>
    <cellStyle name="Comma 86 2 2 2 2 2" xfId="22441"/>
    <cellStyle name="Comma 86 2 2 2 2 3" xfId="16968"/>
    <cellStyle name="Comma 86 2 2 2 3" xfId="13925"/>
    <cellStyle name="Comma 86 2 2 2 4" xfId="19458"/>
    <cellStyle name="Comma 86 2 2 2 5" xfId="11582"/>
    <cellStyle name="Comma 86 2 2 3" xfId="4310"/>
    <cellStyle name="Comma 86 2 2 3 2" xfId="9132"/>
    <cellStyle name="Comma 86 2 2 3 2 2" xfId="23233"/>
    <cellStyle name="Comma 86 2 2 3 2 3" xfId="17766"/>
    <cellStyle name="Comma 86 2 2 3 3" xfId="13926"/>
    <cellStyle name="Comma 86 2 2 3 4" xfId="19459"/>
    <cellStyle name="Comma 86 2 2 3 5" xfId="12377"/>
    <cellStyle name="Comma 86 2 2 4" xfId="7542"/>
    <cellStyle name="Comma 86 2 2 4 2" xfId="21649"/>
    <cellStyle name="Comma 86 2 2 4 3" xfId="16176"/>
    <cellStyle name="Comma 86 2 2 5" xfId="13924"/>
    <cellStyle name="Comma 86 2 2 6" xfId="19457"/>
    <cellStyle name="Comma 86 2 2 7" xfId="10789"/>
    <cellStyle name="Comma 86 2 3" xfId="4311"/>
    <cellStyle name="Comma 86 2 3 2" xfId="4312"/>
    <cellStyle name="Comma 86 2 3 2 2" xfId="8594"/>
    <cellStyle name="Comma 86 2 3 2 2 2" xfId="22701"/>
    <cellStyle name="Comma 86 2 3 2 2 3" xfId="17228"/>
    <cellStyle name="Comma 86 2 3 2 3" xfId="13928"/>
    <cellStyle name="Comma 86 2 3 2 4" xfId="19461"/>
    <cellStyle name="Comma 86 2 3 2 5" xfId="11842"/>
    <cellStyle name="Comma 86 2 3 3" xfId="7802"/>
    <cellStyle name="Comma 86 2 3 3 2" xfId="21909"/>
    <cellStyle name="Comma 86 2 3 3 3" xfId="16436"/>
    <cellStyle name="Comma 86 2 3 4" xfId="13927"/>
    <cellStyle name="Comma 86 2 3 5" xfId="19460"/>
    <cellStyle name="Comma 86 2 3 6" xfId="11049"/>
    <cellStyle name="Comma 86 2 4" xfId="4313"/>
    <cellStyle name="Comma 86 2 4 2" xfId="6520"/>
    <cellStyle name="Comma 86 2 4 2 2" xfId="8956"/>
    <cellStyle name="Comma 86 2 4 2 2 2" xfId="23057"/>
    <cellStyle name="Comma 86 2 4 2 2 3" xfId="17590"/>
    <cellStyle name="Comma 86 2 4 2 3" xfId="15349"/>
    <cellStyle name="Comma 86 2 4 2 4" xfId="20843"/>
    <cellStyle name="Comma 86 2 4 2 5" xfId="12200"/>
    <cellStyle name="Comma 86 2 4 3" xfId="7366"/>
    <cellStyle name="Comma 86 2 4 3 2" xfId="21473"/>
    <cellStyle name="Comma 86 2 4 3 3" xfId="16000"/>
    <cellStyle name="Comma 86 2 4 4" xfId="13929"/>
    <cellStyle name="Comma 86 2 4 5" xfId="19462"/>
    <cellStyle name="Comma 86 2 4 6" xfId="10613"/>
    <cellStyle name="Comma 86 2 5" xfId="4314"/>
    <cellStyle name="Comma 86 2 5 2" xfId="8158"/>
    <cellStyle name="Comma 86 2 5 2 2" xfId="22265"/>
    <cellStyle name="Comma 86 2 5 2 3" xfId="16792"/>
    <cellStyle name="Comma 86 2 5 3" xfId="13930"/>
    <cellStyle name="Comma 86 2 5 4" xfId="19463"/>
    <cellStyle name="Comma 86 2 5 5" xfId="11405"/>
    <cellStyle name="Comma 86 2 6" xfId="7007"/>
    <cellStyle name="Comma 86 2 6 2" xfId="21117"/>
    <cellStyle name="Comma 86 2 6 3" xfId="15644"/>
    <cellStyle name="Comma 86 2 7" xfId="12989"/>
    <cellStyle name="Comma 86 2 8" xfId="18531"/>
    <cellStyle name="Comma 86 2 9" xfId="23896"/>
    <cellStyle name="Comma 86 3" xfId="4315"/>
    <cellStyle name="Comma 86 4" xfId="4316"/>
    <cellStyle name="Comma 86 4 2" xfId="6344"/>
    <cellStyle name="Comma 86 4 2 2" xfId="8780"/>
    <cellStyle name="Comma 86 4 2 2 2" xfId="22881"/>
    <cellStyle name="Comma 86 4 2 2 3" xfId="17414"/>
    <cellStyle name="Comma 86 4 2 3" xfId="15173"/>
    <cellStyle name="Comma 86 4 2 4" xfId="20667"/>
    <cellStyle name="Comma 86 4 2 5" xfId="12024"/>
    <cellStyle name="Comma 86 4 3" xfId="7190"/>
    <cellStyle name="Comma 86 4 3 2" xfId="21297"/>
    <cellStyle name="Comma 86 4 3 3" xfId="15824"/>
    <cellStyle name="Comma 86 4 4" xfId="13931"/>
    <cellStyle name="Comma 86 4 5" xfId="19464"/>
    <cellStyle name="Comma 86 4 6" xfId="10437"/>
    <cellStyle name="Comma 86 5" xfId="4317"/>
    <cellStyle name="Comma 86 5 2" xfId="7982"/>
    <cellStyle name="Comma 86 5 2 2" xfId="22089"/>
    <cellStyle name="Comma 86 5 2 3" xfId="16616"/>
    <cellStyle name="Comma 86 5 3" xfId="13932"/>
    <cellStyle name="Comma 86 5 4" xfId="19465"/>
    <cellStyle name="Comma 86 5 5" xfId="11229"/>
    <cellStyle name="Comma 87" xfId="2343"/>
    <cellStyle name="Comma 87 2" xfId="3199"/>
    <cellStyle name="Comma 87 2 10" xfId="10259"/>
    <cellStyle name="Comma 87 2 11" xfId="11936"/>
    <cellStyle name="Comma 87 2 12" xfId="41492"/>
    <cellStyle name="Comma 87 2 2" xfId="4318"/>
    <cellStyle name="Comma 87 2 2 2" xfId="4319"/>
    <cellStyle name="Comma 87 2 2 2 2" xfId="8336"/>
    <cellStyle name="Comma 87 2 2 2 2 2" xfId="22443"/>
    <cellStyle name="Comma 87 2 2 2 2 3" xfId="16970"/>
    <cellStyle name="Comma 87 2 2 2 3" xfId="13934"/>
    <cellStyle name="Comma 87 2 2 2 4" xfId="19467"/>
    <cellStyle name="Comma 87 2 2 2 5" xfId="11584"/>
    <cellStyle name="Comma 87 2 2 3" xfId="4320"/>
    <cellStyle name="Comma 87 2 2 3 2" xfId="9134"/>
    <cellStyle name="Comma 87 2 2 3 2 2" xfId="23235"/>
    <cellStyle name="Comma 87 2 2 3 2 3" xfId="17768"/>
    <cellStyle name="Comma 87 2 2 3 3" xfId="13935"/>
    <cellStyle name="Comma 87 2 2 3 4" xfId="19468"/>
    <cellStyle name="Comma 87 2 2 3 5" xfId="12379"/>
    <cellStyle name="Comma 87 2 2 4" xfId="7544"/>
    <cellStyle name="Comma 87 2 2 4 2" xfId="21651"/>
    <cellStyle name="Comma 87 2 2 4 3" xfId="16178"/>
    <cellStyle name="Comma 87 2 2 5" xfId="13933"/>
    <cellStyle name="Comma 87 2 2 6" xfId="19466"/>
    <cellStyle name="Comma 87 2 2 7" xfId="10791"/>
    <cellStyle name="Comma 87 2 3" xfId="4321"/>
    <cellStyle name="Comma 87 2 3 2" xfId="4322"/>
    <cellStyle name="Comma 87 2 3 2 2" xfId="8596"/>
    <cellStyle name="Comma 87 2 3 2 2 2" xfId="22703"/>
    <cellStyle name="Comma 87 2 3 2 2 3" xfId="17230"/>
    <cellStyle name="Comma 87 2 3 2 3" xfId="13937"/>
    <cellStyle name="Comma 87 2 3 2 4" xfId="19470"/>
    <cellStyle name="Comma 87 2 3 2 5" xfId="11844"/>
    <cellStyle name="Comma 87 2 3 3" xfId="7804"/>
    <cellStyle name="Comma 87 2 3 3 2" xfId="21911"/>
    <cellStyle name="Comma 87 2 3 3 3" xfId="16438"/>
    <cellStyle name="Comma 87 2 3 4" xfId="13936"/>
    <cellStyle name="Comma 87 2 3 5" xfId="19469"/>
    <cellStyle name="Comma 87 2 3 6" xfId="11051"/>
    <cellStyle name="Comma 87 2 4" xfId="4323"/>
    <cellStyle name="Comma 87 2 4 2" xfId="6522"/>
    <cellStyle name="Comma 87 2 4 2 2" xfId="8958"/>
    <cellStyle name="Comma 87 2 4 2 2 2" xfId="23059"/>
    <cellStyle name="Comma 87 2 4 2 2 3" xfId="17592"/>
    <cellStyle name="Comma 87 2 4 2 3" xfId="15351"/>
    <cellStyle name="Comma 87 2 4 2 4" xfId="20845"/>
    <cellStyle name="Comma 87 2 4 2 5" xfId="12202"/>
    <cellStyle name="Comma 87 2 4 3" xfId="7368"/>
    <cellStyle name="Comma 87 2 4 3 2" xfId="21475"/>
    <cellStyle name="Comma 87 2 4 3 3" xfId="16002"/>
    <cellStyle name="Comma 87 2 4 4" xfId="13938"/>
    <cellStyle name="Comma 87 2 4 5" xfId="19471"/>
    <cellStyle name="Comma 87 2 4 6" xfId="10615"/>
    <cellStyle name="Comma 87 2 5" xfId="4324"/>
    <cellStyle name="Comma 87 2 5 2" xfId="8160"/>
    <cellStyle name="Comma 87 2 5 2 2" xfId="22267"/>
    <cellStyle name="Comma 87 2 5 2 3" xfId="16794"/>
    <cellStyle name="Comma 87 2 5 3" xfId="13939"/>
    <cellStyle name="Comma 87 2 5 4" xfId="19472"/>
    <cellStyle name="Comma 87 2 5 5" xfId="11407"/>
    <cellStyle name="Comma 87 2 6" xfId="7009"/>
    <cellStyle name="Comma 87 2 6 2" xfId="21119"/>
    <cellStyle name="Comma 87 2 6 3" xfId="15646"/>
    <cellStyle name="Comma 87 2 7" xfId="12991"/>
    <cellStyle name="Comma 87 2 8" xfId="18533"/>
    <cellStyle name="Comma 87 2 9" xfId="23916"/>
    <cellStyle name="Comma 87 3" xfId="4325"/>
    <cellStyle name="Comma 87 4" xfId="4326"/>
    <cellStyle name="Comma 87 4 2" xfId="6346"/>
    <cellStyle name="Comma 87 4 2 2" xfId="8782"/>
    <cellStyle name="Comma 87 4 2 2 2" xfId="22883"/>
    <cellStyle name="Comma 87 4 2 2 3" xfId="17416"/>
    <cellStyle name="Comma 87 4 2 3" xfId="15175"/>
    <cellStyle name="Comma 87 4 2 4" xfId="20669"/>
    <cellStyle name="Comma 87 4 2 5" xfId="12026"/>
    <cellStyle name="Comma 87 4 3" xfId="7192"/>
    <cellStyle name="Comma 87 4 3 2" xfId="21299"/>
    <cellStyle name="Comma 87 4 3 3" xfId="15826"/>
    <cellStyle name="Comma 87 4 4" xfId="13940"/>
    <cellStyle name="Comma 87 4 5" xfId="19473"/>
    <cellStyle name="Comma 87 4 6" xfId="10439"/>
    <cellStyle name="Comma 87 5" xfId="4327"/>
    <cellStyle name="Comma 87 5 2" xfId="7984"/>
    <cellStyle name="Comma 87 5 2 2" xfId="22091"/>
    <cellStyle name="Comma 87 5 2 3" xfId="16618"/>
    <cellStyle name="Comma 87 5 3" xfId="13941"/>
    <cellStyle name="Comma 87 5 4" xfId="19474"/>
    <cellStyle name="Comma 87 5 5" xfId="11231"/>
    <cellStyle name="Comma 88" xfId="2367"/>
    <cellStyle name="Comma 88 2" xfId="3169"/>
    <cellStyle name="Comma 88 2 10" xfId="10263"/>
    <cellStyle name="Comma 88 2 11" xfId="24386"/>
    <cellStyle name="Comma 88 2 12" xfId="41493"/>
    <cellStyle name="Comma 88 2 2" xfId="4328"/>
    <cellStyle name="Comma 88 2 2 2" xfId="4329"/>
    <cellStyle name="Comma 88 2 2 2 2" xfId="8340"/>
    <cellStyle name="Comma 88 2 2 2 2 2" xfId="22447"/>
    <cellStyle name="Comma 88 2 2 2 2 3" xfId="16974"/>
    <cellStyle name="Comma 88 2 2 2 3" xfId="13943"/>
    <cellStyle name="Comma 88 2 2 2 4" xfId="19476"/>
    <cellStyle name="Comma 88 2 2 2 5" xfId="11588"/>
    <cellStyle name="Comma 88 2 2 3" xfId="4330"/>
    <cellStyle name="Comma 88 2 2 3 2" xfId="9138"/>
    <cellStyle name="Comma 88 2 2 3 2 2" xfId="23239"/>
    <cellStyle name="Comma 88 2 2 3 2 3" xfId="17772"/>
    <cellStyle name="Comma 88 2 2 3 3" xfId="13944"/>
    <cellStyle name="Comma 88 2 2 3 4" xfId="19477"/>
    <cellStyle name="Comma 88 2 2 3 5" xfId="12383"/>
    <cellStyle name="Comma 88 2 2 4" xfId="7548"/>
    <cellStyle name="Comma 88 2 2 4 2" xfId="21655"/>
    <cellStyle name="Comma 88 2 2 4 3" xfId="16182"/>
    <cellStyle name="Comma 88 2 2 5" xfId="13942"/>
    <cellStyle name="Comma 88 2 2 6" xfId="19475"/>
    <cellStyle name="Comma 88 2 2 7" xfId="10795"/>
    <cellStyle name="Comma 88 2 3" xfId="4331"/>
    <cellStyle name="Comma 88 2 3 2" xfId="4332"/>
    <cellStyle name="Comma 88 2 3 2 2" xfId="8600"/>
    <cellStyle name="Comma 88 2 3 2 2 2" xfId="22707"/>
    <cellStyle name="Comma 88 2 3 2 2 3" xfId="17234"/>
    <cellStyle name="Comma 88 2 3 2 3" xfId="13946"/>
    <cellStyle name="Comma 88 2 3 2 4" xfId="19479"/>
    <cellStyle name="Comma 88 2 3 2 5" xfId="11848"/>
    <cellStyle name="Comma 88 2 3 3" xfId="7808"/>
    <cellStyle name="Comma 88 2 3 3 2" xfId="21915"/>
    <cellStyle name="Comma 88 2 3 3 3" xfId="16442"/>
    <cellStyle name="Comma 88 2 3 4" xfId="13945"/>
    <cellStyle name="Comma 88 2 3 5" xfId="19478"/>
    <cellStyle name="Comma 88 2 3 6" xfId="11055"/>
    <cellStyle name="Comma 88 2 4" xfId="4333"/>
    <cellStyle name="Comma 88 2 4 2" xfId="6526"/>
    <cellStyle name="Comma 88 2 4 2 2" xfId="8962"/>
    <cellStyle name="Comma 88 2 4 2 2 2" xfId="23063"/>
    <cellStyle name="Comma 88 2 4 2 2 3" xfId="17596"/>
    <cellStyle name="Comma 88 2 4 2 3" xfId="15355"/>
    <cellStyle name="Comma 88 2 4 2 4" xfId="20849"/>
    <cellStyle name="Comma 88 2 4 2 5" xfId="12206"/>
    <cellStyle name="Comma 88 2 4 3" xfId="7372"/>
    <cellStyle name="Comma 88 2 4 3 2" xfId="21479"/>
    <cellStyle name="Comma 88 2 4 3 3" xfId="16006"/>
    <cellStyle name="Comma 88 2 4 4" xfId="13947"/>
    <cellStyle name="Comma 88 2 4 5" xfId="19480"/>
    <cellStyle name="Comma 88 2 4 6" xfId="10619"/>
    <cellStyle name="Comma 88 2 5" xfId="4334"/>
    <cellStyle name="Comma 88 2 5 2" xfId="8164"/>
    <cellStyle name="Comma 88 2 5 2 2" xfId="22271"/>
    <cellStyle name="Comma 88 2 5 2 3" xfId="16798"/>
    <cellStyle name="Comma 88 2 5 3" xfId="13948"/>
    <cellStyle name="Comma 88 2 5 4" xfId="19481"/>
    <cellStyle name="Comma 88 2 5 5" xfId="11411"/>
    <cellStyle name="Comma 88 2 6" xfId="7013"/>
    <cellStyle name="Comma 88 2 6 2" xfId="21123"/>
    <cellStyle name="Comma 88 2 6 3" xfId="15650"/>
    <cellStyle name="Comma 88 2 7" xfId="12961"/>
    <cellStyle name="Comma 88 2 8" xfId="18503"/>
    <cellStyle name="Comma 88 2 9" xfId="23929"/>
    <cellStyle name="Comma 88 3" xfId="4335"/>
    <cellStyle name="Comma 88 4" xfId="4336"/>
    <cellStyle name="Comma 88 4 2" xfId="6350"/>
    <cellStyle name="Comma 88 4 2 2" xfId="8786"/>
    <cellStyle name="Comma 88 4 2 2 2" xfId="22887"/>
    <cellStyle name="Comma 88 4 2 2 3" xfId="17420"/>
    <cellStyle name="Comma 88 4 2 3" xfId="15179"/>
    <cellStyle name="Comma 88 4 2 4" xfId="20673"/>
    <cellStyle name="Comma 88 4 2 5" xfId="12030"/>
    <cellStyle name="Comma 88 4 3" xfId="7196"/>
    <cellStyle name="Comma 88 4 3 2" xfId="21303"/>
    <cellStyle name="Comma 88 4 3 3" xfId="15830"/>
    <cellStyle name="Comma 88 4 4" xfId="13949"/>
    <cellStyle name="Comma 88 4 5" xfId="19482"/>
    <cellStyle name="Comma 88 4 6" xfId="10443"/>
    <cellStyle name="Comma 88 5" xfId="4337"/>
    <cellStyle name="Comma 88 5 2" xfId="7988"/>
    <cellStyle name="Comma 88 5 2 2" xfId="22095"/>
    <cellStyle name="Comma 88 5 2 3" xfId="16622"/>
    <cellStyle name="Comma 88 5 3" xfId="13950"/>
    <cellStyle name="Comma 88 5 4" xfId="19483"/>
    <cellStyle name="Comma 88 5 5" xfId="11235"/>
    <cellStyle name="Comma 89" xfId="2355"/>
    <cellStyle name="Comma 89 2" xfId="4338"/>
    <cellStyle name="Comma 89 2 2" xfId="23922"/>
    <cellStyle name="Comma 89 2 3" xfId="24368"/>
    <cellStyle name="Comma 89 2 4" xfId="41494"/>
    <cellStyle name="Comma 89 3" xfId="4339"/>
    <cellStyle name="Comma 89 4" xfId="4340"/>
    <cellStyle name="Comma 9" xfId="327"/>
    <cellStyle name="Comma 9 2" xfId="554"/>
    <cellStyle name="Comma 9 2 2" xfId="1358"/>
    <cellStyle name="Comma 9 2 3" xfId="2918"/>
    <cellStyle name="Comma 9 2 3 2" xfId="41495"/>
    <cellStyle name="Comma 9 2 4" xfId="41496"/>
    <cellStyle name="Comma 9 3" xfId="1286"/>
    <cellStyle name="Comma 9 3 2" xfId="6035"/>
    <cellStyle name="Comma 9 3 2 2" xfId="24298"/>
    <cellStyle name="Comma 9 4" xfId="1270"/>
    <cellStyle name="Comma 9 4 2" xfId="41497"/>
    <cellStyle name="Comma 90" xfId="2365"/>
    <cellStyle name="Comma 90 2" xfId="4341"/>
    <cellStyle name="Comma 90 2 2" xfId="23927"/>
    <cellStyle name="Comma 90 2 3" xfId="12471"/>
    <cellStyle name="Comma 90 2 4" xfId="41498"/>
    <cellStyle name="Comma 90 3" xfId="4342"/>
    <cellStyle name="Comma 90 4" xfId="4343"/>
    <cellStyle name="Comma 91" xfId="2170"/>
    <cellStyle name="Comma 91 2" xfId="4344"/>
    <cellStyle name="Comma 91 2 2" xfId="23850"/>
    <cellStyle name="Comma 91 2 3" xfId="24618"/>
    <cellStyle name="Comma 91 2 4" xfId="41499"/>
    <cellStyle name="Comma 91 3" xfId="4345"/>
    <cellStyle name="Comma 91 4" xfId="4346"/>
    <cellStyle name="Comma 92" xfId="2169"/>
    <cellStyle name="Comma 92 2" xfId="4347"/>
    <cellStyle name="Comma 92 2 2" xfId="23849"/>
    <cellStyle name="Comma 92 3" xfId="4348"/>
    <cellStyle name="Comma 92 4" xfId="4349"/>
    <cellStyle name="Comma 93" xfId="2171"/>
    <cellStyle name="Comma 93 2" xfId="4350"/>
    <cellStyle name="Comma 93 2 2" xfId="23851"/>
    <cellStyle name="Comma 94" xfId="2195"/>
    <cellStyle name="Comma 94 2" xfId="4351"/>
    <cellStyle name="Comma 94 2 2" xfId="23862"/>
    <cellStyle name="Comma 95" xfId="2335"/>
    <cellStyle name="Comma 95 2" xfId="4352"/>
    <cellStyle name="Comma 95 2 2" xfId="23910"/>
    <cellStyle name="Comma 96" xfId="2374"/>
    <cellStyle name="Comma 96 2" xfId="4353"/>
    <cellStyle name="Comma 96 2 2" xfId="23936"/>
    <cellStyle name="Comma 97" xfId="2349"/>
    <cellStyle name="Comma 97 2" xfId="4354"/>
    <cellStyle name="Comma 97 2 2" xfId="23918"/>
    <cellStyle name="Comma 98" xfId="2315"/>
    <cellStyle name="Comma 98 2" xfId="4355"/>
    <cellStyle name="Comma 98 2 2" xfId="23892"/>
    <cellStyle name="Comma 99" xfId="2187"/>
    <cellStyle name="Comma 99 2" xfId="4356"/>
    <cellStyle name="Comma 99 2 2" xfId="23859"/>
    <cellStyle name="Comma0" xfId="328"/>
    <cellStyle name="Comma0 - Modelo1" xfId="329"/>
    <cellStyle name="Comma0 - Style1" xfId="330"/>
    <cellStyle name="Comma0 - Style3" xfId="331"/>
    <cellStyle name="Comma0 10" xfId="525"/>
    <cellStyle name="Comma0 10 2" xfId="1966"/>
    <cellStyle name="Comma0 100" xfId="6811"/>
    <cellStyle name="Comma0 101" xfId="9594"/>
    <cellStyle name="Comma0 102" xfId="9671"/>
    <cellStyle name="Comma0 103" xfId="9768"/>
    <cellStyle name="Comma0 104" xfId="9802"/>
    <cellStyle name="Comma0 105" xfId="9711"/>
    <cellStyle name="Comma0 106" xfId="9673"/>
    <cellStyle name="Comma0 107" xfId="9721"/>
    <cellStyle name="Comma0 108" xfId="9621"/>
    <cellStyle name="Comma0 109" xfId="9852"/>
    <cellStyle name="Comma0 11" xfId="531"/>
    <cellStyle name="Comma0 11 2" xfId="1971"/>
    <cellStyle name="Comma0 110" xfId="9940"/>
    <cellStyle name="Comma0 111" xfId="10076"/>
    <cellStyle name="Comma0 112" xfId="10084"/>
    <cellStyle name="Comma0 113" xfId="12536"/>
    <cellStyle name="Comma0 114" xfId="41500"/>
    <cellStyle name="Comma0 115" xfId="41501"/>
    <cellStyle name="Comma0 116" xfId="44125"/>
    <cellStyle name="Comma0 12" xfId="521"/>
    <cellStyle name="Comma0 12 2" xfId="1964"/>
    <cellStyle name="Comma0 13" xfId="532"/>
    <cellStyle name="Comma0 13 2" xfId="1972"/>
    <cellStyle name="Comma0 14" xfId="966"/>
    <cellStyle name="Comma0 14 2" xfId="1987"/>
    <cellStyle name="Comma0 14 2 2" xfId="41503"/>
    <cellStyle name="Comma0 14 3" xfId="2359"/>
    <cellStyle name="Comma0 14 4" xfId="1884"/>
    <cellStyle name="Comma0 14 5" xfId="4357"/>
    <cellStyle name="Comma0 14 6" xfId="41502"/>
    <cellStyle name="Comma0 15" xfId="1025"/>
    <cellStyle name="Comma0 15 2" xfId="2360"/>
    <cellStyle name="Comma0 16" xfId="1040"/>
    <cellStyle name="Comma0 16 2" xfId="2829"/>
    <cellStyle name="Comma0 17" xfId="1043"/>
    <cellStyle name="Comma0 17 2" xfId="2830"/>
    <cellStyle name="Comma0 18" xfId="1049"/>
    <cellStyle name="Comma0 18 2" xfId="2832"/>
    <cellStyle name="Comma0 19" xfId="1055"/>
    <cellStyle name="Comma0 19 2" xfId="2834"/>
    <cellStyle name="Comma0 2" xfId="332"/>
    <cellStyle name="Comma0 2 2" xfId="1918"/>
    <cellStyle name="Comma0 2 3" xfId="2758"/>
    <cellStyle name="Comma0 20" xfId="1058"/>
    <cellStyle name="Comma0 20 2" xfId="2835"/>
    <cellStyle name="Comma0 21" xfId="1052"/>
    <cellStyle name="Comma0 21 2" xfId="2833"/>
    <cellStyle name="Comma0 22" xfId="1044"/>
    <cellStyle name="Comma0 22 2" xfId="2831"/>
    <cellStyle name="Comma0 23" xfId="873"/>
    <cellStyle name="Comma0 23 2" xfId="2803"/>
    <cellStyle name="Comma0 24" xfId="1061"/>
    <cellStyle name="Comma0 24 2" xfId="2837"/>
    <cellStyle name="Comma0 25" xfId="1068"/>
    <cellStyle name="Comma0 25 2" xfId="1108"/>
    <cellStyle name="Comma0 25 3" xfId="2839"/>
    <cellStyle name="Comma0 26" xfId="1107"/>
    <cellStyle name="Comma0 26 2" xfId="2868"/>
    <cellStyle name="Comma0 27" xfId="1158"/>
    <cellStyle name="Comma0 27 2" xfId="1479"/>
    <cellStyle name="Comma0 27 3" xfId="2885"/>
    <cellStyle name="Comma0 28" xfId="1165"/>
    <cellStyle name="Comma0 28 2" xfId="2888"/>
    <cellStyle name="Comma0 29" xfId="1238"/>
    <cellStyle name="Comma0 29 2" xfId="2909"/>
    <cellStyle name="Comma0 3" xfId="333"/>
    <cellStyle name="Comma0 3 2" xfId="1919"/>
    <cellStyle name="Comma0 3 3" xfId="2759"/>
    <cellStyle name="Comma0 30" xfId="1234"/>
    <cellStyle name="Comma0 30 2" xfId="2907"/>
    <cellStyle name="Comma0 31" xfId="1245"/>
    <cellStyle name="Comma0 31 2" xfId="2912"/>
    <cellStyle name="Comma0 32" xfId="1240"/>
    <cellStyle name="Comma0 32 2" xfId="2910"/>
    <cellStyle name="Comma0 33" xfId="1215"/>
    <cellStyle name="Comma0 33 2" xfId="2902"/>
    <cellStyle name="Comma0 34" xfId="1213"/>
    <cellStyle name="Comma0 34 2" xfId="2900"/>
    <cellStyle name="Comma0 35" xfId="1224"/>
    <cellStyle name="Comma0 35 2" xfId="2904"/>
    <cellStyle name="Comma0 36" xfId="1235"/>
    <cellStyle name="Comma0 36 2" xfId="2908"/>
    <cellStyle name="Comma0 37" xfId="1214"/>
    <cellStyle name="Comma0 37 2" xfId="2901"/>
    <cellStyle name="Comma0 38" xfId="1216"/>
    <cellStyle name="Comma0 38 2" xfId="2903"/>
    <cellStyle name="Comma0 39" xfId="1204"/>
    <cellStyle name="Comma0 39 2" xfId="2898"/>
    <cellStyle name="Comma0 4" xfId="334"/>
    <cellStyle name="Comma0 4 2" xfId="1920"/>
    <cellStyle name="Comma0 4 3" xfId="2760"/>
    <cellStyle name="Comma0 40" xfId="1155"/>
    <cellStyle name="Comma0 40 2" xfId="2882"/>
    <cellStyle name="Comma0 41" xfId="1227"/>
    <cellStyle name="Comma0 41 2" xfId="2905"/>
    <cellStyle name="Comma0 42" xfId="1241"/>
    <cellStyle name="Comma0 42 2" xfId="2911"/>
    <cellStyle name="Comma0 43" xfId="1206"/>
    <cellStyle name="Comma0 43 2" xfId="2899"/>
    <cellStyle name="Comma0 44" xfId="1187"/>
    <cellStyle name="Comma0 44 2" xfId="2894"/>
    <cellStyle name="Comma0 45" xfId="1200"/>
    <cellStyle name="Comma0 46" xfId="1264"/>
    <cellStyle name="Comma0 47" xfId="1283"/>
    <cellStyle name="Comma0 48" xfId="1263"/>
    <cellStyle name="Comma0 49" xfId="1287"/>
    <cellStyle name="Comma0 5" xfId="335"/>
    <cellStyle name="Comma0 5 2" xfId="1921"/>
    <cellStyle name="Comma0 5 3" xfId="2761"/>
    <cellStyle name="Comma0 50" xfId="1520"/>
    <cellStyle name="Comma0 51" xfId="2540"/>
    <cellStyle name="Comma0 52" xfId="2526"/>
    <cellStyle name="Comma0 53" xfId="1880"/>
    <cellStyle name="Comma0 54" xfId="2002"/>
    <cellStyle name="Comma0 55" xfId="2494"/>
    <cellStyle name="Comma0 56" xfId="2538"/>
    <cellStyle name="Comma0 57" xfId="2520"/>
    <cellStyle name="Comma0 58" xfId="1962"/>
    <cellStyle name="Comma0 59" xfId="2504"/>
    <cellStyle name="Comma0 6" xfId="526"/>
    <cellStyle name="Comma0 6 2" xfId="1967"/>
    <cellStyle name="Comma0 6 3" xfId="2762"/>
    <cellStyle name="Comma0 60" xfId="2550"/>
    <cellStyle name="Comma0 61" xfId="1911"/>
    <cellStyle name="Comma0 62" xfId="2502"/>
    <cellStyle name="Comma0 63" xfId="2527"/>
    <cellStyle name="Comma0 64" xfId="1879"/>
    <cellStyle name="Comma0 65" xfId="2001"/>
    <cellStyle name="Comma0 66" xfId="2514"/>
    <cellStyle name="Comma0 67" xfId="1897"/>
    <cellStyle name="Comma0 68" xfId="2532"/>
    <cellStyle name="Comma0 69" xfId="2004"/>
    <cellStyle name="Comma0 7" xfId="534"/>
    <cellStyle name="Comma0 7 2" xfId="1974"/>
    <cellStyle name="Comma0 7 3" xfId="2763"/>
    <cellStyle name="Comma0 70" xfId="2516"/>
    <cellStyle name="Comma0 71" xfId="2230"/>
    <cellStyle name="Comma0 72" xfId="1886"/>
    <cellStyle name="Comma0 73" xfId="1883"/>
    <cellStyle name="Comma0 74" xfId="2226"/>
    <cellStyle name="Comma0 75" xfId="1909"/>
    <cellStyle name="Comma0 76" xfId="2529"/>
    <cellStyle name="Comma0 77" xfId="2539"/>
    <cellStyle name="Comma0 78" xfId="1927"/>
    <cellStyle name="Comma0 79" xfId="2559"/>
    <cellStyle name="Comma0 8" xfId="524"/>
    <cellStyle name="Comma0 8 2" xfId="1965"/>
    <cellStyle name="Comma0 80" xfId="2560"/>
    <cellStyle name="Comma0 81" xfId="2558"/>
    <cellStyle name="Comma0 82" xfId="2567"/>
    <cellStyle name="Comma0 83" xfId="2572"/>
    <cellStyle name="Comma0 84" xfId="3090"/>
    <cellStyle name="Comma0 85" xfId="3125"/>
    <cellStyle name="Comma0 86" xfId="3089"/>
    <cellStyle name="Comma0 87" xfId="3126"/>
    <cellStyle name="Comma0 88" xfId="3088"/>
    <cellStyle name="Comma0 89" xfId="6036"/>
    <cellStyle name="Comma0 9" xfId="533"/>
    <cellStyle name="Comma0 9 2" xfId="1973"/>
    <cellStyle name="Comma0 90" xfId="6090"/>
    <cellStyle name="Comma0 91" xfId="6105"/>
    <cellStyle name="Comma0 92" xfId="6816"/>
    <cellStyle name="Comma0 93" xfId="6864"/>
    <cellStyle name="Comma0 94" xfId="6920"/>
    <cellStyle name="Comma0 95" xfId="9550"/>
    <cellStyle name="Comma0 96" xfId="9501"/>
    <cellStyle name="Comma0 97" xfId="9554"/>
    <cellStyle name="Comma0 98" xfId="9560"/>
    <cellStyle name="Comma0 99" xfId="9555"/>
    <cellStyle name="Comma1 - Modelo2" xfId="336"/>
    <cellStyle name="Comma1 - Style1" xfId="337"/>
    <cellStyle name="Comma1 - Style2" xfId="338"/>
    <cellStyle name="Company Name" xfId="339"/>
    <cellStyle name="Company Name 2" xfId="340"/>
    <cellStyle name="Company Name 2 2" xfId="4358"/>
    <cellStyle name="Company Name 3" xfId="686"/>
    <cellStyle name="Company Name 4" xfId="653"/>
    <cellStyle name="Company Name 5" xfId="41504"/>
    <cellStyle name="Contracts" xfId="341"/>
    <cellStyle name="Contracts 2" xfId="687"/>
    <cellStyle name="Contracts 2 2" xfId="1539"/>
    <cellStyle name="Contracts 2 2 2" xfId="41507"/>
    <cellStyle name="Contracts 2 3" xfId="2043"/>
    <cellStyle name="Contracts 2 3 2" xfId="41508"/>
    <cellStyle name="Contracts 2 4" xfId="2006"/>
    <cellStyle name="Contracts 2 4 2" xfId="41509"/>
    <cellStyle name="Contracts 2 5" xfId="41506"/>
    <cellStyle name="Contracts 3" xfId="1069"/>
    <cellStyle name="Contracts 3 2" xfId="1109"/>
    <cellStyle name="Contracts 3 2 2" xfId="41511"/>
    <cellStyle name="Contracts 3 3" xfId="2840"/>
    <cellStyle name="Contracts 3 3 2" xfId="41512"/>
    <cellStyle name="Contracts 3 4" xfId="41510"/>
    <cellStyle name="Contracts 4" xfId="1159"/>
    <cellStyle name="Contracts 4 2" xfId="41513"/>
    <cellStyle name="Contracts 5" xfId="41505"/>
    <cellStyle name="Credit" xfId="342"/>
    <cellStyle name="Credit 2" xfId="688"/>
    <cellStyle name="Credit 2 2" xfId="2044"/>
    <cellStyle name="Credit 2 3" xfId="2007"/>
    <cellStyle name="Credit 3" xfId="1070"/>
    <cellStyle name="Credit 3 2" xfId="1110"/>
    <cellStyle name="Credit 3 3" xfId="2841"/>
    <cellStyle name="Credit 4" xfId="1160"/>
    <cellStyle name="Credit subtotal" xfId="343"/>
    <cellStyle name="Credit subtotal 2" xfId="690"/>
    <cellStyle name="Credit subtotal 2 2" xfId="2045"/>
    <cellStyle name="Credit subtotal 2 2 2" xfId="6039"/>
    <cellStyle name="Credit subtotal 2 2 2 2" xfId="18177"/>
    <cellStyle name="Credit subtotal 2 2 2 2 10" xfId="26376"/>
    <cellStyle name="Credit subtotal 2 2 2 2 10 2" xfId="35142"/>
    <cellStyle name="Credit subtotal 2 2 2 2 11" xfId="27361"/>
    <cellStyle name="Credit subtotal 2 2 2 2 11 2" xfId="36121"/>
    <cellStyle name="Credit subtotal 2 2 2 2 12" xfId="32921"/>
    <cellStyle name="Credit subtotal 2 2 2 2 2" xfId="24447"/>
    <cellStyle name="Credit subtotal 2 2 2 2 2 10" xfId="32200"/>
    <cellStyle name="Credit subtotal 2 2 2 2 2 10 2" xfId="40954"/>
    <cellStyle name="Credit subtotal 2 2 2 2 2 11" xfId="33275"/>
    <cellStyle name="Credit subtotal 2 2 2 2 2 2" xfId="29055"/>
    <cellStyle name="Credit subtotal 2 2 2 2 2 2 2" xfId="37809"/>
    <cellStyle name="Credit subtotal 2 2 2 2 2 3" xfId="29468"/>
    <cellStyle name="Credit subtotal 2 2 2 2 2 3 2" xfId="38222"/>
    <cellStyle name="Credit subtotal 2 2 2 2 2 4" xfId="29888"/>
    <cellStyle name="Credit subtotal 2 2 2 2 2 4 2" xfId="38642"/>
    <cellStyle name="Credit subtotal 2 2 2 2 2 5" xfId="30307"/>
    <cellStyle name="Credit subtotal 2 2 2 2 2 5 2" xfId="39061"/>
    <cellStyle name="Credit subtotal 2 2 2 2 2 6" xfId="30708"/>
    <cellStyle name="Credit subtotal 2 2 2 2 2 6 2" xfId="39462"/>
    <cellStyle name="Credit subtotal 2 2 2 2 2 7" xfId="31094"/>
    <cellStyle name="Credit subtotal 2 2 2 2 2 7 2" xfId="39848"/>
    <cellStyle name="Credit subtotal 2 2 2 2 2 8" xfId="31472"/>
    <cellStyle name="Credit subtotal 2 2 2 2 2 8 2" xfId="40226"/>
    <cellStyle name="Credit subtotal 2 2 2 2 2 9" xfId="31838"/>
    <cellStyle name="Credit subtotal 2 2 2 2 2 9 2" xfId="40592"/>
    <cellStyle name="Credit subtotal 2 2 2 2 3" xfId="27667"/>
    <cellStyle name="Credit subtotal 2 2 2 2 3 2" xfId="36427"/>
    <cellStyle name="Credit subtotal 2 2 2 2 4" xfId="28527"/>
    <cellStyle name="Credit subtotal 2 2 2 2 4 2" xfId="37283"/>
    <cellStyle name="Credit subtotal 2 2 2 2 5" xfId="26332"/>
    <cellStyle name="Credit subtotal 2 2 2 2 5 2" xfId="35098"/>
    <cellStyle name="Credit subtotal 2 2 2 2 6" xfId="25832"/>
    <cellStyle name="Credit subtotal 2 2 2 2 6 2" xfId="34598"/>
    <cellStyle name="Credit subtotal 2 2 2 2 7" xfId="27178"/>
    <cellStyle name="Credit subtotal 2 2 2 2 7 2" xfId="35938"/>
    <cellStyle name="Credit subtotal 2 2 2 2 8" xfId="27890"/>
    <cellStyle name="Credit subtotal 2 2 2 2 8 2" xfId="36650"/>
    <cellStyle name="Credit subtotal 2 2 2 2 9" xfId="25861"/>
    <cellStyle name="Credit subtotal 2 2 2 2 9 2" xfId="34627"/>
    <cellStyle name="Credit subtotal 2 2 2 3" xfId="23619"/>
    <cellStyle name="Credit subtotal 2 2 2 3 10" xfId="25395"/>
    <cellStyle name="Credit subtotal 2 2 2 3 10 2" xfId="34164"/>
    <cellStyle name="Credit subtotal 2 2 2 3 11" xfId="26776"/>
    <cellStyle name="Credit subtotal 2 2 2 3 11 2" xfId="35538"/>
    <cellStyle name="Credit subtotal 2 2 2 3 12" xfId="33089"/>
    <cellStyle name="Credit subtotal 2 2 2 3 2" xfId="24674"/>
    <cellStyle name="Credit subtotal 2 2 2 3 2 10" xfId="32375"/>
    <cellStyle name="Credit subtotal 2 2 2 3 2 10 2" xfId="41129"/>
    <cellStyle name="Credit subtotal 2 2 2 3 2 11" xfId="33450"/>
    <cellStyle name="Credit subtotal 2 2 2 3 2 2" xfId="29239"/>
    <cellStyle name="Credit subtotal 2 2 2 3 2 2 2" xfId="37993"/>
    <cellStyle name="Credit subtotal 2 2 2 3 2 3" xfId="29649"/>
    <cellStyle name="Credit subtotal 2 2 2 3 2 3 2" xfId="38403"/>
    <cellStyle name="Credit subtotal 2 2 2 3 2 4" xfId="30069"/>
    <cellStyle name="Credit subtotal 2 2 2 3 2 4 2" xfId="38823"/>
    <cellStyle name="Credit subtotal 2 2 2 3 2 5" xfId="30485"/>
    <cellStyle name="Credit subtotal 2 2 2 3 2 5 2" xfId="39239"/>
    <cellStyle name="Credit subtotal 2 2 2 3 2 6" xfId="30886"/>
    <cellStyle name="Credit subtotal 2 2 2 3 2 6 2" xfId="39640"/>
    <cellStyle name="Credit subtotal 2 2 2 3 2 7" xfId="31272"/>
    <cellStyle name="Credit subtotal 2 2 2 3 2 7 2" xfId="40026"/>
    <cellStyle name="Credit subtotal 2 2 2 3 2 8" xfId="31648"/>
    <cellStyle name="Credit subtotal 2 2 2 3 2 8 2" xfId="40402"/>
    <cellStyle name="Credit subtotal 2 2 2 3 2 9" xfId="32014"/>
    <cellStyle name="Credit subtotal 2 2 2 3 2 9 2" xfId="40768"/>
    <cellStyle name="Credit subtotal 2 2 2 3 3" xfId="28735"/>
    <cellStyle name="Credit subtotal 2 2 2 3 3 2" xfId="37491"/>
    <cellStyle name="Credit subtotal 2 2 2 3 4" xfId="25021"/>
    <cellStyle name="Credit subtotal 2 2 2 3 4 2" xfId="33795"/>
    <cellStyle name="Credit subtotal 2 2 2 3 5" xfId="25503"/>
    <cellStyle name="Credit subtotal 2 2 2 3 5 2" xfId="34272"/>
    <cellStyle name="Credit subtotal 2 2 2 3 6" xfId="26883"/>
    <cellStyle name="Credit subtotal 2 2 2 3 6 2" xfId="35643"/>
    <cellStyle name="Credit subtotal 2 2 2 3 7" xfId="27941"/>
    <cellStyle name="Credit subtotal 2 2 2 3 7 2" xfId="36701"/>
    <cellStyle name="Credit subtotal 2 2 2 3 8" xfId="28550"/>
    <cellStyle name="Credit subtotal 2 2 2 3 8 2" xfId="37306"/>
    <cellStyle name="Credit subtotal 2 2 2 3 9" xfId="25807"/>
    <cellStyle name="Credit subtotal 2 2 2 3 9 2" xfId="34574"/>
    <cellStyle name="Credit subtotal 2 2 2 4" xfId="24337"/>
    <cellStyle name="Credit subtotal 2 2 2 4 10" xfId="32121"/>
    <cellStyle name="Credit subtotal 2 2 2 4 10 2" xfId="40875"/>
    <cellStyle name="Credit subtotal 2 2 2 4 11" xfId="33196"/>
    <cellStyle name="Credit subtotal 2 2 2 4 2" xfId="28972"/>
    <cellStyle name="Credit subtotal 2 2 2 4 2 2" xfId="37726"/>
    <cellStyle name="Credit subtotal 2 2 2 4 3" xfId="29385"/>
    <cellStyle name="Credit subtotal 2 2 2 4 3 2" xfId="38139"/>
    <cellStyle name="Credit subtotal 2 2 2 4 4" xfId="29809"/>
    <cellStyle name="Credit subtotal 2 2 2 4 4 2" xfId="38563"/>
    <cellStyle name="Credit subtotal 2 2 2 4 5" xfId="30224"/>
    <cellStyle name="Credit subtotal 2 2 2 4 5 2" xfId="38978"/>
    <cellStyle name="Credit subtotal 2 2 2 4 6" xfId="30625"/>
    <cellStyle name="Credit subtotal 2 2 2 4 6 2" xfId="39379"/>
    <cellStyle name="Credit subtotal 2 2 2 4 7" xfId="31012"/>
    <cellStyle name="Credit subtotal 2 2 2 4 7 2" xfId="39766"/>
    <cellStyle name="Credit subtotal 2 2 2 4 8" xfId="31391"/>
    <cellStyle name="Credit subtotal 2 2 2 4 8 2" xfId="40145"/>
    <cellStyle name="Credit subtotal 2 2 2 4 9" xfId="31759"/>
    <cellStyle name="Credit subtotal 2 2 2 4 9 2" xfId="40513"/>
    <cellStyle name="Credit subtotal 2 2 2 5" xfId="32717"/>
    <cellStyle name="Credit subtotal 2 2 3" xfId="41514"/>
    <cellStyle name="Credit subtotal 2 2 3 2" xfId="43230"/>
    <cellStyle name="Credit subtotal 2 2 3 3" xfId="43272"/>
    <cellStyle name="Credit subtotal 2 2 3 4" xfId="43414"/>
    <cellStyle name="Credit subtotal 2 2 3 5" xfId="43826"/>
    <cellStyle name="Credit subtotal 2 3" xfId="2008"/>
    <cellStyle name="Credit subtotal 2 3 2" xfId="9370"/>
    <cellStyle name="Credit subtotal 2 3 2 2" xfId="18269"/>
    <cellStyle name="Credit subtotal 2 3 2 2 10" xfId="1664"/>
    <cellStyle name="Credit subtotal 2 3 2 2 10 2" xfId="32478"/>
    <cellStyle name="Credit subtotal 2 3 2 2 11" xfId="25427"/>
    <cellStyle name="Credit subtotal 2 3 2 2 11 2" xfId="34196"/>
    <cellStyle name="Credit subtotal 2 3 2 2 12" xfId="33013"/>
    <cellStyle name="Credit subtotal 2 3 2 2 13" xfId="43231"/>
    <cellStyle name="Credit subtotal 2 3 2 2 2" xfId="24539"/>
    <cellStyle name="Credit subtotal 2 3 2 2 2 10" xfId="32292"/>
    <cellStyle name="Credit subtotal 2 3 2 2 2 10 2" xfId="41046"/>
    <cellStyle name="Credit subtotal 2 3 2 2 2 11" xfId="33367"/>
    <cellStyle name="Credit subtotal 2 3 2 2 2 2" xfId="29147"/>
    <cellStyle name="Credit subtotal 2 3 2 2 2 2 2" xfId="37901"/>
    <cellStyle name="Credit subtotal 2 3 2 2 2 3" xfId="29560"/>
    <cellStyle name="Credit subtotal 2 3 2 2 2 3 2" xfId="38314"/>
    <cellStyle name="Credit subtotal 2 3 2 2 2 4" xfId="29980"/>
    <cellStyle name="Credit subtotal 2 3 2 2 2 4 2" xfId="38734"/>
    <cellStyle name="Credit subtotal 2 3 2 2 2 5" xfId="30399"/>
    <cellStyle name="Credit subtotal 2 3 2 2 2 5 2" xfId="39153"/>
    <cellStyle name="Credit subtotal 2 3 2 2 2 6" xfId="30800"/>
    <cellStyle name="Credit subtotal 2 3 2 2 2 6 2" xfId="39554"/>
    <cellStyle name="Credit subtotal 2 3 2 2 2 7" xfId="31186"/>
    <cellStyle name="Credit subtotal 2 3 2 2 2 7 2" xfId="39940"/>
    <cellStyle name="Credit subtotal 2 3 2 2 2 8" xfId="31564"/>
    <cellStyle name="Credit subtotal 2 3 2 2 2 8 2" xfId="40318"/>
    <cellStyle name="Credit subtotal 2 3 2 2 2 9" xfId="31930"/>
    <cellStyle name="Credit subtotal 2 3 2 2 2 9 2" xfId="40684"/>
    <cellStyle name="Credit subtotal 2 3 2 2 3" xfId="27759"/>
    <cellStyle name="Credit subtotal 2 3 2 2 3 2" xfId="36519"/>
    <cellStyle name="Credit subtotal 2 3 2 2 4" xfId="25178"/>
    <cellStyle name="Credit subtotal 2 3 2 2 4 2" xfId="33949"/>
    <cellStyle name="Credit subtotal 2 3 2 2 5" xfId="28082"/>
    <cellStyle name="Credit subtotal 2 3 2 2 5 2" xfId="36841"/>
    <cellStyle name="Credit subtotal 2 3 2 2 6" xfId="28348"/>
    <cellStyle name="Credit subtotal 2 3 2 2 6 2" xfId="37107"/>
    <cellStyle name="Credit subtotal 2 3 2 2 7" xfId="26460"/>
    <cellStyle name="Credit subtotal 2 3 2 2 7 2" xfId="35225"/>
    <cellStyle name="Credit subtotal 2 3 2 2 8" xfId="24811"/>
    <cellStyle name="Credit subtotal 2 3 2 2 8 2" xfId="33587"/>
    <cellStyle name="Credit subtotal 2 3 2 2 9" xfId="26461"/>
    <cellStyle name="Credit subtotal 2 3 2 2 9 2" xfId="35226"/>
    <cellStyle name="Credit subtotal 2 3 2 3" xfId="23680"/>
    <cellStyle name="Credit subtotal 2 3 2 3 10" xfId="25852"/>
    <cellStyle name="Credit subtotal 2 3 2 3 10 2" xfId="34618"/>
    <cellStyle name="Credit subtotal 2 3 2 3 11" xfId="25001"/>
    <cellStyle name="Credit subtotal 2 3 2 3 11 2" xfId="33775"/>
    <cellStyle name="Credit subtotal 2 3 2 3 12" xfId="33150"/>
    <cellStyle name="Credit subtotal 2 3 2 3 2" xfId="24735"/>
    <cellStyle name="Credit subtotal 2 3 2 3 2 10" xfId="32436"/>
    <cellStyle name="Credit subtotal 2 3 2 3 2 10 2" xfId="41190"/>
    <cellStyle name="Credit subtotal 2 3 2 3 2 11" xfId="33511"/>
    <cellStyle name="Credit subtotal 2 3 2 3 2 2" xfId="29300"/>
    <cellStyle name="Credit subtotal 2 3 2 3 2 2 2" xfId="38054"/>
    <cellStyle name="Credit subtotal 2 3 2 3 2 3" xfId="29710"/>
    <cellStyle name="Credit subtotal 2 3 2 3 2 3 2" xfId="38464"/>
    <cellStyle name="Credit subtotal 2 3 2 3 2 4" xfId="30130"/>
    <cellStyle name="Credit subtotal 2 3 2 3 2 4 2" xfId="38884"/>
    <cellStyle name="Credit subtotal 2 3 2 3 2 5" xfId="30546"/>
    <cellStyle name="Credit subtotal 2 3 2 3 2 5 2" xfId="39300"/>
    <cellStyle name="Credit subtotal 2 3 2 3 2 6" xfId="30947"/>
    <cellStyle name="Credit subtotal 2 3 2 3 2 6 2" xfId="39701"/>
    <cellStyle name="Credit subtotal 2 3 2 3 2 7" xfId="31333"/>
    <cellStyle name="Credit subtotal 2 3 2 3 2 7 2" xfId="40087"/>
    <cellStyle name="Credit subtotal 2 3 2 3 2 8" xfId="31709"/>
    <cellStyle name="Credit subtotal 2 3 2 3 2 8 2" xfId="40463"/>
    <cellStyle name="Credit subtotal 2 3 2 3 2 9" xfId="32075"/>
    <cellStyle name="Credit subtotal 2 3 2 3 2 9 2" xfId="40829"/>
    <cellStyle name="Credit subtotal 2 3 2 3 3" xfId="28796"/>
    <cellStyle name="Credit subtotal 2 3 2 3 3 2" xfId="37552"/>
    <cellStyle name="Credit subtotal 2 3 2 3 4" xfId="1747"/>
    <cellStyle name="Credit subtotal 2 3 2 3 4 2" xfId="32556"/>
    <cellStyle name="Credit subtotal 2 3 2 3 5" xfId="29175"/>
    <cellStyle name="Credit subtotal 2 3 2 3 5 2" xfId="37929"/>
    <cellStyle name="Credit subtotal 2 3 2 3 6" xfId="1726"/>
    <cellStyle name="Credit subtotal 2 3 2 3 6 2" xfId="32537"/>
    <cellStyle name="Credit subtotal 2 3 2 3 7" xfId="28689"/>
    <cellStyle name="Credit subtotal 2 3 2 3 7 2" xfId="37445"/>
    <cellStyle name="Credit subtotal 2 3 2 3 8" xfId="26760"/>
    <cellStyle name="Credit subtotal 2 3 2 3 8 2" xfId="35522"/>
    <cellStyle name="Credit subtotal 2 3 2 3 9" xfId="26388"/>
    <cellStyle name="Credit subtotal 2 3 2 3 9 2" xfId="35154"/>
    <cellStyle name="Credit subtotal 2 3 2 4" xfId="24405"/>
    <cellStyle name="Credit subtotal 2 3 2 4 10" xfId="32165"/>
    <cellStyle name="Credit subtotal 2 3 2 4 10 2" xfId="40919"/>
    <cellStyle name="Credit subtotal 2 3 2 4 11" xfId="33240"/>
    <cellStyle name="Credit subtotal 2 3 2 4 2" xfId="29019"/>
    <cellStyle name="Credit subtotal 2 3 2 4 2 2" xfId="37773"/>
    <cellStyle name="Credit subtotal 2 3 2 4 3" xfId="29432"/>
    <cellStyle name="Credit subtotal 2 3 2 4 3 2" xfId="38186"/>
    <cellStyle name="Credit subtotal 2 3 2 4 4" xfId="29853"/>
    <cellStyle name="Credit subtotal 2 3 2 4 4 2" xfId="38607"/>
    <cellStyle name="Credit subtotal 2 3 2 4 5" xfId="30270"/>
    <cellStyle name="Credit subtotal 2 3 2 4 5 2" xfId="39024"/>
    <cellStyle name="Credit subtotal 2 3 2 4 6" xfId="30671"/>
    <cellStyle name="Credit subtotal 2 3 2 4 6 2" xfId="39425"/>
    <cellStyle name="Credit subtotal 2 3 2 4 7" xfId="31057"/>
    <cellStyle name="Credit subtotal 2 3 2 4 7 2" xfId="39811"/>
    <cellStyle name="Credit subtotal 2 3 2 4 8" xfId="31435"/>
    <cellStyle name="Credit subtotal 2 3 2 4 8 2" xfId="40189"/>
    <cellStyle name="Credit subtotal 2 3 2 4 9" xfId="31803"/>
    <cellStyle name="Credit subtotal 2 3 2 4 9 2" xfId="40557"/>
    <cellStyle name="Credit subtotal 2 3 2 5" xfId="32788"/>
    <cellStyle name="Credit subtotal 2 4" xfId="6038"/>
    <cellStyle name="Credit subtotal 2 4 2" xfId="18176"/>
    <cellStyle name="Credit subtotal 2 4 2 10" xfId="27162"/>
    <cellStyle name="Credit subtotal 2 4 2 10 2" xfId="35922"/>
    <cellStyle name="Credit subtotal 2 4 2 11" xfId="28165"/>
    <cellStyle name="Credit subtotal 2 4 2 11 2" xfId="36924"/>
    <cellStyle name="Credit subtotal 2 4 2 12" xfId="32920"/>
    <cellStyle name="Credit subtotal 2 4 2 2" xfId="24446"/>
    <cellStyle name="Credit subtotal 2 4 2 2 10" xfId="32199"/>
    <cellStyle name="Credit subtotal 2 4 2 2 10 2" xfId="40953"/>
    <cellStyle name="Credit subtotal 2 4 2 2 11" xfId="33274"/>
    <cellStyle name="Credit subtotal 2 4 2 2 2" xfId="29054"/>
    <cellStyle name="Credit subtotal 2 4 2 2 2 2" xfId="37808"/>
    <cellStyle name="Credit subtotal 2 4 2 2 3" xfId="29467"/>
    <cellStyle name="Credit subtotal 2 4 2 2 3 2" xfId="38221"/>
    <cellStyle name="Credit subtotal 2 4 2 2 4" xfId="29887"/>
    <cellStyle name="Credit subtotal 2 4 2 2 4 2" xfId="38641"/>
    <cellStyle name="Credit subtotal 2 4 2 2 5" xfId="30306"/>
    <cellStyle name="Credit subtotal 2 4 2 2 5 2" xfId="39060"/>
    <cellStyle name="Credit subtotal 2 4 2 2 6" xfId="30707"/>
    <cellStyle name="Credit subtotal 2 4 2 2 6 2" xfId="39461"/>
    <cellStyle name="Credit subtotal 2 4 2 2 7" xfId="31093"/>
    <cellStyle name="Credit subtotal 2 4 2 2 7 2" xfId="39847"/>
    <cellStyle name="Credit subtotal 2 4 2 2 8" xfId="31471"/>
    <cellStyle name="Credit subtotal 2 4 2 2 8 2" xfId="40225"/>
    <cellStyle name="Credit subtotal 2 4 2 2 9" xfId="31837"/>
    <cellStyle name="Credit subtotal 2 4 2 2 9 2" xfId="40591"/>
    <cellStyle name="Credit subtotal 2 4 2 3" xfId="27666"/>
    <cellStyle name="Credit subtotal 2 4 2 3 2" xfId="36426"/>
    <cellStyle name="Credit subtotal 2 4 2 4" xfId="27458"/>
    <cellStyle name="Credit subtotal 2 4 2 4 2" xfId="36218"/>
    <cellStyle name="Credit subtotal 2 4 2 5" xfId="28663"/>
    <cellStyle name="Credit subtotal 2 4 2 5 2" xfId="37419"/>
    <cellStyle name="Credit subtotal 2 4 2 6" xfId="28627"/>
    <cellStyle name="Credit subtotal 2 4 2 6 2" xfId="37383"/>
    <cellStyle name="Credit subtotal 2 4 2 7" xfId="25716"/>
    <cellStyle name="Credit subtotal 2 4 2 7 2" xfId="34483"/>
    <cellStyle name="Credit subtotal 2 4 2 8" xfId="29342"/>
    <cellStyle name="Credit subtotal 2 4 2 8 2" xfId="38096"/>
    <cellStyle name="Credit subtotal 2 4 2 9" xfId="25088"/>
    <cellStyle name="Credit subtotal 2 4 2 9 2" xfId="33860"/>
    <cellStyle name="Credit subtotal 2 4 3" xfId="23618"/>
    <cellStyle name="Credit subtotal 2 4 3 10" xfId="26500"/>
    <cellStyle name="Credit subtotal 2 4 3 10 2" xfId="35265"/>
    <cellStyle name="Credit subtotal 2 4 3 11" xfId="25869"/>
    <cellStyle name="Credit subtotal 2 4 3 11 2" xfId="34635"/>
    <cellStyle name="Credit subtotal 2 4 3 12" xfId="33088"/>
    <cellStyle name="Credit subtotal 2 4 3 2" xfId="24673"/>
    <cellStyle name="Credit subtotal 2 4 3 2 10" xfId="32374"/>
    <cellStyle name="Credit subtotal 2 4 3 2 10 2" xfId="41128"/>
    <cellStyle name="Credit subtotal 2 4 3 2 11" xfId="33449"/>
    <cellStyle name="Credit subtotal 2 4 3 2 2" xfId="29238"/>
    <cellStyle name="Credit subtotal 2 4 3 2 2 2" xfId="37992"/>
    <cellStyle name="Credit subtotal 2 4 3 2 3" xfId="29648"/>
    <cellStyle name="Credit subtotal 2 4 3 2 3 2" xfId="38402"/>
    <cellStyle name="Credit subtotal 2 4 3 2 4" xfId="30068"/>
    <cellStyle name="Credit subtotal 2 4 3 2 4 2" xfId="38822"/>
    <cellStyle name="Credit subtotal 2 4 3 2 5" xfId="30484"/>
    <cellStyle name="Credit subtotal 2 4 3 2 5 2" xfId="39238"/>
    <cellStyle name="Credit subtotal 2 4 3 2 6" xfId="30885"/>
    <cellStyle name="Credit subtotal 2 4 3 2 6 2" xfId="39639"/>
    <cellStyle name="Credit subtotal 2 4 3 2 7" xfId="31271"/>
    <cellStyle name="Credit subtotal 2 4 3 2 7 2" xfId="40025"/>
    <cellStyle name="Credit subtotal 2 4 3 2 8" xfId="31647"/>
    <cellStyle name="Credit subtotal 2 4 3 2 8 2" xfId="40401"/>
    <cellStyle name="Credit subtotal 2 4 3 2 9" xfId="32013"/>
    <cellStyle name="Credit subtotal 2 4 3 2 9 2" xfId="40767"/>
    <cellStyle name="Credit subtotal 2 4 3 3" xfId="28734"/>
    <cellStyle name="Credit subtotal 2 4 3 3 2" xfId="37490"/>
    <cellStyle name="Credit subtotal 2 4 3 4" xfId="25066"/>
    <cellStyle name="Credit subtotal 2 4 3 4 2" xfId="33840"/>
    <cellStyle name="Credit subtotal 2 4 3 5" xfId="26222"/>
    <cellStyle name="Credit subtotal 2 4 3 5 2" xfId="34988"/>
    <cellStyle name="Credit subtotal 2 4 3 6" xfId="26668"/>
    <cellStyle name="Credit subtotal 2 4 3 6 2" xfId="35432"/>
    <cellStyle name="Credit subtotal 2 4 3 7" xfId="26298"/>
    <cellStyle name="Credit subtotal 2 4 3 7 2" xfId="35064"/>
    <cellStyle name="Credit subtotal 2 4 3 8" xfId="27409"/>
    <cellStyle name="Credit subtotal 2 4 3 8 2" xfId="36169"/>
    <cellStyle name="Credit subtotal 2 4 3 9" xfId="28118"/>
    <cellStyle name="Credit subtotal 2 4 3 9 2" xfId="36877"/>
    <cellStyle name="Credit subtotal 2 4 4" xfId="24586"/>
    <cellStyle name="Credit subtotal 2 4 4 10" xfId="32320"/>
    <cellStyle name="Credit subtotal 2 4 4 10 2" xfId="41074"/>
    <cellStyle name="Credit subtotal 2 4 4 11" xfId="33395"/>
    <cellStyle name="Credit subtotal 2 4 4 2" xfId="29179"/>
    <cellStyle name="Credit subtotal 2 4 4 2 2" xfId="37933"/>
    <cellStyle name="Credit subtotal 2 4 4 3" xfId="29589"/>
    <cellStyle name="Credit subtotal 2 4 4 3 2" xfId="38343"/>
    <cellStyle name="Credit subtotal 2 4 4 4" xfId="30011"/>
    <cellStyle name="Credit subtotal 2 4 4 4 2" xfId="38765"/>
    <cellStyle name="Credit subtotal 2 4 4 5" xfId="30428"/>
    <cellStyle name="Credit subtotal 2 4 4 5 2" xfId="39182"/>
    <cellStyle name="Credit subtotal 2 4 4 6" xfId="30829"/>
    <cellStyle name="Credit subtotal 2 4 4 6 2" xfId="39583"/>
    <cellStyle name="Credit subtotal 2 4 4 7" xfId="31215"/>
    <cellStyle name="Credit subtotal 2 4 4 7 2" xfId="39969"/>
    <cellStyle name="Credit subtotal 2 4 4 8" xfId="31592"/>
    <cellStyle name="Credit subtotal 2 4 4 8 2" xfId="40346"/>
    <cellStyle name="Credit subtotal 2 4 4 9" xfId="31958"/>
    <cellStyle name="Credit subtotal 2 4 4 9 2" xfId="40712"/>
    <cellStyle name="Credit subtotal 2 4 5" xfId="32716"/>
    <cellStyle name="Credit subtotal 3" xfId="689"/>
    <cellStyle name="Credit subtotal 3 10" xfId="24877"/>
    <cellStyle name="Credit subtotal 3 10 2" xfId="33651"/>
    <cellStyle name="Credit subtotal 3 11" xfId="28147"/>
    <cellStyle name="Credit subtotal 3 11 2" xfId="36906"/>
    <cellStyle name="Credit subtotal 3 12" xfId="27014"/>
    <cellStyle name="Credit subtotal 3 12 2" xfId="35774"/>
    <cellStyle name="Credit subtotal 3 2" xfId="2790"/>
    <cellStyle name="Credit subtotal 3 2 10" xfId="27404"/>
    <cellStyle name="Credit subtotal 3 2 10 2" xfId="36164"/>
    <cellStyle name="Credit subtotal 3 2 11" xfId="28552"/>
    <cellStyle name="Credit subtotal 3 2 11 2" xfId="37308"/>
    <cellStyle name="Credit subtotal 3 2 2" xfId="9442"/>
    <cellStyle name="Credit subtotal 3 2 2 10" xfId="30975"/>
    <cellStyle name="Credit subtotal 3 2 2 10 2" xfId="39729"/>
    <cellStyle name="Credit subtotal 3 2 2 11" xfId="31361"/>
    <cellStyle name="Credit subtotal 3 2 2 11 2" xfId="40115"/>
    <cellStyle name="Credit subtotal 3 2 2 12" xfId="32793"/>
    <cellStyle name="Credit subtotal 3 2 2 2" xfId="18274"/>
    <cellStyle name="Credit subtotal 3 2 2 2 10" xfId="26108"/>
    <cellStyle name="Credit subtotal 3 2 2 2 10 2" xfId="34874"/>
    <cellStyle name="Credit subtotal 3 2 2 2 11" xfId="24962"/>
    <cellStyle name="Credit subtotal 3 2 2 2 11 2" xfId="33736"/>
    <cellStyle name="Credit subtotal 3 2 2 2 12" xfId="33018"/>
    <cellStyle name="Credit subtotal 3 2 2 2 13" xfId="43232"/>
    <cellStyle name="Credit subtotal 3 2 2 2 2" xfId="24544"/>
    <cellStyle name="Credit subtotal 3 2 2 2 2 10" xfId="32297"/>
    <cellStyle name="Credit subtotal 3 2 2 2 2 10 2" xfId="41051"/>
    <cellStyle name="Credit subtotal 3 2 2 2 2 11" xfId="33372"/>
    <cellStyle name="Credit subtotal 3 2 2 2 2 2" xfId="29152"/>
    <cellStyle name="Credit subtotal 3 2 2 2 2 2 2" xfId="37906"/>
    <cellStyle name="Credit subtotal 3 2 2 2 2 3" xfId="29565"/>
    <cellStyle name="Credit subtotal 3 2 2 2 2 3 2" xfId="38319"/>
    <cellStyle name="Credit subtotal 3 2 2 2 2 4" xfId="29985"/>
    <cellStyle name="Credit subtotal 3 2 2 2 2 4 2" xfId="38739"/>
    <cellStyle name="Credit subtotal 3 2 2 2 2 5" xfId="30404"/>
    <cellStyle name="Credit subtotal 3 2 2 2 2 5 2" xfId="39158"/>
    <cellStyle name="Credit subtotal 3 2 2 2 2 6" xfId="30805"/>
    <cellStyle name="Credit subtotal 3 2 2 2 2 6 2" xfId="39559"/>
    <cellStyle name="Credit subtotal 3 2 2 2 2 7" xfId="31191"/>
    <cellStyle name="Credit subtotal 3 2 2 2 2 7 2" xfId="39945"/>
    <cellStyle name="Credit subtotal 3 2 2 2 2 8" xfId="31569"/>
    <cellStyle name="Credit subtotal 3 2 2 2 2 8 2" xfId="40323"/>
    <cellStyle name="Credit subtotal 3 2 2 2 2 9" xfId="31935"/>
    <cellStyle name="Credit subtotal 3 2 2 2 2 9 2" xfId="40689"/>
    <cellStyle name="Credit subtotal 3 2 2 2 3" xfId="27764"/>
    <cellStyle name="Credit subtotal 3 2 2 2 3 2" xfId="36524"/>
    <cellStyle name="Credit subtotal 3 2 2 2 4" xfId="28491"/>
    <cellStyle name="Credit subtotal 3 2 2 2 4 2" xfId="37247"/>
    <cellStyle name="Credit subtotal 3 2 2 2 5" xfId="27385"/>
    <cellStyle name="Credit subtotal 3 2 2 2 5 2" xfId="36145"/>
    <cellStyle name="Credit subtotal 3 2 2 2 6" xfId="26592"/>
    <cellStyle name="Credit subtotal 3 2 2 2 6 2" xfId="35357"/>
    <cellStyle name="Credit subtotal 3 2 2 2 7" xfId="26492"/>
    <cellStyle name="Credit subtotal 3 2 2 2 7 2" xfId="35257"/>
    <cellStyle name="Credit subtotal 3 2 2 2 8" xfId="2386"/>
    <cellStyle name="Credit subtotal 3 2 2 2 8 2" xfId="32641"/>
    <cellStyle name="Credit subtotal 3 2 2 2 9" xfId="1785"/>
    <cellStyle name="Credit subtotal 3 2 2 2 9 2" xfId="32593"/>
    <cellStyle name="Credit subtotal 3 2 2 3" xfId="23685"/>
    <cellStyle name="Credit subtotal 3 2 2 3 10" xfId="25496"/>
    <cellStyle name="Credit subtotal 3 2 2 3 10 2" xfId="34265"/>
    <cellStyle name="Credit subtotal 3 2 2 3 11" xfId="25334"/>
    <cellStyle name="Credit subtotal 3 2 2 3 11 2" xfId="34103"/>
    <cellStyle name="Credit subtotal 3 2 2 3 12" xfId="33155"/>
    <cellStyle name="Credit subtotal 3 2 2 3 2" xfId="24740"/>
    <cellStyle name="Credit subtotal 3 2 2 3 2 10" xfId="32441"/>
    <cellStyle name="Credit subtotal 3 2 2 3 2 10 2" xfId="41195"/>
    <cellStyle name="Credit subtotal 3 2 2 3 2 11" xfId="33516"/>
    <cellStyle name="Credit subtotal 3 2 2 3 2 2" xfId="29305"/>
    <cellStyle name="Credit subtotal 3 2 2 3 2 2 2" xfId="38059"/>
    <cellStyle name="Credit subtotal 3 2 2 3 2 3" xfId="29715"/>
    <cellStyle name="Credit subtotal 3 2 2 3 2 3 2" xfId="38469"/>
    <cellStyle name="Credit subtotal 3 2 2 3 2 4" xfId="30135"/>
    <cellStyle name="Credit subtotal 3 2 2 3 2 4 2" xfId="38889"/>
    <cellStyle name="Credit subtotal 3 2 2 3 2 5" xfId="30551"/>
    <cellStyle name="Credit subtotal 3 2 2 3 2 5 2" xfId="39305"/>
    <cellStyle name="Credit subtotal 3 2 2 3 2 6" xfId="30952"/>
    <cellStyle name="Credit subtotal 3 2 2 3 2 6 2" xfId="39706"/>
    <cellStyle name="Credit subtotal 3 2 2 3 2 7" xfId="31338"/>
    <cellStyle name="Credit subtotal 3 2 2 3 2 7 2" xfId="40092"/>
    <cellStyle name="Credit subtotal 3 2 2 3 2 8" xfId="31714"/>
    <cellStyle name="Credit subtotal 3 2 2 3 2 8 2" xfId="40468"/>
    <cellStyle name="Credit subtotal 3 2 2 3 2 9" xfId="32080"/>
    <cellStyle name="Credit subtotal 3 2 2 3 2 9 2" xfId="40834"/>
    <cellStyle name="Credit subtotal 3 2 2 3 3" xfId="28801"/>
    <cellStyle name="Credit subtotal 3 2 2 3 3 2" xfId="37557"/>
    <cellStyle name="Credit subtotal 3 2 2 3 4" xfId="1712"/>
    <cellStyle name="Credit subtotal 3 2 2 3 4 2" xfId="32524"/>
    <cellStyle name="Credit subtotal 3 2 2 3 5" xfId="25659"/>
    <cellStyle name="Credit subtotal 3 2 2 3 5 2" xfId="34426"/>
    <cellStyle name="Credit subtotal 3 2 2 3 6" xfId="25019"/>
    <cellStyle name="Credit subtotal 3 2 2 3 6 2" xfId="33793"/>
    <cellStyle name="Credit subtotal 3 2 2 3 7" xfId="28090"/>
    <cellStyle name="Credit subtotal 3 2 2 3 7 2" xfId="36849"/>
    <cellStyle name="Credit subtotal 3 2 2 3 8" xfId="25891"/>
    <cellStyle name="Credit subtotal 3 2 2 3 8 2" xfId="34657"/>
    <cellStyle name="Credit subtotal 3 2 2 3 9" xfId="27448"/>
    <cellStyle name="Credit subtotal 3 2 2 3 9 2" xfId="36208"/>
    <cellStyle name="Credit subtotal 3 2 2 4" xfId="26528"/>
    <cellStyle name="Credit subtotal 3 2 2 4 2" xfId="35293"/>
    <cellStyle name="Credit subtotal 3 2 2 5" xfId="24972"/>
    <cellStyle name="Credit subtotal 3 2 2 5 2" xfId="33746"/>
    <cellStyle name="Credit subtotal 3 2 2 6" xfId="28887"/>
    <cellStyle name="Credit subtotal 3 2 2 6 2" xfId="37643"/>
    <cellStyle name="Credit subtotal 3 2 2 7" xfId="24862"/>
    <cellStyle name="Credit subtotal 3 2 2 7 2" xfId="33636"/>
    <cellStyle name="Credit subtotal 3 2 2 8" xfId="30164"/>
    <cellStyle name="Credit subtotal 3 2 2 8 2" xfId="38918"/>
    <cellStyle name="Credit subtotal 3 2 2 9" xfId="30575"/>
    <cellStyle name="Credit subtotal 3 2 2 9 2" xfId="39329"/>
    <cellStyle name="Credit subtotal 3 2 3" xfId="24920"/>
    <cellStyle name="Credit subtotal 3 2 3 2" xfId="33694"/>
    <cellStyle name="Credit subtotal 3 2 4" xfId="25515"/>
    <cellStyle name="Credit subtotal 3 2 4 2" xfId="34284"/>
    <cellStyle name="Credit subtotal 3 2 5" xfId="27837"/>
    <cellStyle name="Credit subtotal 3 2 5 2" xfId="36597"/>
    <cellStyle name="Credit subtotal 3 2 6" xfId="27137"/>
    <cellStyle name="Credit subtotal 3 2 6 2" xfId="35897"/>
    <cellStyle name="Credit subtotal 3 2 7" xfId="26006"/>
    <cellStyle name="Credit subtotal 3 2 7 2" xfId="34772"/>
    <cellStyle name="Credit subtotal 3 2 8" xfId="27544"/>
    <cellStyle name="Credit subtotal 3 2 8 2" xfId="36304"/>
    <cellStyle name="Credit subtotal 3 2 9" xfId="26028"/>
    <cellStyle name="Credit subtotal 3 2 9 2" xfId="34794"/>
    <cellStyle name="Credit subtotal 3 3" xfId="6854"/>
    <cellStyle name="Credit subtotal 3 3 10" xfId="31390"/>
    <cellStyle name="Credit subtotal 3 3 10 2" xfId="40144"/>
    <cellStyle name="Credit subtotal 3 3 11" xfId="31758"/>
    <cellStyle name="Credit subtotal 3 3 11 2" xfId="40512"/>
    <cellStyle name="Credit subtotal 3 3 12" xfId="32768"/>
    <cellStyle name="Credit subtotal 3 3 2" xfId="18249"/>
    <cellStyle name="Credit subtotal 3 3 2 10" xfId="27316"/>
    <cellStyle name="Credit subtotal 3 3 2 10 2" xfId="36076"/>
    <cellStyle name="Credit subtotal 3 3 2 11" xfId="26247"/>
    <cellStyle name="Credit subtotal 3 3 2 11 2" xfId="35013"/>
    <cellStyle name="Credit subtotal 3 3 2 12" xfId="32993"/>
    <cellStyle name="Credit subtotal 3 3 2 2" xfId="24519"/>
    <cellStyle name="Credit subtotal 3 3 2 2 10" xfId="32272"/>
    <cellStyle name="Credit subtotal 3 3 2 2 10 2" xfId="41026"/>
    <cellStyle name="Credit subtotal 3 3 2 2 11" xfId="33347"/>
    <cellStyle name="Credit subtotal 3 3 2 2 2" xfId="29127"/>
    <cellStyle name="Credit subtotal 3 3 2 2 2 2" xfId="37881"/>
    <cellStyle name="Credit subtotal 3 3 2 2 3" xfId="29540"/>
    <cellStyle name="Credit subtotal 3 3 2 2 3 2" xfId="38294"/>
    <cellStyle name="Credit subtotal 3 3 2 2 4" xfId="29960"/>
    <cellStyle name="Credit subtotal 3 3 2 2 4 2" xfId="38714"/>
    <cellStyle name="Credit subtotal 3 3 2 2 5" xfId="30379"/>
    <cellStyle name="Credit subtotal 3 3 2 2 5 2" xfId="39133"/>
    <cellStyle name="Credit subtotal 3 3 2 2 6" xfId="30780"/>
    <cellStyle name="Credit subtotal 3 3 2 2 6 2" xfId="39534"/>
    <cellStyle name="Credit subtotal 3 3 2 2 7" xfId="31166"/>
    <cellStyle name="Credit subtotal 3 3 2 2 7 2" xfId="39920"/>
    <cellStyle name="Credit subtotal 3 3 2 2 8" xfId="31544"/>
    <cellStyle name="Credit subtotal 3 3 2 2 8 2" xfId="40298"/>
    <cellStyle name="Credit subtotal 3 3 2 2 9" xfId="31910"/>
    <cellStyle name="Credit subtotal 3 3 2 2 9 2" xfId="40664"/>
    <cellStyle name="Credit subtotal 3 3 2 3" xfId="27739"/>
    <cellStyle name="Credit subtotal 3 3 2 3 2" xfId="36499"/>
    <cellStyle name="Credit subtotal 3 3 2 4" xfId="26514"/>
    <cellStyle name="Credit subtotal 3 3 2 4 2" xfId="35279"/>
    <cellStyle name="Credit subtotal 3 3 2 5" xfId="28142"/>
    <cellStyle name="Credit subtotal 3 3 2 5 2" xfId="36901"/>
    <cellStyle name="Credit subtotal 3 3 2 6" xfId="27372"/>
    <cellStyle name="Credit subtotal 3 3 2 6 2" xfId="36132"/>
    <cellStyle name="Credit subtotal 3 3 2 7" xfId="28168"/>
    <cellStyle name="Credit subtotal 3 3 2 7 2" xfId="36927"/>
    <cellStyle name="Credit subtotal 3 3 2 8" xfId="25980"/>
    <cellStyle name="Credit subtotal 3 3 2 8 2" xfId="34746"/>
    <cellStyle name="Credit subtotal 3 3 2 9" xfId="28149"/>
    <cellStyle name="Credit subtotal 3 3 2 9 2" xfId="36908"/>
    <cellStyle name="Credit subtotal 3 3 3" xfId="23660"/>
    <cellStyle name="Credit subtotal 3 3 3 10" xfId="25955"/>
    <cellStyle name="Credit subtotal 3 3 3 10 2" xfId="34721"/>
    <cellStyle name="Credit subtotal 3 3 3 11" xfId="25279"/>
    <cellStyle name="Credit subtotal 3 3 3 11 2" xfId="34049"/>
    <cellStyle name="Credit subtotal 3 3 3 12" xfId="33130"/>
    <cellStyle name="Credit subtotal 3 3 3 2" xfId="24715"/>
    <cellStyle name="Credit subtotal 3 3 3 2 10" xfId="32416"/>
    <cellStyle name="Credit subtotal 3 3 3 2 10 2" xfId="41170"/>
    <cellStyle name="Credit subtotal 3 3 3 2 11" xfId="33491"/>
    <cellStyle name="Credit subtotal 3 3 3 2 2" xfId="29280"/>
    <cellStyle name="Credit subtotal 3 3 3 2 2 2" xfId="38034"/>
    <cellStyle name="Credit subtotal 3 3 3 2 3" xfId="29690"/>
    <cellStyle name="Credit subtotal 3 3 3 2 3 2" xfId="38444"/>
    <cellStyle name="Credit subtotal 3 3 3 2 4" xfId="30110"/>
    <cellStyle name="Credit subtotal 3 3 3 2 4 2" xfId="38864"/>
    <cellStyle name="Credit subtotal 3 3 3 2 5" xfId="30526"/>
    <cellStyle name="Credit subtotal 3 3 3 2 5 2" xfId="39280"/>
    <cellStyle name="Credit subtotal 3 3 3 2 6" xfId="30927"/>
    <cellStyle name="Credit subtotal 3 3 3 2 6 2" xfId="39681"/>
    <cellStyle name="Credit subtotal 3 3 3 2 7" xfId="31313"/>
    <cellStyle name="Credit subtotal 3 3 3 2 7 2" xfId="40067"/>
    <cellStyle name="Credit subtotal 3 3 3 2 8" xfId="31689"/>
    <cellStyle name="Credit subtotal 3 3 3 2 8 2" xfId="40443"/>
    <cellStyle name="Credit subtotal 3 3 3 2 9" xfId="32055"/>
    <cellStyle name="Credit subtotal 3 3 3 2 9 2" xfId="40809"/>
    <cellStyle name="Credit subtotal 3 3 3 3" xfId="28776"/>
    <cellStyle name="Credit subtotal 3 3 3 3 2" xfId="37532"/>
    <cellStyle name="Credit subtotal 3 3 3 4" xfId="25061"/>
    <cellStyle name="Credit subtotal 3 3 3 4 2" xfId="33835"/>
    <cellStyle name="Credit subtotal 3 3 3 5" xfId="28166"/>
    <cellStyle name="Credit subtotal 3 3 3 5 2" xfId="36925"/>
    <cellStyle name="Credit subtotal 3 3 3 6" xfId="27959"/>
    <cellStyle name="Credit subtotal 3 3 3 6 2" xfId="36719"/>
    <cellStyle name="Credit subtotal 3 3 3 7" xfId="26260"/>
    <cellStyle name="Credit subtotal 3 3 3 7 2" xfId="35026"/>
    <cellStyle name="Credit subtotal 3 3 3 8" xfId="26522"/>
    <cellStyle name="Credit subtotal 3 3 3 8 2" xfId="35287"/>
    <cellStyle name="Credit subtotal 3 3 3 9" xfId="1882"/>
    <cellStyle name="Credit subtotal 3 3 3 9 2" xfId="32615"/>
    <cellStyle name="Credit subtotal 3 3 4" xfId="27018"/>
    <cellStyle name="Credit subtotal 3 3 4 2" xfId="35778"/>
    <cellStyle name="Credit subtotal 3 3 5" xfId="27173"/>
    <cellStyle name="Credit subtotal 3 3 5 2" xfId="35933"/>
    <cellStyle name="Credit subtotal 3 3 6" xfId="26549"/>
    <cellStyle name="Credit subtotal 3 3 6 2" xfId="35314"/>
    <cellStyle name="Credit subtotal 3 3 7" xfId="30223"/>
    <cellStyle name="Credit subtotal 3 3 7 2" xfId="38977"/>
    <cellStyle name="Credit subtotal 3 3 8" xfId="30624"/>
    <cellStyle name="Credit subtotal 3 3 8 2" xfId="39378"/>
    <cellStyle name="Credit subtotal 3 3 9" xfId="31011"/>
    <cellStyle name="Credit subtotal 3 3 9 2" xfId="39765"/>
    <cellStyle name="Credit subtotal 3 4" xfId="24774"/>
    <cellStyle name="Credit subtotal 3 4 2" xfId="33550"/>
    <cellStyle name="Credit subtotal 3 4 3" xfId="41515"/>
    <cellStyle name="Credit subtotal 3 4 4" xfId="43233"/>
    <cellStyle name="Credit subtotal 3 4 5" xfId="43273"/>
    <cellStyle name="Credit subtotal 3 4 6" xfId="43413"/>
    <cellStyle name="Credit subtotal 3 4 7" xfId="43827"/>
    <cellStyle name="Credit subtotal 3 5" xfId="24886"/>
    <cellStyle name="Credit subtotal 3 5 2" xfId="33660"/>
    <cellStyle name="Credit subtotal 3 6" xfId="25533"/>
    <cellStyle name="Credit subtotal 3 6 2" xfId="34300"/>
    <cellStyle name="Credit subtotal 3 7" xfId="26689"/>
    <cellStyle name="Credit subtotal 3 7 2" xfId="35453"/>
    <cellStyle name="Credit subtotal 3 8" xfId="25005"/>
    <cellStyle name="Credit subtotal 3 8 2" xfId="33779"/>
    <cellStyle name="Credit subtotal 3 9" xfId="27798"/>
    <cellStyle name="Credit subtotal 3 9 2" xfId="36558"/>
    <cellStyle name="Credit subtotal 4" xfId="1071"/>
    <cellStyle name="Credit subtotal 4 10" xfId="25084"/>
    <cellStyle name="Credit subtotal 4 10 2" xfId="33856"/>
    <cellStyle name="Credit subtotal 4 11" xfId="27062"/>
    <cellStyle name="Credit subtotal 4 11 2" xfId="35822"/>
    <cellStyle name="Credit subtotal 4 12" xfId="26503"/>
    <cellStyle name="Credit subtotal 4 12 2" xfId="35268"/>
    <cellStyle name="Credit subtotal 4 2" xfId="1111"/>
    <cellStyle name="Credit subtotal 4 2 10" xfId="27226"/>
    <cellStyle name="Credit subtotal 4 2 10 2" xfId="35986"/>
    <cellStyle name="Credit subtotal 4 2 11" xfId="28531"/>
    <cellStyle name="Credit subtotal 4 2 11 2" xfId="37287"/>
    <cellStyle name="Credit subtotal 4 2 2" xfId="9453"/>
    <cellStyle name="Credit subtotal 4 2 2 10" xfId="30973"/>
    <cellStyle name="Credit subtotal 4 2 2 10 2" xfId="39727"/>
    <cellStyle name="Credit subtotal 4 2 2 11" xfId="31359"/>
    <cellStyle name="Credit subtotal 4 2 2 11 2" xfId="40113"/>
    <cellStyle name="Credit subtotal 4 2 2 12" xfId="32802"/>
    <cellStyle name="Credit subtotal 4 2 2 2" xfId="18283"/>
    <cellStyle name="Credit subtotal 4 2 2 2 10" xfId="25080"/>
    <cellStyle name="Credit subtotal 4 2 2 2 10 2" xfId="33852"/>
    <cellStyle name="Credit subtotal 4 2 2 2 11" xfId="25348"/>
    <cellStyle name="Credit subtotal 4 2 2 2 11 2" xfId="34117"/>
    <cellStyle name="Credit subtotal 4 2 2 2 12" xfId="33027"/>
    <cellStyle name="Credit subtotal 4 2 2 2 13" xfId="43234"/>
    <cellStyle name="Credit subtotal 4 2 2 2 2" xfId="24553"/>
    <cellStyle name="Credit subtotal 4 2 2 2 2 10" xfId="32306"/>
    <cellStyle name="Credit subtotal 4 2 2 2 2 10 2" xfId="41060"/>
    <cellStyle name="Credit subtotal 4 2 2 2 2 11" xfId="33381"/>
    <cellStyle name="Credit subtotal 4 2 2 2 2 2" xfId="29161"/>
    <cellStyle name="Credit subtotal 4 2 2 2 2 2 2" xfId="37915"/>
    <cellStyle name="Credit subtotal 4 2 2 2 2 3" xfId="29574"/>
    <cellStyle name="Credit subtotal 4 2 2 2 2 3 2" xfId="38328"/>
    <cellStyle name="Credit subtotal 4 2 2 2 2 4" xfId="29994"/>
    <cellStyle name="Credit subtotal 4 2 2 2 2 4 2" xfId="38748"/>
    <cellStyle name="Credit subtotal 4 2 2 2 2 5" xfId="30413"/>
    <cellStyle name="Credit subtotal 4 2 2 2 2 5 2" xfId="39167"/>
    <cellStyle name="Credit subtotal 4 2 2 2 2 6" xfId="30814"/>
    <cellStyle name="Credit subtotal 4 2 2 2 2 6 2" xfId="39568"/>
    <cellStyle name="Credit subtotal 4 2 2 2 2 7" xfId="31200"/>
    <cellStyle name="Credit subtotal 4 2 2 2 2 7 2" xfId="39954"/>
    <cellStyle name="Credit subtotal 4 2 2 2 2 8" xfId="31578"/>
    <cellStyle name="Credit subtotal 4 2 2 2 2 8 2" xfId="40332"/>
    <cellStyle name="Credit subtotal 4 2 2 2 2 9" xfId="31944"/>
    <cellStyle name="Credit subtotal 4 2 2 2 2 9 2" xfId="40698"/>
    <cellStyle name="Credit subtotal 4 2 2 2 3" xfId="27773"/>
    <cellStyle name="Credit subtotal 4 2 2 2 3 2" xfId="36533"/>
    <cellStyle name="Credit subtotal 4 2 2 2 4" xfId="25745"/>
    <cellStyle name="Credit subtotal 4 2 2 2 4 2" xfId="34512"/>
    <cellStyle name="Credit subtotal 4 2 2 2 5" xfId="26156"/>
    <cellStyle name="Credit subtotal 4 2 2 2 5 2" xfId="34922"/>
    <cellStyle name="Credit subtotal 4 2 2 2 6" xfId="26780"/>
    <cellStyle name="Credit subtotal 4 2 2 2 6 2" xfId="35542"/>
    <cellStyle name="Credit subtotal 4 2 2 2 7" xfId="25201"/>
    <cellStyle name="Credit subtotal 4 2 2 2 7 2" xfId="33972"/>
    <cellStyle name="Credit subtotal 4 2 2 2 8" xfId="27072"/>
    <cellStyle name="Credit subtotal 4 2 2 2 8 2" xfId="35832"/>
    <cellStyle name="Credit subtotal 4 2 2 2 9" xfId="25787"/>
    <cellStyle name="Credit subtotal 4 2 2 2 9 2" xfId="34554"/>
    <cellStyle name="Credit subtotal 4 2 2 3" xfId="23694"/>
    <cellStyle name="Credit subtotal 4 2 2 3 10" xfId="25167"/>
    <cellStyle name="Credit subtotal 4 2 2 3 10 2" xfId="33938"/>
    <cellStyle name="Credit subtotal 4 2 2 3 11" xfId="1661"/>
    <cellStyle name="Credit subtotal 4 2 2 3 11 2" xfId="32475"/>
    <cellStyle name="Credit subtotal 4 2 2 3 12" xfId="33164"/>
    <cellStyle name="Credit subtotal 4 2 2 3 2" xfId="24749"/>
    <cellStyle name="Credit subtotal 4 2 2 3 2 10" xfId="32450"/>
    <cellStyle name="Credit subtotal 4 2 2 3 2 10 2" xfId="41204"/>
    <cellStyle name="Credit subtotal 4 2 2 3 2 11" xfId="33525"/>
    <cellStyle name="Credit subtotal 4 2 2 3 2 2" xfId="29314"/>
    <cellStyle name="Credit subtotal 4 2 2 3 2 2 2" xfId="38068"/>
    <cellStyle name="Credit subtotal 4 2 2 3 2 3" xfId="29724"/>
    <cellStyle name="Credit subtotal 4 2 2 3 2 3 2" xfId="38478"/>
    <cellStyle name="Credit subtotal 4 2 2 3 2 4" xfId="30144"/>
    <cellStyle name="Credit subtotal 4 2 2 3 2 4 2" xfId="38898"/>
    <cellStyle name="Credit subtotal 4 2 2 3 2 5" xfId="30560"/>
    <cellStyle name="Credit subtotal 4 2 2 3 2 5 2" xfId="39314"/>
    <cellStyle name="Credit subtotal 4 2 2 3 2 6" xfId="30961"/>
    <cellStyle name="Credit subtotal 4 2 2 3 2 6 2" xfId="39715"/>
    <cellStyle name="Credit subtotal 4 2 2 3 2 7" xfId="31347"/>
    <cellStyle name="Credit subtotal 4 2 2 3 2 7 2" xfId="40101"/>
    <cellStyle name="Credit subtotal 4 2 2 3 2 8" xfId="31723"/>
    <cellStyle name="Credit subtotal 4 2 2 3 2 8 2" xfId="40477"/>
    <cellStyle name="Credit subtotal 4 2 2 3 2 9" xfId="32089"/>
    <cellStyle name="Credit subtotal 4 2 2 3 2 9 2" xfId="40843"/>
    <cellStyle name="Credit subtotal 4 2 2 3 3" xfId="28810"/>
    <cellStyle name="Credit subtotal 4 2 2 3 3 2" xfId="37566"/>
    <cellStyle name="Credit subtotal 4 2 2 3 4" xfId="24966"/>
    <cellStyle name="Credit subtotal 4 2 2 3 4 2" xfId="33740"/>
    <cellStyle name="Credit subtotal 4 2 2 3 5" xfId="25669"/>
    <cellStyle name="Credit subtotal 4 2 2 3 5 2" xfId="34436"/>
    <cellStyle name="Credit subtotal 4 2 2 3 6" xfId="25415"/>
    <cellStyle name="Credit subtotal 4 2 2 3 6 2" xfId="34184"/>
    <cellStyle name="Credit subtotal 4 2 2 3 7" xfId="28452"/>
    <cellStyle name="Credit subtotal 4 2 2 3 7 2" xfId="37209"/>
    <cellStyle name="Credit subtotal 4 2 2 3 8" xfId="28208"/>
    <cellStyle name="Credit subtotal 4 2 2 3 8 2" xfId="36967"/>
    <cellStyle name="Credit subtotal 4 2 2 3 9" xfId="28474"/>
    <cellStyle name="Credit subtotal 4 2 2 3 9 2" xfId="37231"/>
    <cellStyle name="Credit subtotal 4 2 2 4" xfId="27308"/>
    <cellStyle name="Credit subtotal 4 2 2 4 2" xfId="36068"/>
    <cellStyle name="Credit subtotal 4 2 2 5" xfId="27614"/>
    <cellStyle name="Credit subtotal 4 2 2 5 2" xfId="36374"/>
    <cellStyle name="Credit subtotal 4 2 2 6" xfId="28344"/>
    <cellStyle name="Credit subtotal 4 2 2 6 2" xfId="37103"/>
    <cellStyle name="Credit subtotal 4 2 2 7" xfId="27261"/>
    <cellStyle name="Credit subtotal 4 2 2 7 2" xfId="36021"/>
    <cellStyle name="Credit subtotal 4 2 2 8" xfId="30156"/>
    <cellStyle name="Credit subtotal 4 2 2 8 2" xfId="38910"/>
    <cellStyle name="Credit subtotal 4 2 2 9" xfId="30572"/>
    <cellStyle name="Credit subtotal 4 2 2 9 2" xfId="39326"/>
    <cellStyle name="Credit subtotal 4 2 3" xfId="24954"/>
    <cellStyle name="Credit subtotal 4 2 3 2" xfId="33728"/>
    <cellStyle name="Credit subtotal 4 2 4" xfId="25618"/>
    <cellStyle name="Credit subtotal 4 2 4 2" xfId="34385"/>
    <cellStyle name="Credit subtotal 4 2 5" xfId="1951"/>
    <cellStyle name="Credit subtotal 4 2 5 2" xfId="32620"/>
    <cellStyle name="Credit subtotal 4 2 6" xfId="28503"/>
    <cellStyle name="Credit subtotal 4 2 6 2" xfId="37259"/>
    <cellStyle name="Credit subtotal 4 2 7" xfId="26634"/>
    <cellStyle name="Credit subtotal 4 2 7 2" xfId="35399"/>
    <cellStyle name="Credit subtotal 4 2 8" xfId="29615"/>
    <cellStyle name="Credit subtotal 4 2 8 2" xfId="38369"/>
    <cellStyle name="Credit subtotal 4 2 9" xfId="28027"/>
    <cellStyle name="Credit subtotal 4 2 9 2" xfId="36786"/>
    <cellStyle name="Credit subtotal 4 3" xfId="9451"/>
    <cellStyle name="Credit subtotal 4 3 10" xfId="28262"/>
    <cellStyle name="Credit subtotal 4 3 10 2" xfId="37021"/>
    <cellStyle name="Credit subtotal 4 3 11" xfId="27160"/>
    <cellStyle name="Credit subtotal 4 3 11 2" xfId="35920"/>
    <cellStyle name="Credit subtotal 4 3 12" xfId="32800"/>
    <cellStyle name="Credit subtotal 4 3 2" xfId="18281"/>
    <cellStyle name="Credit subtotal 4 3 2 10" xfId="26030"/>
    <cellStyle name="Credit subtotal 4 3 2 10 2" xfId="34796"/>
    <cellStyle name="Credit subtotal 4 3 2 11" xfId="26566"/>
    <cellStyle name="Credit subtotal 4 3 2 11 2" xfId="35331"/>
    <cellStyle name="Credit subtotal 4 3 2 12" xfId="33025"/>
    <cellStyle name="Credit subtotal 4 3 2 13" xfId="43235"/>
    <cellStyle name="Credit subtotal 4 3 2 2" xfId="24551"/>
    <cellStyle name="Credit subtotal 4 3 2 2 10" xfId="32304"/>
    <cellStyle name="Credit subtotal 4 3 2 2 10 2" xfId="41058"/>
    <cellStyle name="Credit subtotal 4 3 2 2 11" xfId="33379"/>
    <cellStyle name="Credit subtotal 4 3 2 2 2" xfId="29159"/>
    <cellStyle name="Credit subtotal 4 3 2 2 2 2" xfId="37913"/>
    <cellStyle name="Credit subtotal 4 3 2 2 3" xfId="29572"/>
    <cellStyle name="Credit subtotal 4 3 2 2 3 2" xfId="38326"/>
    <cellStyle name="Credit subtotal 4 3 2 2 4" xfId="29992"/>
    <cellStyle name="Credit subtotal 4 3 2 2 4 2" xfId="38746"/>
    <cellStyle name="Credit subtotal 4 3 2 2 5" xfId="30411"/>
    <cellStyle name="Credit subtotal 4 3 2 2 5 2" xfId="39165"/>
    <cellStyle name="Credit subtotal 4 3 2 2 6" xfId="30812"/>
    <cellStyle name="Credit subtotal 4 3 2 2 6 2" xfId="39566"/>
    <cellStyle name="Credit subtotal 4 3 2 2 7" xfId="31198"/>
    <cellStyle name="Credit subtotal 4 3 2 2 7 2" xfId="39952"/>
    <cellStyle name="Credit subtotal 4 3 2 2 8" xfId="31576"/>
    <cellStyle name="Credit subtotal 4 3 2 2 8 2" xfId="40330"/>
    <cellStyle name="Credit subtotal 4 3 2 2 9" xfId="31942"/>
    <cellStyle name="Credit subtotal 4 3 2 2 9 2" xfId="40696"/>
    <cellStyle name="Credit subtotal 4 3 2 3" xfId="27771"/>
    <cellStyle name="Credit subtotal 4 3 2 3 2" xfId="36531"/>
    <cellStyle name="Credit subtotal 4 3 2 4" xfId="27237"/>
    <cellStyle name="Credit subtotal 4 3 2 4 2" xfId="35997"/>
    <cellStyle name="Credit subtotal 4 3 2 5" xfId="26273"/>
    <cellStyle name="Credit subtotal 4 3 2 5 2" xfId="35039"/>
    <cellStyle name="Credit subtotal 4 3 2 6" xfId="27025"/>
    <cellStyle name="Credit subtotal 4 3 2 6 2" xfId="35785"/>
    <cellStyle name="Credit subtotal 4 3 2 7" xfId="28855"/>
    <cellStyle name="Credit subtotal 4 3 2 7 2" xfId="37611"/>
    <cellStyle name="Credit subtotal 4 3 2 8" xfId="26798"/>
    <cellStyle name="Credit subtotal 4 3 2 8 2" xfId="35560"/>
    <cellStyle name="Credit subtotal 4 3 2 9" xfId="25462"/>
    <cellStyle name="Credit subtotal 4 3 2 9 2" xfId="34231"/>
    <cellStyle name="Credit subtotal 4 3 3" xfId="23692"/>
    <cellStyle name="Credit subtotal 4 3 3 10" xfId="25171"/>
    <cellStyle name="Credit subtotal 4 3 3 10 2" xfId="33942"/>
    <cellStyle name="Credit subtotal 4 3 3 11" xfId="1780"/>
    <cellStyle name="Credit subtotal 4 3 3 11 2" xfId="32588"/>
    <cellStyle name="Credit subtotal 4 3 3 12" xfId="33162"/>
    <cellStyle name="Credit subtotal 4 3 3 2" xfId="24747"/>
    <cellStyle name="Credit subtotal 4 3 3 2 10" xfId="32448"/>
    <cellStyle name="Credit subtotal 4 3 3 2 10 2" xfId="41202"/>
    <cellStyle name="Credit subtotal 4 3 3 2 11" xfId="33523"/>
    <cellStyle name="Credit subtotal 4 3 3 2 2" xfId="29312"/>
    <cellStyle name="Credit subtotal 4 3 3 2 2 2" xfId="38066"/>
    <cellStyle name="Credit subtotal 4 3 3 2 3" xfId="29722"/>
    <cellStyle name="Credit subtotal 4 3 3 2 3 2" xfId="38476"/>
    <cellStyle name="Credit subtotal 4 3 3 2 4" xfId="30142"/>
    <cellStyle name="Credit subtotal 4 3 3 2 4 2" xfId="38896"/>
    <cellStyle name="Credit subtotal 4 3 3 2 5" xfId="30558"/>
    <cellStyle name="Credit subtotal 4 3 3 2 5 2" xfId="39312"/>
    <cellStyle name="Credit subtotal 4 3 3 2 6" xfId="30959"/>
    <cellStyle name="Credit subtotal 4 3 3 2 6 2" xfId="39713"/>
    <cellStyle name="Credit subtotal 4 3 3 2 7" xfId="31345"/>
    <cellStyle name="Credit subtotal 4 3 3 2 7 2" xfId="40099"/>
    <cellStyle name="Credit subtotal 4 3 3 2 8" xfId="31721"/>
    <cellStyle name="Credit subtotal 4 3 3 2 8 2" xfId="40475"/>
    <cellStyle name="Credit subtotal 4 3 3 2 9" xfId="32087"/>
    <cellStyle name="Credit subtotal 4 3 3 2 9 2" xfId="40841"/>
    <cellStyle name="Credit subtotal 4 3 3 3" xfId="28808"/>
    <cellStyle name="Credit subtotal 4 3 3 3 2" xfId="37564"/>
    <cellStyle name="Credit subtotal 4 3 3 4" xfId="25054"/>
    <cellStyle name="Credit subtotal 4 3 3 4 2" xfId="33828"/>
    <cellStyle name="Credit subtotal 4 3 3 5" xfId="25666"/>
    <cellStyle name="Credit subtotal 4 3 3 5 2" xfId="34433"/>
    <cellStyle name="Credit subtotal 4 3 3 6" xfId="27338"/>
    <cellStyle name="Credit subtotal 4 3 3 6 2" xfId="36098"/>
    <cellStyle name="Credit subtotal 4 3 3 7" xfId="27213"/>
    <cellStyle name="Credit subtotal 4 3 3 7 2" xfId="35973"/>
    <cellStyle name="Credit subtotal 4 3 3 8" xfId="28567"/>
    <cellStyle name="Credit subtotal 4 3 3 8 2" xfId="37323"/>
    <cellStyle name="Credit subtotal 4 3 3 9" xfId="26937"/>
    <cellStyle name="Credit subtotal 4 3 3 9 2" xfId="35697"/>
    <cellStyle name="Credit subtotal 4 3 4" xfId="28057"/>
    <cellStyle name="Credit subtotal 4 3 4 2" xfId="36816"/>
    <cellStyle name="Credit subtotal 4 3 5" xfId="28100"/>
    <cellStyle name="Credit subtotal 4 3 5 2" xfId="36859"/>
    <cellStyle name="Credit subtotal 4 3 6" xfId="28266"/>
    <cellStyle name="Credit subtotal 4 3 6 2" xfId="37025"/>
    <cellStyle name="Credit subtotal 4 3 7" xfId="26399"/>
    <cellStyle name="Credit subtotal 4 3 7 2" xfId="35165"/>
    <cellStyle name="Credit subtotal 4 3 8" xfId="1723"/>
    <cellStyle name="Credit subtotal 4 3 8 2" xfId="32534"/>
    <cellStyle name="Credit subtotal 4 3 9" xfId="28286"/>
    <cellStyle name="Credit subtotal 4 3 9 2" xfId="37045"/>
    <cellStyle name="Credit subtotal 4 4" xfId="24940"/>
    <cellStyle name="Credit subtotal 4 4 2" xfId="33714"/>
    <cellStyle name="Credit subtotal 4 5" xfId="28169"/>
    <cellStyle name="Credit subtotal 4 5 2" xfId="36928"/>
    <cellStyle name="Credit subtotal 4 6" xfId="26957"/>
    <cellStyle name="Credit subtotal 4 6 2" xfId="35717"/>
    <cellStyle name="Credit subtotal 4 7" xfId="26724"/>
    <cellStyle name="Credit subtotal 4 7 2" xfId="35487"/>
    <cellStyle name="Credit subtotal 4 8" xfId="25843"/>
    <cellStyle name="Credit subtotal 4 8 2" xfId="34609"/>
    <cellStyle name="Credit subtotal 4 9" xfId="26713"/>
    <cellStyle name="Credit subtotal 4 9 2" xfId="35476"/>
    <cellStyle name="Credit subtotal 5" xfId="1161"/>
    <cellStyle name="Credit subtotal 5 10" xfId="26171"/>
    <cellStyle name="Credit subtotal 5 10 2" xfId="34937"/>
    <cellStyle name="Credit subtotal 5 11" xfId="29331"/>
    <cellStyle name="Credit subtotal 5 11 2" xfId="38085"/>
    <cellStyle name="Credit subtotal 5 2" xfId="9458"/>
    <cellStyle name="Credit subtotal 5 2 10" xfId="28510"/>
    <cellStyle name="Credit subtotal 5 2 10 2" xfId="37266"/>
    <cellStyle name="Credit subtotal 5 2 11" xfId="28366"/>
    <cellStyle name="Credit subtotal 5 2 11 2" xfId="37124"/>
    <cellStyle name="Credit subtotal 5 2 12" xfId="32806"/>
    <cellStyle name="Credit subtotal 5 2 2" xfId="18287"/>
    <cellStyle name="Credit subtotal 5 2 2 10" xfId="25098"/>
    <cellStyle name="Credit subtotal 5 2 2 10 2" xfId="33870"/>
    <cellStyle name="Credit subtotal 5 2 2 11" xfId="26535"/>
    <cellStyle name="Credit subtotal 5 2 2 11 2" xfId="35300"/>
    <cellStyle name="Credit subtotal 5 2 2 12" xfId="33031"/>
    <cellStyle name="Credit subtotal 5 2 2 13" xfId="43236"/>
    <cellStyle name="Credit subtotal 5 2 2 2" xfId="24557"/>
    <cellStyle name="Credit subtotal 5 2 2 2 10" xfId="32310"/>
    <cellStyle name="Credit subtotal 5 2 2 2 10 2" xfId="41064"/>
    <cellStyle name="Credit subtotal 5 2 2 2 11" xfId="33385"/>
    <cellStyle name="Credit subtotal 5 2 2 2 2" xfId="29165"/>
    <cellStyle name="Credit subtotal 5 2 2 2 2 2" xfId="37919"/>
    <cellStyle name="Credit subtotal 5 2 2 2 3" xfId="29578"/>
    <cellStyle name="Credit subtotal 5 2 2 2 3 2" xfId="38332"/>
    <cellStyle name="Credit subtotal 5 2 2 2 4" xfId="29998"/>
    <cellStyle name="Credit subtotal 5 2 2 2 4 2" xfId="38752"/>
    <cellStyle name="Credit subtotal 5 2 2 2 5" xfId="30417"/>
    <cellStyle name="Credit subtotal 5 2 2 2 5 2" xfId="39171"/>
    <cellStyle name="Credit subtotal 5 2 2 2 6" xfId="30818"/>
    <cellStyle name="Credit subtotal 5 2 2 2 6 2" xfId="39572"/>
    <cellStyle name="Credit subtotal 5 2 2 2 7" xfId="31204"/>
    <cellStyle name="Credit subtotal 5 2 2 2 7 2" xfId="39958"/>
    <cellStyle name="Credit subtotal 5 2 2 2 8" xfId="31582"/>
    <cellStyle name="Credit subtotal 5 2 2 2 8 2" xfId="40336"/>
    <cellStyle name="Credit subtotal 5 2 2 2 9" xfId="31948"/>
    <cellStyle name="Credit subtotal 5 2 2 2 9 2" xfId="40702"/>
    <cellStyle name="Credit subtotal 5 2 2 3" xfId="27777"/>
    <cellStyle name="Credit subtotal 5 2 2 3 2" xfId="36537"/>
    <cellStyle name="Credit subtotal 5 2 2 4" xfId="27398"/>
    <cellStyle name="Credit subtotal 5 2 2 4 2" xfId="36158"/>
    <cellStyle name="Credit subtotal 5 2 2 5" xfId="28011"/>
    <cellStyle name="Credit subtotal 5 2 2 5 2" xfId="36770"/>
    <cellStyle name="Credit subtotal 5 2 2 6" xfId="28450"/>
    <cellStyle name="Credit subtotal 5 2 2 6 2" xfId="37207"/>
    <cellStyle name="Credit subtotal 5 2 2 7" xfId="27080"/>
    <cellStyle name="Credit subtotal 5 2 2 7 2" xfId="35840"/>
    <cellStyle name="Credit subtotal 5 2 2 8" xfId="26871"/>
    <cellStyle name="Credit subtotal 5 2 2 8 2" xfId="35631"/>
    <cellStyle name="Credit subtotal 5 2 2 9" xfId="26178"/>
    <cellStyle name="Credit subtotal 5 2 2 9 2" xfId="34944"/>
    <cellStyle name="Credit subtotal 5 2 3" xfId="23697"/>
    <cellStyle name="Credit subtotal 5 2 3 10" xfId="26644"/>
    <cellStyle name="Credit subtotal 5 2 3 10 2" xfId="35409"/>
    <cellStyle name="Credit subtotal 5 2 3 11" xfId="24921"/>
    <cellStyle name="Credit subtotal 5 2 3 11 2" xfId="33695"/>
    <cellStyle name="Credit subtotal 5 2 3 12" xfId="33167"/>
    <cellStyle name="Credit subtotal 5 2 3 2" xfId="24752"/>
    <cellStyle name="Credit subtotal 5 2 3 2 10" xfId="32453"/>
    <cellStyle name="Credit subtotal 5 2 3 2 10 2" xfId="41207"/>
    <cellStyle name="Credit subtotal 5 2 3 2 11" xfId="33528"/>
    <cellStyle name="Credit subtotal 5 2 3 2 2" xfId="29317"/>
    <cellStyle name="Credit subtotal 5 2 3 2 2 2" xfId="38071"/>
    <cellStyle name="Credit subtotal 5 2 3 2 3" xfId="29727"/>
    <cellStyle name="Credit subtotal 5 2 3 2 3 2" xfId="38481"/>
    <cellStyle name="Credit subtotal 5 2 3 2 4" xfId="30147"/>
    <cellStyle name="Credit subtotal 5 2 3 2 4 2" xfId="38901"/>
    <cellStyle name="Credit subtotal 5 2 3 2 5" xfId="30563"/>
    <cellStyle name="Credit subtotal 5 2 3 2 5 2" xfId="39317"/>
    <cellStyle name="Credit subtotal 5 2 3 2 6" xfId="30964"/>
    <cellStyle name="Credit subtotal 5 2 3 2 6 2" xfId="39718"/>
    <cellStyle name="Credit subtotal 5 2 3 2 7" xfId="31350"/>
    <cellStyle name="Credit subtotal 5 2 3 2 7 2" xfId="40104"/>
    <cellStyle name="Credit subtotal 5 2 3 2 8" xfId="31726"/>
    <cellStyle name="Credit subtotal 5 2 3 2 8 2" xfId="40480"/>
    <cellStyle name="Credit subtotal 5 2 3 2 9" xfId="32092"/>
    <cellStyle name="Credit subtotal 5 2 3 2 9 2" xfId="40846"/>
    <cellStyle name="Credit subtotal 5 2 3 3" xfId="28813"/>
    <cellStyle name="Credit subtotal 5 2 3 3 2" xfId="37569"/>
    <cellStyle name="Credit subtotal 5 2 3 4" xfId="25010"/>
    <cellStyle name="Credit subtotal 5 2 3 4 2" xfId="33784"/>
    <cellStyle name="Credit subtotal 5 2 3 5" xfId="27181"/>
    <cellStyle name="Credit subtotal 5 2 3 5 2" xfId="35941"/>
    <cellStyle name="Credit subtotal 5 2 3 6" xfId="1800"/>
    <cellStyle name="Credit subtotal 5 2 3 6 2" xfId="32608"/>
    <cellStyle name="Credit subtotal 5 2 3 7" xfId="24939"/>
    <cellStyle name="Credit subtotal 5 2 3 7 2" xfId="33713"/>
    <cellStyle name="Credit subtotal 5 2 3 8" xfId="26595"/>
    <cellStyle name="Credit subtotal 5 2 3 8 2" xfId="35360"/>
    <cellStyle name="Credit subtotal 5 2 3 9" xfId="27805"/>
    <cellStyle name="Credit subtotal 5 2 3 9 2" xfId="36565"/>
    <cellStyle name="Credit subtotal 5 2 4" xfId="26969"/>
    <cellStyle name="Credit subtotal 5 2 4 2" xfId="35729"/>
    <cellStyle name="Credit subtotal 5 2 5" xfId="26303"/>
    <cellStyle name="Credit subtotal 5 2 5 2" xfId="35069"/>
    <cellStyle name="Credit subtotal 5 2 6" xfId="27303"/>
    <cellStyle name="Credit subtotal 5 2 6 2" xfId="36063"/>
    <cellStyle name="Credit subtotal 5 2 7" xfId="26132"/>
    <cellStyle name="Credit subtotal 5 2 7 2" xfId="34898"/>
    <cellStyle name="Credit subtotal 5 2 8" xfId="25544"/>
    <cellStyle name="Credit subtotal 5 2 8 2" xfId="34311"/>
    <cellStyle name="Credit subtotal 5 2 9" xfId="25228"/>
    <cellStyle name="Credit subtotal 5 2 9 2" xfId="33999"/>
    <cellStyle name="Credit subtotal 5 3" xfId="24967"/>
    <cellStyle name="Credit subtotal 5 3 2" xfId="33741"/>
    <cellStyle name="Credit subtotal 5 4" xfId="26360"/>
    <cellStyle name="Credit subtotal 5 4 2" xfId="35126"/>
    <cellStyle name="Credit subtotal 5 5" xfId="25249"/>
    <cellStyle name="Credit subtotal 5 5 2" xfId="34019"/>
    <cellStyle name="Credit subtotal 5 6" xfId="27623"/>
    <cellStyle name="Credit subtotal 5 6 2" xfId="36383"/>
    <cellStyle name="Credit subtotal 5 7" xfId="26097"/>
    <cellStyle name="Credit subtotal 5 7 2" xfId="34863"/>
    <cellStyle name="Credit subtotal 5 8" xfId="26555"/>
    <cellStyle name="Credit subtotal 5 8 2" xfId="35320"/>
    <cellStyle name="Credit subtotal 5 9" xfId="28122"/>
    <cellStyle name="Credit subtotal 5 9 2" xfId="36881"/>
    <cellStyle name="Credit subtotal 6" xfId="6037"/>
    <cellStyle name="Credit subtotal 6 2" xfId="18175"/>
    <cellStyle name="Credit subtotal 6 2 10" xfId="30180"/>
    <cellStyle name="Credit subtotal 6 2 10 2" xfId="38934"/>
    <cellStyle name="Credit subtotal 6 2 11" xfId="30585"/>
    <cellStyle name="Credit subtotal 6 2 11 2" xfId="39339"/>
    <cellStyle name="Credit subtotal 6 2 12" xfId="32919"/>
    <cellStyle name="Credit subtotal 6 2 2" xfId="24445"/>
    <cellStyle name="Credit subtotal 6 2 2 10" xfId="32198"/>
    <cellStyle name="Credit subtotal 6 2 2 10 2" xfId="40952"/>
    <cellStyle name="Credit subtotal 6 2 2 11" xfId="33273"/>
    <cellStyle name="Credit subtotal 6 2 2 2" xfId="29053"/>
    <cellStyle name="Credit subtotal 6 2 2 2 2" xfId="37807"/>
    <cellStyle name="Credit subtotal 6 2 2 3" xfId="29466"/>
    <cellStyle name="Credit subtotal 6 2 2 3 2" xfId="38220"/>
    <cellStyle name="Credit subtotal 6 2 2 4" xfId="29886"/>
    <cellStyle name="Credit subtotal 6 2 2 4 2" xfId="38640"/>
    <cellStyle name="Credit subtotal 6 2 2 5" xfId="30305"/>
    <cellStyle name="Credit subtotal 6 2 2 5 2" xfId="39059"/>
    <cellStyle name="Credit subtotal 6 2 2 6" xfId="30706"/>
    <cellStyle name="Credit subtotal 6 2 2 6 2" xfId="39460"/>
    <cellStyle name="Credit subtotal 6 2 2 7" xfId="31092"/>
    <cellStyle name="Credit subtotal 6 2 2 7 2" xfId="39846"/>
    <cellStyle name="Credit subtotal 6 2 2 8" xfId="31470"/>
    <cellStyle name="Credit subtotal 6 2 2 8 2" xfId="40224"/>
    <cellStyle name="Credit subtotal 6 2 2 9" xfId="31836"/>
    <cellStyle name="Credit subtotal 6 2 2 9 2" xfId="40590"/>
    <cellStyle name="Credit subtotal 6 2 3" xfId="27665"/>
    <cellStyle name="Credit subtotal 6 2 3 2" xfId="36425"/>
    <cellStyle name="Credit subtotal 6 2 4" xfId="26825"/>
    <cellStyle name="Credit subtotal 6 2 4 2" xfId="35586"/>
    <cellStyle name="Credit subtotal 6 2 5" xfId="25919"/>
    <cellStyle name="Credit subtotal 6 2 5 2" xfId="34685"/>
    <cellStyle name="Credit subtotal 6 2 6" xfId="26486"/>
    <cellStyle name="Credit subtotal 6 2 6 2" xfId="35251"/>
    <cellStyle name="Credit subtotal 6 2 7" xfId="25614"/>
    <cellStyle name="Credit subtotal 6 2 7 2" xfId="34381"/>
    <cellStyle name="Credit subtotal 6 2 8" xfId="25007"/>
    <cellStyle name="Credit subtotal 6 2 8 2" xfId="33781"/>
    <cellStyle name="Credit subtotal 6 2 9" xfId="28915"/>
    <cellStyle name="Credit subtotal 6 2 9 2" xfId="37670"/>
    <cellStyle name="Credit subtotal 6 3" xfId="23617"/>
    <cellStyle name="Credit subtotal 6 3 10" xfId="27174"/>
    <cellStyle name="Credit subtotal 6 3 10 2" xfId="35934"/>
    <cellStyle name="Credit subtotal 6 3 11" xfId="27476"/>
    <cellStyle name="Credit subtotal 6 3 11 2" xfId="36236"/>
    <cellStyle name="Credit subtotal 6 3 12" xfId="33087"/>
    <cellStyle name="Credit subtotal 6 3 2" xfId="24672"/>
    <cellStyle name="Credit subtotal 6 3 2 10" xfId="32373"/>
    <cellStyle name="Credit subtotal 6 3 2 10 2" xfId="41127"/>
    <cellStyle name="Credit subtotal 6 3 2 11" xfId="33448"/>
    <cellStyle name="Credit subtotal 6 3 2 2" xfId="29237"/>
    <cellStyle name="Credit subtotal 6 3 2 2 2" xfId="37991"/>
    <cellStyle name="Credit subtotal 6 3 2 3" xfId="29647"/>
    <cellStyle name="Credit subtotal 6 3 2 3 2" xfId="38401"/>
    <cellStyle name="Credit subtotal 6 3 2 4" xfId="30067"/>
    <cellStyle name="Credit subtotal 6 3 2 4 2" xfId="38821"/>
    <cellStyle name="Credit subtotal 6 3 2 5" xfId="30483"/>
    <cellStyle name="Credit subtotal 6 3 2 5 2" xfId="39237"/>
    <cellStyle name="Credit subtotal 6 3 2 6" xfId="30884"/>
    <cellStyle name="Credit subtotal 6 3 2 6 2" xfId="39638"/>
    <cellStyle name="Credit subtotal 6 3 2 7" xfId="31270"/>
    <cellStyle name="Credit subtotal 6 3 2 7 2" xfId="40024"/>
    <cellStyle name="Credit subtotal 6 3 2 8" xfId="31646"/>
    <cellStyle name="Credit subtotal 6 3 2 8 2" xfId="40400"/>
    <cellStyle name="Credit subtotal 6 3 2 9" xfId="32012"/>
    <cellStyle name="Credit subtotal 6 3 2 9 2" xfId="40766"/>
    <cellStyle name="Credit subtotal 6 3 3" xfId="28733"/>
    <cellStyle name="Credit subtotal 6 3 3 2" xfId="37489"/>
    <cellStyle name="Credit subtotal 6 3 4" xfId="24889"/>
    <cellStyle name="Credit subtotal 6 3 4 2" xfId="33663"/>
    <cellStyle name="Credit subtotal 6 3 5" xfId="28179"/>
    <cellStyle name="Credit subtotal 6 3 5 2" xfId="36938"/>
    <cellStyle name="Credit subtotal 6 3 6" xfId="25421"/>
    <cellStyle name="Credit subtotal 6 3 6 2" xfId="34190"/>
    <cellStyle name="Credit subtotal 6 3 7" xfId="26139"/>
    <cellStyle name="Credit subtotal 6 3 7 2" xfId="34905"/>
    <cellStyle name="Credit subtotal 6 3 8" xfId="27045"/>
    <cellStyle name="Credit subtotal 6 3 8 2" xfId="35805"/>
    <cellStyle name="Credit subtotal 6 3 9" xfId="27366"/>
    <cellStyle name="Credit subtotal 6 3 9 2" xfId="36126"/>
    <cellStyle name="Credit subtotal 6 4" xfId="24391"/>
    <cellStyle name="Credit subtotal 6 4 10" xfId="32162"/>
    <cellStyle name="Credit subtotal 6 4 10 2" xfId="40916"/>
    <cellStyle name="Credit subtotal 6 4 11" xfId="33237"/>
    <cellStyle name="Credit subtotal 6 4 2" xfId="29015"/>
    <cellStyle name="Credit subtotal 6 4 2 2" xfId="37769"/>
    <cellStyle name="Credit subtotal 6 4 3" xfId="29429"/>
    <cellStyle name="Credit subtotal 6 4 3 2" xfId="38183"/>
    <cellStyle name="Credit subtotal 6 4 4" xfId="29850"/>
    <cellStyle name="Credit subtotal 6 4 4 2" xfId="38604"/>
    <cellStyle name="Credit subtotal 6 4 5" xfId="30265"/>
    <cellStyle name="Credit subtotal 6 4 5 2" xfId="39019"/>
    <cellStyle name="Credit subtotal 6 4 6" xfId="30666"/>
    <cellStyle name="Credit subtotal 6 4 6 2" xfId="39420"/>
    <cellStyle name="Credit subtotal 6 4 7" xfId="31053"/>
    <cellStyle name="Credit subtotal 6 4 7 2" xfId="39807"/>
    <cellStyle name="Credit subtotal 6 4 8" xfId="31432"/>
    <cellStyle name="Credit subtotal 6 4 8 2" xfId="40186"/>
    <cellStyle name="Credit subtotal 6 4 9" xfId="31800"/>
    <cellStyle name="Credit subtotal 6 4 9 2" xfId="40554"/>
    <cellStyle name="Credit subtotal 6 5" xfId="32715"/>
    <cellStyle name="Credit Total" xfId="344"/>
    <cellStyle name="Credit Total 2" xfId="691"/>
    <cellStyle name="Credit Total 2 2" xfId="2046"/>
    <cellStyle name="Credit Total 2 3" xfId="2009"/>
    <cellStyle name="Credit Total 2 4" xfId="41516"/>
    <cellStyle name="Credit Total 2 4 2" xfId="41517"/>
    <cellStyle name="Credit Total 2 5" xfId="41518"/>
    <cellStyle name="Credit Total 3" xfId="1072"/>
    <cellStyle name="Credit Total 3 2" xfId="1112"/>
    <cellStyle name="Credit Total 3 3" xfId="2842"/>
    <cellStyle name="Credit Total 4" xfId="1162"/>
    <cellStyle name="Credit Total 5" xfId="41519"/>
    <cellStyle name="Credit Total 5 2" xfId="41520"/>
    <cellStyle name="Credit Total 6" xfId="41521"/>
    <cellStyle name="Credit_D4WP1" xfId="345"/>
    <cellStyle name="Currency [0] 2" xfId="347"/>
    <cellStyle name="Currency [0] 2 2" xfId="1540"/>
    <cellStyle name="Currency [0] 2 2 2" xfId="41523"/>
    <cellStyle name="Currency [0] 2 3" xfId="2047"/>
    <cellStyle name="Currency [0] 2 3 2" xfId="41524"/>
    <cellStyle name="Currency [0] 2 4" xfId="43042"/>
    <cellStyle name="Currency [0] 2 5" xfId="41522"/>
    <cellStyle name="Currency [0] 3" xfId="1074"/>
    <cellStyle name="Currency [0] 3 2" xfId="1113"/>
    <cellStyle name="Currency [0] 3 2 2" xfId="41526"/>
    <cellStyle name="Currency [0] 3 3" xfId="41525"/>
    <cellStyle name="Currency [0] 4" xfId="1164"/>
    <cellStyle name="Currency [0] 4 2" xfId="41527"/>
    <cellStyle name="Currency [00]" xfId="348"/>
    <cellStyle name="Currency [00] 2" xfId="349"/>
    <cellStyle name="Currency [00] 2 2" xfId="1541"/>
    <cellStyle name="Currency [00] 2 2 2" xfId="41530"/>
    <cellStyle name="Currency [00] 2 3" xfId="2049"/>
    <cellStyle name="Currency [00] 2 3 2" xfId="41531"/>
    <cellStyle name="Currency [00] 2 4" xfId="41529"/>
    <cellStyle name="Currency [00] 3" xfId="692"/>
    <cellStyle name="Currency [00] 3 2" xfId="41532"/>
    <cellStyle name="Currency [00] 4" xfId="2048"/>
    <cellStyle name="Currency [00] 4 2" xfId="41533"/>
    <cellStyle name="Currency [00] 5" xfId="41528"/>
    <cellStyle name="Currency 0.0" xfId="350"/>
    <cellStyle name="Currency 0.00" xfId="351"/>
    <cellStyle name="Currency 0.000" xfId="352"/>
    <cellStyle name="Currency 0.0000" xfId="353"/>
    <cellStyle name="Currency 10" xfId="528"/>
    <cellStyle name="Currency 10 2" xfId="1359"/>
    <cellStyle name="Currency 10 3" xfId="2154"/>
    <cellStyle name="Currency 10 3 2" xfId="4359"/>
    <cellStyle name="Currency 10 4" xfId="2085"/>
    <cellStyle name="Currency 10 4 2" xfId="41534"/>
    <cellStyle name="Currency 100" xfId="2640"/>
    <cellStyle name="Currency 100 2" xfId="41535"/>
    <cellStyle name="Currency 101" xfId="2612"/>
    <cellStyle name="Currency 101 2" xfId="41536"/>
    <cellStyle name="Currency 102" xfId="2628"/>
    <cellStyle name="Currency 102 2" xfId="41537"/>
    <cellStyle name="Currency 103" xfId="2691"/>
    <cellStyle name="Currency 103 2" xfId="41538"/>
    <cellStyle name="Currency 104" xfId="2689"/>
    <cellStyle name="Currency 104 2" xfId="41539"/>
    <cellStyle name="Currency 105" xfId="2620"/>
    <cellStyle name="Currency 105 2" xfId="41540"/>
    <cellStyle name="Currency 106" xfId="2713"/>
    <cellStyle name="Currency 106 2" xfId="41541"/>
    <cellStyle name="Currency 107" xfId="2727"/>
    <cellStyle name="Currency 107 2" xfId="41542"/>
    <cellStyle name="Currency 108" xfId="2686"/>
    <cellStyle name="Currency 108 2" xfId="41543"/>
    <cellStyle name="Currency 109" xfId="2643"/>
    <cellStyle name="Currency 109 2" xfId="41544"/>
    <cellStyle name="Currency 11" xfId="58"/>
    <cellStyle name="Currency 11 2" xfId="1360"/>
    <cellStyle name="Currency 11 3" xfId="4360"/>
    <cellStyle name="Currency 11 4" xfId="527"/>
    <cellStyle name="Currency 110" xfId="2735"/>
    <cellStyle name="Currency 110 2" xfId="41545"/>
    <cellStyle name="Currency 111" xfId="2671"/>
    <cellStyle name="Currency 111 2" xfId="41546"/>
    <cellStyle name="Currency 112" xfId="2725"/>
    <cellStyle name="Currency 112 2" xfId="41547"/>
    <cellStyle name="Currency 113" xfId="2625"/>
    <cellStyle name="Currency 113 2" xfId="41548"/>
    <cellStyle name="Currency 114" xfId="2609"/>
    <cellStyle name="Currency 114 2" xfId="41549"/>
    <cellStyle name="Currency 115" xfId="2710"/>
    <cellStyle name="Currency 115 2" xfId="41550"/>
    <cellStyle name="Currency 116" xfId="2637"/>
    <cellStyle name="Currency 116 2" xfId="41551"/>
    <cellStyle name="Currency 117" xfId="3066"/>
    <cellStyle name="Currency 117 2" xfId="41552"/>
    <cellStyle name="Currency 118" xfId="4361"/>
    <cellStyle name="Currency 119" xfId="4362"/>
    <cellStyle name="Currency 12" xfId="529"/>
    <cellStyle name="Currency 12 2" xfId="1361"/>
    <cellStyle name="Currency 12 3" xfId="4363"/>
    <cellStyle name="Currency 120" xfId="12744"/>
    <cellStyle name="Currency 121" xfId="12746"/>
    <cellStyle name="Currency 122" xfId="18294"/>
    <cellStyle name="Currency 122 2" xfId="42747"/>
    <cellStyle name="Currency 123" xfId="18297"/>
    <cellStyle name="Currency 124" xfId="1665"/>
    <cellStyle name="Currency 125" xfId="2363"/>
    <cellStyle name="Currency 126" xfId="1714"/>
    <cellStyle name="Currency 127" xfId="26662"/>
    <cellStyle name="Currency 128" xfId="25075"/>
    <cellStyle name="Currency 129" xfId="28484"/>
    <cellStyle name="Currency 13" xfId="346"/>
    <cellStyle name="Currency 13 2" xfId="1362"/>
    <cellStyle name="Currency 13 3" xfId="4364"/>
    <cellStyle name="Currency 130" xfId="28911"/>
    <cellStyle name="Currency 131" xfId="26703"/>
    <cellStyle name="Currency 132" xfId="25230"/>
    <cellStyle name="Currency 133" xfId="28950"/>
    <cellStyle name="Currency 134" xfId="44132"/>
    <cellStyle name="Currency 135" xfId="44135"/>
    <cellStyle name="Currency 14" xfId="555"/>
    <cellStyle name="Currency 14 2" xfId="1363"/>
    <cellStyle name="Currency 14 2 2" xfId="2351"/>
    <cellStyle name="Currency 14 3" xfId="693"/>
    <cellStyle name="Currency 14 3 2" xfId="4365"/>
    <cellStyle name="Currency 14 4" xfId="2185"/>
    <cellStyle name="Currency 14 4 2" xfId="23858"/>
    <cellStyle name="Currency 15" xfId="565"/>
    <cellStyle name="Currency 15 2" xfId="1364"/>
    <cellStyle name="Currency 16" xfId="573"/>
    <cellStyle name="Currency 16 2" xfId="1365"/>
    <cellStyle name="Currency 16 3" xfId="768"/>
    <cellStyle name="Currency 17" xfId="569"/>
    <cellStyle name="Currency 17 2" xfId="1366"/>
    <cellStyle name="Currency 17 3" xfId="793"/>
    <cellStyle name="Currency 18" xfId="571"/>
    <cellStyle name="Currency 18 2" xfId="1367"/>
    <cellStyle name="Currency 18 3" xfId="779"/>
    <cellStyle name="Currency 19" xfId="578"/>
    <cellStyle name="Currency 19 2" xfId="1368"/>
    <cellStyle name="Currency 2" xfId="65"/>
    <cellStyle name="Currency 2 2" xfId="355"/>
    <cellStyle name="Currency 2 2 2" xfId="1923"/>
    <cellStyle name="Currency 2 2 2 2" xfId="41555"/>
    <cellStyle name="Currency 2 2 3" xfId="41554"/>
    <cellStyle name="Currency 2 3" xfId="354"/>
    <cellStyle name="Currency 2 3 2" xfId="1922"/>
    <cellStyle name="Currency 2 3 2 2" xfId="41556"/>
    <cellStyle name="Currency 2 3 3" xfId="4366"/>
    <cellStyle name="Currency 2 3 4" xfId="1811"/>
    <cellStyle name="Currency 2 4" xfId="10069"/>
    <cellStyle name="Currency 2 5" xfId="41553"/>
    <cellStyle name="Currency 20" xfId="581"/>
    <cellStyle name="Currency 20 2" xfId="1369"/>
    <cellStyle name="Currency 20 3" xfId="819"/>
    <cellStyle name="Currency 21" xfId="590"/>
    <cellStyle name="Currency 21 2" xfId="1370"/>
    <cellStyle name="Currency 21 3" xfId="809"/>
    <cellStyle name="Currency 22" xfId="582"/>
    <cellStyle name="Currency 22 2" xfId="1371"/>
    <cellStyle name="Currency 22 3" xfId="777"/>
    <cellStyle name="Currency 23" xfId="596"/>
    <cellStyle name="Currency 23 2" xfId="1372"/>
    <cellStyle name="Currency 23 3" xfId="807"/>
    <cellStyle name="Currency 24" xfId="584"/>
    <cellStyle name="Currency 24 2" xfId="1373"/>
    <cellStyle name="Currency 24 3" xfId="778"/>
    <cellStyle name="Currency 25" xfId="594"/>
    <cellStyle name="Currency 25 2" xfId="1374"/>
    <cellStyle name="Currency 25 3" xfId="805"/>
    <cellStyle name="Currency 26" xfId="587"/>
    <cellStyle name="Currency 26 2" xfId="1375"/>
    <cellStyle name="Currency 26 3" xfId="780"/>
    <cellStyle name="Currency 27" xfId="603"/>
    <cellStyle name="Currency 27 2" xfId="1376"/>
    <cellStyle name="Currency 27 3" xfId="806"/>
    <cellStyle name="Currency 28" xfId="607"/>
    <cellStyle name="Currency 28 2" xfId="1377"/>
    <cellStyle name="Currency 28 3" xfId="782"/>
    <cellStyle name="Currency 29" xfId="614"/>
    <cellStyle name="Currency 29 2" xfId="1378"/>
    <cellStyle name="Currency 3" xfId="72"/>
    <cellStyle name="Currency 3 2" xfId="357"/>
    <cellStyle name="Currency 3 2 2" xfId="1542"/>
    <cellStyle name="Currency 3 2 2 2" xfId="41559"/>
    <cellStyle name="Currency 3 2 3" xfId="41558"/>
    <cellStyle name="Currency 3 3" xfId="358"/>
    <cellStyle name="Currency 3 3 2" xfId="1924"/>
    <cellStyle name="Currency 3 3 2 2" xfId="41561"/>
    <cellStyle name="Currency 3 3 3" xfId="41560"/>
    <cellStyle name="Currency 3 4" xfId="356"/>
    <cellStyle name="Currency 3 4 2" xfId="4367"/>
    <cellStyle name="Currency 3 4 3" xfId="6158"/>
    <cellStyle name="Currency 3 4 4" xfId="41562"/>
    <cellStyle name="Currency 3 5" xfId="10066"/>
    <cellStyle name="Currency 3 6" xfId="42748"/>
    <cellStyle name="Currency 3 6 2" xfId="43075"/>
    <cellStyle name="Currency 3 7" xfId="43205"/>
    <cellStyle name="Currency 3 8" xfId="41557"/>
    <cellStyle name="Currency 30" xfId="611"/>
    <cellStyle name="Currency 30 2" xfId="1379"/>
    <cellStyle name="Currency 31" xfId="797"/>
    <cellStyle name="Currency 31 2" xfId="1380"/>
    <cellStyle name="Currency 32" xfId="789"/>
    <cellStyle name="Currency 32 2" xfId="1381"/>
    <cellStyle name="Currency 33" xfId="804"/>
    <cellStyle name="Currency 33 2" xfId="1382"/>
    <cellStyle name="Currency 34" xfId="849"/>
    <cellStyle name="Currency 34 2" xfId="1383"/>
    <cellStyle name="Currency 35" xfId="802"/>
    <cellStyle name="Currency 35 2" xfId="1384"/>
    <cellStyle name="Currency 36" xfId="848"/>
    <cellStyle name="Currency 36 2" xfId="1385"/>
    <cellStyle name="Currency 37" xfId="801"/>
    <cellStyle name="Currency 37 2" xfId="1386"/>
    <cellStyle name="Currency 38" xfId="832"/>
    <cellStyle name="Currency 38 2" xfId="1387"/>
    <cellStyle name="Currency 39" xfId="833"/>
    <cellStyle name="Currency 39 2" xfId="1388"/>
    <cellStyle name="Currency 4" xfId="153"/>
    <cellStyle name="Currency 4 2" xfId="618"/>
    <cellStyle name="Currency 4 2 2" xfId="1543"/>
    <cellStyle name="Currency 4 2 2 2" xfId="2992"/>
    <cellStyle name="Currency 4 2 2 2 2" xfId="41564"/>
    <cellStyle name="Currency 4 2 2 3" xfId="2749"/>
    <cellStyle name="Currency 4 2 2 3 2" xfId="6765"/>
    <cellStyle name="Currency 4 2 2 3 2 2" xfId="20918"/>
    <cellStyle name="Currency 4 2 2 3 2 3" xfId="24196"/>
    <cellStyle name="Currency 4 2 2 3 2 4" xfId="15443"/>
    <cellStyle name="Currency 4 2 2 3 3" xfId="9440"/>
    <cellStyle name="Currency 4 2 2 3 3 2" xfId="23507"/>
    <cellStyle name="Currency 4 2 2 3 3 3" xfId="18059"/>
    <cellStyle name="Currency 4 2 2 3 4" xfId="9755"/>
    <cellStyle name="Currency 4 2 2 3 4 2" xfId="12863"/>
    <cellStyle name="Currency 4 2 2 3 5" xfId="9975"/>
    <cellStyle name="Currency 4 2 2 3 5 2" xfId="18414"/>
    <cellStyle name="Currency 4 2 2 3 6" xfId="24006"/>
    <cellStyle name="Currency 4 2 2 3 7" xfId="12657"/>
    <cellStyle name="Currency 4 2 2 4" xfId="23805"/>
    <cellStyle name="Currency 4 2 2 4 2" xfId="24613"/>
    <cellStyle name="Currency 4 2 2 5" xfId="23702"/>
    <cellStyle name="Currency 4 2 2 6" xfId="1988"/>
    <cellStyle name="Currency 4 2 3" xfId="967"/>
    <cellStyle name="Currency 4 2 3 2" xfId="2815"/>
    <cellStyle name="Currency 4 2 3 3" xfId="23804"/>
    <cellStyle name="Currency 4 2 3 3 2" xfId="24383"/>
    <cellStyle name="Currency 4 2 3 4" xfId="24642"/>
    <cellStyle name="Currency 4 2 3 5" xfId="1925"/>
    <cellStyle name="Currency 4 2 3 6" xfId="41565"/>
    <cellStyle name="Currency 4 2 4" xfId="3071"/>
    <cellStyle name="Currency 4 2 4 2" xfId="6782"/>
    <cellStyle name="Currency 4 2 4 2 2" xfId="20925"/>
    <cellStyle name="Currency 4 2 4 2 3" xfId="24236"/>
    <cellStyle name="Currency 4 2 4 2 4" xfId="15451"/>
    <cellStyle name="Currency 4 2 4 3" xfId="9500"/>
    <cellStyle name="Currency 4 2 4 3 2" xfId="23547"/>
    <cellStyle name="Currency 4 2 4 3 3" xfId="18101"/>
    <cellStyle name="Currency 4 2 4 4" xfId="9803"/>
    <cellStyle name="Currency 4 2 4 4 2" xfId="12903"/>
    <cellStyle name="Currency 4 2 4 5" xfId="10015"/>
    <cellStyle name="Currency 4 2 4 5 2" xfId="18454"/>
    <cellStyle name="Currency 4 2 4 6" xfId="24032"/>
    <cellStyle name="Currency 4 2 4 7" xfId="12701"/>
    <cellStyle name="Currency 4 2 5" xfId="4368"/>
    <cellStyle name="Currency 4 2 5 2" xfId="24388"/>
    <cellStyle name="Currency 4 2 6" xfId="41566"/>
    <cellStyle name="Currency 4 3" xfId="1009"/>
    <cellStyle name="Currency 4 3 2" xfId="1462"/>
    <cellStyle name="Currency 4 3 2 2" xfId="2050"/>
    <cellStyle name="Currency 4 3 2 2 2" xfId="2937"/>
    <cellStyle name="Currency 4 3 2 2 2 2" xfId="4369"/>
    <cellStyle name="Currency 4 3 2 2 2 2 2" xfId="8668"/>
    <cellStyle name="Currency 4 3 2 2 2 2 2 2" xfId="22775"/>
    <cellStyle name="Currency 4 3 2 2 2 2 2 3" xfId="17302"/>
    <cellStyle name="Currency 4 3 2 2 2 2 3" xfId="13951"/>
    <cellStyle name="Currency 4 3 2 2 2 2 4" xfId="19484"/>
    <cellStyle name="Currency 4 3 2 2 2 2 5" xfId="11916"/>
    <cellStyle name="Currency 4 3 2 2 2 3" xfId="4370"/>
    <cellStyle name="Currency 4 3 2 2 2 4" xfId="7876"/>
    <cellStyle name="Currency 4 3 2 2 2 4 2" xfId="21983"/>
    <cellStyle name="Currency 4 3 2 2 2 4 3" xfId="16510"/>
    <cellStyle name="Currency 4 3 2 2 2 5" xfId="11123"/>
    <cellStyle name="Currency 4 3 2 2 3" xfId="4371"/>
    <cellStyle name="Currency 4 3 2 2 3 2" xfId="6607"/>
    <cellStyle name="Currency 4 3 2 2 3 2 2" xfId="9206"/>
    <cellStyle name="Currency 4 3 2 2 3 2 2 2" xfId="23307"/>
    <cellStyle name="Currency 4 3 2 2 3 2 2 3" xfId="17840"/>
    <cellStyle name="Currency 4 3 2 2 3 2 3" xfId="15392"/>
    <cellStyle name="Currency 4 3 2 2 3 2 4" xfId="20885"/>
    <cellStyle name="Currency 4 3 2 2 3 2 5" xfId="12451"/>
    <cellStyle name="Currency 4 3 2 2 3 3" xfId="7616"/>
    <cellStyle name="Currency 4 3 2 2 3 3 2" xfId="21723"/>
    <cellStyle name="Currency 4 3 2 2 3 3 3" xfId="16250"/>
    <cellStyle name="Currency 4 3 2 2 3 4" xfId="13952"/>
    <cellStyle name="Currency 4 3 2 2 3 5" xfId="19485"/>
    <cellStyle name="Currency 4 3 2 2 3 6" xfId="10863"/>
    <cellStyle name="Currency 4 3 2 2 4" xfId="4372"/>
    <cellStyle name="Currency 4 3 2 2 4 2" xfId="8408"/>
    <cellStyle name="Currency 4 3 2 2 4 2 2" xfId="22515"/>
    <cellStyle name="Currency 4 3 2 2 4 2 3" xfId="17042"/>
    <cellStyle name="Currency 4 3 2 2 4 3" xfId="13953"/>
    <cellStyle name="Currency 4 3 2 2 4 4" xfId="19486"/>
    <cellStyle name="Currency 4 3 2 2 4 5" xfId="11656"/>
    <cellStyle name="Currency 4 3 2 2 5" xfId="4373"/>
    <cellStyle name="Currency 4 3 2 2 6" xfId="7082"/>
    <cellStyle name="Currency 4 3 2 2 6 2" xfId="21191"/>
    <cellStyle name="Currency 4 3 2 2 6 3" xfId="15718"/>
    <cellStyle name="Currency 4 3 2 2 7" xfId="10331"/>
    <cellStyle name="Currency 4 3 2 2 8" xfId="41567"/>
    <cellStyle name="Currency 4 3 2 3" xfId="2695"/>
    <cellStyle name="Currency 4 3 2 3 2" xfId="4374"/>
    <cellStyle name="Currency 4 3 2 3 2 2" xfId="8232"/>
    <cellStyle name="Currency 4 3 2 3 2 2 2" xfId="22339"/>
    <cellStyle name="Currency 4 3 2 3 2 2 3" xfId="16866"/>
    <cellStyle name="Currency 4 3 2 3 2 3" xfId="13954"/>
    <cellStyle name="Currency 4 3 2 3 2 4" xfId="19487"/>
    <cellStyle name="Currency 4 3 2 3 2 5" xfId="24195"/>
    <cellStyle name="Currency 4 3 2 3 2 6" xfId="11479"/>
    <cellStyle name="Currency 4 3 2 3 3" xfId="4375"/>
    <cellStyle name="Currency 4 3 2 3 3 2" xfId="9030"/>
    <cellStyle name="Currency 4 3 2 3 3 2 2" xfId="23131"/>
    <cellStyle name="Currency 4 3 2 3 3 2 3" xfId="17664"/>
    <cellStyle name="Currency 4 3 2 3 3 3" xfId="13955"/>
    <cellStyle name="Currency 4 3 2 3 3 4" xfId="19488"/>
    <cellStyle name="Currency 4 3 2 3 3 5" xfId="12274"/>
    <cellStyle name="Currency 4 3 2 3 4" xfId="4376"/>
    <cellStyle name="Currency 4 3 2 3 4 2" xfId="9439"/>
    <cellStyle name="Currency 4 3 2 3 4 2 2" xfId="23506"/>
    <cellStyle name="Currency 4 3 2 3 4 2 3" xfId="18058"/>
    <cellStyle name="Currency 4 3 2 3 4 3" xfId="13956"/>
    <cellStyle name="Currency 4 3 2 3 4 4" xfId="19489"/>
    <cellStyle name="Currency 4 3 2 3 4 5" xfId="12656"/>
    <cellStyle name="Currency 4 3 2 3 5" xfId="7440"/>
    <cellStyle name="Currency 4 3 2 3 5 2" xfId="21547"/>
    <cellStyle name="Currency 4 3 2 3 5 3" xfId="16074"/>
    <cellStyle name="Currency 4 3 2 3 6" xfId="9754"/>
    <cellStyle name="Currency 4 3 2 3 6 2" xfId="12862"/>
    <cellStyle name="Currency 4 3 2 3 7" xfId="9974"/>
    <cellStyle name="Currency 4 3 2 3 7 2" xfId="18413"/>
    <cellStyle name="Currency 4 3 2 3 8" xfId="24005"/>
    <cellStyle name="Currency 4 3 2 3 9" xfId="10687"/>
    <cellStyle name="Currency 4 3 2 4" xfId="4377"/>
    <cellStyle name="Currency 4 3 2 4 2" xfId="4378"/>
    <cellStyle name="Currency 4 3 2 4 2 2" xfId="8492"/>
    <cellStyle name="Currency 4 3 2 4 2 2 2" xfId="22599"/>
    <cellStyle name="Currency 4 3 2 4 2 2 3" xfId="17126"/>
    <cellStyle name="Currency 4 3 2 4 2 3" xfId="13958"/>
    <cellStyle name="Currency 4 3 2 4 2 4" xfId="19491"/>
    <cellStyle name="Currency 4 3 2 4 2 5" xfId="11740"/>
    <cellStyle name="Currency 4 3 2 4 3" xfId="7700"/>
    <cellStyle name="Currency 4 3 2 4 3 2" xfId="21807"/>
    <cellStyle name="Currency 4 3 2 4 3 3" xfId="16334"/>
    <cellStyle name="Currency 4 3 2 4 4" xfId="13957"/>
    <cellStyle name="Currency 4 3 2 4 5" xfId="19490"/>
    <cellStyle name="Currency 4 3 2 4 6" xfId="10947"/>
    <cellStyle name="Currency 4 3 2 5" xfId="4379"/>
    <cellStyle name="Currency 4 3 2 5 2" xfId="6418"/>
    <cellStyle name="Currency 4 3 2 5 2 2" xfId="8854"/>
    <cellStyle name="Currency 4 3 2 5 2 2 2" xfId="22955"/>
    <cellStyle name="Currency 4 3 2 5 2 2 3" xfId="17488"/>
    <cellStyle name="Currency 4 3 2 5 2 3" xfId="15247"/>
    <cellStyle name="Currency 4 3 2 5 2 4" xfId="20741"/>
    <cellStyle name="Currency 4 3 2 5 2 5" xfId="12098"/>
    <cellStyle name="Currency 4 3 2 5 3" xfId="7264"/>
    <cellStyle name="Currency 4 3 2 5 3 2" xfId="21371"/>
    <cellStyle name="Currency 4 3 2 5 3 3" xfId="15898"/>
    <cellStyle name="Currency 4 3 2 5 4" xfId="13959"/>
    <cellStyle name="Currency 4 3 2 5 5" xfId="19492"/>
    <cellStyle name="Currency 4 3 2 5 6" xfId="10511"/>
    <cellStyle name="Currency 4 3 2 6" xfId="4380"/>
    <cellStyle name="Currency 4 3 2 6 2" xfId="8056"/>
    <cellStyle name="Currency 4 3 2 6 2 2" xfId="22163"/>
    <cellStyle name="Currency 4 3 2 6 2 3" xfId="16690"/>
    <cellStyle name="Currency 4 3 2 6 3" xfId="13960"/>
    <cellStyle name="Currency 4 3 2 6 4" xfId="19493"/>
    <cellStyle name="Currency 4 3 2 6 5" xfId="11303"/>
    <cellStyle name="Currency 4 3 2 7" xfId="4381"/>
    <cellStyle name="Currency 4 3 2 8" xfId="6903"/>
    <cellStyle name="Currency 4 3 2 8 2" xfId="21015"/>
    <cellStyle name="Currency 4 3 2 8 3" xfId="15542"/>
    <cellStyle name="Currency 4 3 2 9" xfId="10153"/>
    <cellStyle name="Currency 4 3 3" xfId="1597"/>
    <cellStyle name="Currency 4 3 3 10" xfId="10014"/>
    <cellStyle name="Currency 4 3 3 10 2" xfId="18453"/>
    <cellStyle name="Currency 4 3 3 11" xfId="23744"/>
    <cellStyle name="Currency 4 3 3 12" xfId="10156"/>
    <cellStyle name="Currency 4 3 3 13" xfId="3026"/>
    <cellStyle name="Currency 4 3 3 2" xfId="4382"/>
    <cellStyle name="Currency 4 3 3 2 10" xfId="24625"/>
    <cellStyle name="Currency 4 3 3 2 11" xfId="41568"/>
    <cellStyle name="Currency 4 3 3 2 2" xfId="4383"/>
    <cellStyle name="Currency 4 3 3 2 2 2" xfId="4384"/>
    <cellStyle name="Currency 4 3 3 2 2 2 2" xfId="8669"/>
    <cellStyle name="Currency 4 3 3 2 2 2 2 2" xfId="22776"/>
    <cellStyle name="Currency 4 3 3 2 2 2 2 3" xfId="17303"/>
    <cellStyle name="Currency 4 3 3 2 2 2 3" xfId="13963"/>
    <cellStyle name="Currency 4 3 3 2 2 2 4" xfId="19496"/>
    <cellStyle name="Currency 4 3 3 2 2 2 5" xfId="11917"/>
    <cellStyle name="Currency 4 3 3 2 2 3" xfId="7877"/>
    <cellStyle name="Currency 4 3 3 2 2 3 2" xfId="21984"/>
    <cellStyle name="Currency 4 3 3 2 2 3 3" xfId="16511"/>
    <cellStyle name="Currency 4 3 3 2 2 4" xfId="13962"/>
    <cellStyle name="Currency 4 3 3 2 2 5" xfId="19495"/>
    <cellStyle name="Currency 4 3 3 2 2 6" xfId="11124"/>
    <cellStyle name="Currency 4 3 3 2 3" xfId="4385"/>
    <cellStyle name="Currency 4 3 3 2 3 2" xfId="6608"/>
    <cellStyle name="Currency 4 3 3 2 3 2 2" xfId="9207"/>
    <cellStyle name="Currency 4 3 3 2 3 2 2 2" xfId="23308"/>
    <cellStyle name="Currency 4 3 3 2 3 2 2 3" xfId="17841"/>
    <cellStyle name="Currency 4 3 3 2 3 2 3" xfId="15393"/>
    <cellStyle name="Currency 4 3 3 2 3 2 4" xfId="20886"/>
    <cellStyle name="Currency 4 3 3 2 3 2 5" xfId="12452"/>
    <cellStyle name="Currency 4 3 3 2 3 3" xfId="7617"/>
    <cellStyle name="Currency 4 3 3 2 3 3 2" xfId="21724"/>
    <cellStyle name="Currency 4 3 3 2 3 3 3" xfId="16251"/>
    <cellStyle name="Currency 4 3 3 2 3 4" xfId="13964"/>
    <cellStyle name="Currency 4 3 3 2 3 5" xfId="19497"/>
    <cellStyle name="Currency 4 3 3 2 3 6" xfId="10864"/>
    <cellStyle name="Currency 4 3 3 2 4" xfId="4386"/>
    <cellStyle name="Currency 4 3 3 2 4 2" xfId="8409"/>
    <cellStyle name="Currency 4 3 3 2 4 2 2" xfId="22516"/>
    <cellStyle name="Currency 4 3 3 2 4 2 3" xfId="17043"/>
    <cellStyle name="Currency 4 3 3 2 4 3" xfId="13965"/>
    <cellStyle name="Currency 4 3 3 2 4 4" xfId="19498"/>
    <cellStyle name="Currency 4 3 3 2 4 5" xfId="11657"/>
    <cellStyle name="Currency 4 3 3 2 5" xfId="7084"/>
    <cellStyle name="Currency 4 3 3 2 5 2" xfId="21192"/>
    <cellStyle name="Currency 4 3 3 2 5 3" xfId="15719"/>
    <cellStyle name="Currency 4 3 3 2 6" xfId="13961"/>
    <cellStyle name="Currency 4 3 3 2 7" xfId="19494"/>
    <cellStyle name="Currency 4 3 3 2 8" xfId="24235"/>
    <cellStyle name="Currency 4 3 3 2 9" xfId="10332"/>
    <cellStyle name="Currency 4 3 3 3" xfId="4387"/>
    <cellStyle name="Currency 4 3 3 3 2" xfId="4388"/>
    <cellStyle name="Currency 4 3 3 3 2 2" xfId="8233"/>
    <cellStyle name="Currency 4 3 3 3 2 2 2" xfId="22340"/>
    <cellStyle name="Currency 4 3 3 3 2 2 3" xfId="16867"/>
    <cellStyle name="Currency 4 3 3 3 2 3" xfId="13967"/>
    <cellStyle name="Currency 4 3 3 3 2 4" xfId="19500"/>
    <cellStyle name="Currency 4 3 3 3 2 5" xfId="11480"/>
    <cellStyle name="Currency 4 3 3 3 3" xfId="4389"/>
    <cellStyle name="Currency 4 3 3 3 3 2" xfId="9031"/>
    <cellStyle name="Currency 4 3 3 3 3 2 2" xfId="23132"/>
    <cellStyle name="Currency 4 3 3 3 3 2 3" xfId="17665"/>
    <cellStyle name="Currency 4 3 3 3 3 3" xfId="13968"/>
    <cellStyle name="Currency 4 3 3 3 3 4" xfId="19501"/>
    <cellStyle name="Currency 4 3 3 3 3 5" xfId="12276"/>
    <cellStyle name="Currency 4 3 3 3 4" xfId="7441"/>
    <cellStyle name="Currency 4 3 3 3 4 2" xfId="21548"/>
    <cellStyle name="Currency 4 3 3 3 4 3" xfId="16075"/>
    <cellStyle name="Currency 4 3 3 3 5" xfId="13966"/>
    <cellStyle name="Currency 4 3 3 3 6" xfId="19499"/>
    <cellStyle name="Currency 4 3 3 3 7" xfId="10688"/>
    <cellStyle name="Currency 4 3 3 4" xfId="4390"/>
    <cellStyle name="Currency 4 3 3 4 2" xfId="4391"/>
    <cellStyle name="Currency 4 3 3 4 2 2" xfId="8493"/>
    <cellStyle name="Currency 4 3 3 4 2 2 2" xfId="22600"/>
    <cellStyle name="Currency 4 3 3 4 2 2 3" xfId="17127"/>
    <cellStyle name="Currency 4 3 3 4 2 3" xfId="13970"/>
    <cellStyle name="Currency 4 3 3 4 2 4" xfId="19503"/>
    <cellStyle name="Currency 4 3 3 4 2 5" xfId="11741"/>
    <cellStyle name="Currency 4 3 3 4 3" xfId="7701"/>
    <cellStyle name="Currency 4 3 3 4 3 2" xfId="21808"/>
    <cellStyle name="Currency 4 3 3 4 3 3" xfId="16335"/>
    <cellStyle name="Currency 4 3 3 4 4" xfId="13969"/>
    <cellStyle name="Currency 4 3 3 4 5" xfId="19502"/>
    <cellStyle name="Currency 4 3 3 4 6" xfId="10948"/>
    <cellStyle name="Currency 4 3 3 5" xfId="4392"/>
    <cellStyle name="Currency 4 3 3 5 2" xfId="6419"/>
    <cellStyle name="Currency 4 3 3 5 2 2" xfId="8855"/>
    <cellStyle name="Currency 4 3 3 5 2 2 2" xfId="22956"/>
    <cellStyle name="Currency 4 3 3 5 2 2 3" xfId="17489"/>
    <cellStyle name="Currency 4 3 3 5 2 3" xfId="15248"/>
    <cellStyle name="Currency 4 3 3 5 2 4" xfId="20742"/>
    <cellStyle name="Currency 4 3 3 5 2 5" xfId="12099"/>
    <cellStyle name="Currency 4 3 3 5 3" xfId="7265"/>
    <cellStyle name="Currency 4 3 3 5 3 2" xfId="21372"/>
    <cellStyle name="Currency 4 3 3 5 3 3" xfId="15899"/>
    <cellStyle name="Currency 4 3 3 5 4" xfId="13971"/>
    <cellStyle name="Currency 4 3 3 5 5" xfId="19504"/>
    <cellStyle name="Currency 4 3 3 5 6" xfId="10512"/>
    <cellStyle name="Currency 4 3 3 6" xfId="4393"/>
    <cellStyle name="Currency 4 3 3 6 2" xfId="8057"/>
    <cellStyle name="Currency 4 3 3 6 2 2" xfId="22164"/>
    <cellStyle name="Currency 4 3 3 6 2 3" xfId="16691"/>
    <cellStyle name="Currency 4 3 3 6 3" xfId="13972"/>
    <cellStyle name="Currency 4 3 3 6 4" xfId="19505"/>
    <cellStyle name="Currency 4 3 3 6 5" xfId="11304"/>
    <cellStyle name="Currency 4 3 3 7" xfId="4394"/>
    <cellStyle name="Currency 4 3 3 7 2" xfId="9499"/>
    <cellStyle name="Currency 4 3 3 7 2 2" xfId="23546"/>
    <cellStyle name="Currency 4 3 3 7 2 3" xfId="18100"/>
    <cellStyle name="Currency 4 3 3 7 3" xfId="13973"/>
    <cellStyle name="Currency 4 3 3 7 4" xfId="19506"/>
    <cellStyle name="Currency 4 3 3 7 5" xfId="12700"/>
    <cellStyle name="Currency 4 3 3 8" xfId="6905"/>
    <cellStyle name="Currency 4 3 3 8 2" xfId="21016"/>
    <cellStyle name="Currency 4 3 3 8 3" xfId="15543"/>
    <cellStyle name="Currency 4 3 3 9" xfId="9801"/>
    <cellStyle name="Currency 4 3 3 9 2" xfId="12902"/>
    <cellStyle name="Currency 4 3 4" xfId="2825"/>
    <cellStyle name="Currency 4 3 4 2" xfId="4395"/>
    <cellStyle name="Currency 4 3 4 2 2" xfId="4396"/>
    <cellStyle name="Currency 4 3 4 2 2 2" xfId="8280"/>
    <cellStyle name="Currency 4 3 4 2 2 2 2" xfId="22387"/>
    <cellStyle name="Currency 4 3 4 2 2 2 3" xfId="16914"/>
    <cellStyle name="Currency 4 3 4 2 2 3" xfId="13975"/>
    <cellStyle name="Currency 4 3 4 2 2 4" xfId="19508"/>
    <cellStyle name="Currency 4 3 4 2 2 5" xfId="11528"/>
    <cellStyle name="Currency 4 3 4 2 3" xfId="4397"/>
    <cellStyle name="Currency 4 3 4 2 3 2" xfId="9078"/>
    <cellStyle name="Currency 4 3 4 2 3 2 2" xfId="23179"/>
    <cellStyle name="Currency 4 3 4 2 3 2 3" xfId="17712"/>
    <cellStyle name="Currency 4 3 4 2 3 3" xfId="13976"/>
    <cellStyle name="Currency 4 3 4 2 3 4" xfId="19509"/>
    <cellStyle name="Currency 4 3 4 2 3 5" xfId="12323"/>
    <cellStyle name="Currency 4 3 4 2 4" xfId="7488"/>
    <cellStyle name="Currency 4 3 4 2 4 2" xfId="21595"/>
    <cellStyle name="Currency 4 3 4 2 4 3" xfId="16122"/>
    <cellStyle name="Currency 4 3 4 2 5" xfId="13974"/>
    <cellStyle name="Currency 4 3 4 2 6" xfId="19507"/>
    <cellStyle name="Currency 4 3 4 2 7" xfId="10735"/>
    <cellStyle name="Currency 4 3 4 3" xfId="4398"/>
    <cellStyle name="Currency 4 3 4 3 2" xfId="4399"/>
    <cellStyle name="Currency 4 3 4 3 2 2" xfId="8540"/>
    <cellStyle name="Currency 4 3 4 3 2 2 2" xfId="22647"/>
    <cellStyle name="Currency 4 3 4 3 2 2 3" xfId="17174"/>
    <cellStyle name="Currency 4 3 4 3 2 3" xfId="13978"/>
    <cellStyle name="Currency 4 3 4 3 2 4" xfId="19511"/>
    <cellStyle name="Currency 4 3 4 3 2 5" xfId="11788"/>
    <cellStyle name="Currency 4 3 4 3 3" xfId="7748"/>
    <cellStyle name="Currency 4 3 4 3 3 2" xfId="21855"/>
    <cellStyle name="Currency 4 3 4 3 3 3" xfId="16382"/>
    <cellStyle name="Currency 4 3 4 3 4" xfId="13977"/>
    <cellStyle name="Currency 4 3 4 3 5" xfId="19510"/>
    <cellStyle name="Currency 4 3 4 3 6" xfId="10995"/>
    <cellStyle name="Currency 4 3 4 4" xfId="4400"/>
    <cellStyle name="Currency 4 3 4 4 2" xfId="6466"/>
    <cellStyle name="Currency 4 3 4 4 2 2" xfId="8902"/>
    <cellStyle name="Currency 4 3 4 4 2 2 2" xfId="23003"/>
    <cellStyle name="Currency 4 3 4 4 2 2 3" xfId="17536"/>
    <cellStyle name="Currency 4 3 4 4 2 3" xfId="15295"/>
    <cellStyle name="Currency 4 3 4 4 2 4" xfId="20789"/>
    <cellStyle name="Currency 4 3 4 4 2 5" xfId="12146"/>
    <cellStyle name="Currency 4 3 4 4 3" xfId="7312"/>
    <cellStyle name="Currency 4 3 4 4 3 2" xfId="21419"/>
    <cellStyle name="Currency 4 3 4 4 3 3" xfId="15946"/>
    <cellStyle name="Currency 4 3 4 4 4" xfId="13979"/>
    <cellStyle name="Currency 4 3 4 4 5" xfId="19512"/>
    <cellStyle name="Currency 4 3 4 4 6" xfId="10559"/>
    <cellStyle name="Currency 4 3 4 5" xfId="4401"/>
    <cellStyle name="Currency 4 3 4 5 2" xfId="8104"/>
    <cellStyle name="Currency 4 3 4 5 2 2" xfId="22211"/>
    <cellStyle name="Currency 4 3 4 5 2 3" xfId="16738"/>
    <cellStyle name="Currency 4 3 4 5 3" xfId="13980"/>
    <cellStyle name="Currency 4 3 4 5 4" xfId="19513"/>
    <cellStyle name="Currency 4 3 4 5 5" xfId="11351"/>
    <cellStyle name="Currency 4 3 4 6" xfId="4402"/>
    <cellStyle name="Currency 4 3 4 7" xfId="6953"/>
    <cellStyle name="Currency 4 3 4 7 2" xfId="21063"/>
    <cellStyle name="Currency 4 3 4 7 3" xfId="15590"/>
    <cellStyle name="Currency 4 3 4 8" xfId="10203"/>
    <cellStyle name="Currency 4 3 5" xfId="4403"/>
    <cellStyle name="Currency 4 3 6" xfId="4404"/>
    <cellStyle name="Currency 4 3 6 2" xfId="6290"/>
    <cellStyle name="Currency 4 3 6 2 2" xfId="8726"/>
    <cellStyle name="Currency 4 3 6 2 2 2" xfId="22827"/>
    <cellStyle name="Currency 4 3 6 2 2 3" xfId="17360"/>
    <cellStyle name="Currency 4 3 6 2 3" xfId="15119"/>
    <cellStyle name="Currency 4 3 6 2 4" xfId="20613"/>
    <cellStyle name="Currency 4 3 6 2 5" xfId="11970"/>
    <cellStyle name="Currency 4 3 6 3" xfId="7136"/>
    <cellStyle name="Currency 4 3 6 3 2" xfId="21243"/>
    <cellStyle name="Currency 4 3 6 3 3" xfId="15770"/>
    <cellStyle name="Currency 4 3 6 4" xfId="13981"/>
    <cellStyle name="Currency 4 3 6 5" xfId="19514"/>
    <cellStyle name="Currency 4 3 6 6" xfId="10383"/>
    <cellStyle name="Currency 4 3 7" xfId="4405"/>
    <cellStyle name="Currency 4 3 7 2" xfId="7928"/>
    <cellStyle name="Currency 4 3 7 2 2" xfId="22035"/>
    <cellStyle name="Currency 4 3 7 2 3" xfId="16562"/>
    <cellStyle name="Currency 4 3 7 3" xfId="13982"/>
    <cellStyle name="Currency 4 3 7 4" xfId="19515"/>
    <cellStyle name="Currency 4 3 7 5" xfId="11175"/>
    <cellStyle name="Currency 4 3 8" xfId="4406"/>
    <cellStyle name="Currency 4 4" xfId="1493"/>
    <cellStyle name="Currency 4 4 10" xfId="9941"/>
    <cellStyle name="Currency 4 4 10 2" xfId="18380"/>
    <cellStyle name="Currency 4 4 11" xfId="23712"/>
    <cellStyle name="Currency 4 4 12" xfId="10264"/>
    <cellStyle name="Currency 4 4 13" xfId="2452"/>
    <cellStyle name="Currency 4 4 2" xfId="2956"/>
    <cellStyle name="Currency 4 4 2 10" xfId="24014"/>
    <cellStyle name="Currency 4 4 2 11" xfId="10348"/>
    <cellStyle name="Currency 4 4 2 2" xfId="4407"/>
    <cellStyle name="Currency 4 4 2 2 2" xfId="4408"/>
    <cellStyle name="Currency 4 4 2 2 2 2" xfId="8425"/>
    <cellStyle name="Currency 4 4 2 2 2 2 2" xfId="22532"/>
    <cellStyle name="Currency 4 4 2 2 2 2 3" xfId="17059"/>
    <cellStyle name="Currency 4 4 2 2 2 3" xfId="13984"/>
    <cellStyle name="Currency 4 4 2 2 2 4" xfId="19517"/>
    <cellStyle name="Currency 4 4 2 2 2 5" xfId="11673"/>
    <cellStyle name="Currency 4 4 2 2 3" xfId="4409"/>
    <cellStyle name="Currency 4 4 2 2 3 2" xfId="9223"/>
    <cellStyle name="Currency 4 4 2 2 3 2 2" xfId="23324"/>
    <cellStyle name="Currency 4 4 2 2 3 2 3" xfId="17857"/>
    <cellStyle name="Currency 4 4 2 2 3 3" xfId="13985"/>
    <cellStyle name="Currency 4 4 2 2 3 4" xfId="19518"/>
    <cellStyle name="Currency 4 4 2 2 3 5" xfId="12468"/>
    <cellStyle name="Currency 4 4 2 2 4" xfId="7633"/>
    <cellStyle name="Currency 4 4 2 2 4 2" xfId="21740"/>
    <cellStyle name="Currency 4 4 2 2 4 3" xfId="16267"/>
    <cellStyle name="Currency 4 4 2 2 5" xfId="13983"/>
    <cellStyle name="Currency 4 4 2 2 6" xfId="19516"/>
    <cellStyle name="Currency 4 4 2 2 7" xfId="24204"/>
    <cellStyle name="Currency 4 4 2 2 8" xfId="10880"/>
    <cellStyle name="Currency 4 4 2 3" xfId="4410"/>
    <cellStyle name="Currency 4 4 2 3 2" xfId="4411"/>
    <cellStyle name="Currency 4 4 2 3 2 2" xfId="8685"/>
    <cellStyle name="Currency 4 4 2 3 2 2 2" xfId="22792"/>
    <cellStyle name="Currency 4 4 2 3 2 2 3" xfId="17319"/>
    <cellStyle name="Currency 4 4 2 3 2 3" xfId="13987"/>
    <cellStyle name="Currency 4 4 2 3 2 4" xfId="19520"/>
    <cellStyle name="Currency 4 4 2 3 2 5" xfId="11933"/>
    <cellStyle name="Currency 4 4 2 3 3" xfId="7893"/>
    <cellStyle name="Currency 4 4 2 3 3 2" xfId="22000"/>
    <cellStyle name="Currency 4 4 2 3 3 3" xfId="16527"/>
    <cellStyle name="Currency 4 4 2 3 4" xfId="13986"/>
    <cellStyle name="Currency 4 4 2 3 5" xfId="19519"/>
    <cellStyle name="Currency 4 4 2 3 6" xfId="11140"/>
    <cellStyle name="Currency 4 4 2 4" xfId="4412"/>
    <cellStyle name="Currency 4 4 2 4 2" xfId="6527"/>
    <cellStyle name="Currency 4 4 2 4 2 2" xfId="8963"/>
    <cellStyle name="Currency 4 4 2 4 2 2 2" xfId="23064"/>
    <cellStyle name="Currency 4 4 2 4 2 2 3" xfId="17597"/>
    <cellStyle name="Currency 4 4 2 4 2 3" xfId="15356"/>
    <cellStyle name="Currency 4 4 2 4 2 4" xfId="20850"/>
    <cellStyle name="Currency 4 4 2 4 2 5" xfId="12207"/>
    <cellStyle name="Currency 4 4 2 4 3" xfId="7373"/>
    <cellStyle name="Currency 4 4 2 4 3 2" xfId="21480"/>
    <cellStyle name="Currency 4 4 2 4 3 3" xfId="16007"/>
    <cellStyle name="Currency 4 4 2 4 4" xfId="13988"/>
    <cellStyle name="Currency 4 4 2 4 5" xfId="19521"/>
    <cellStyle name="Currency 4 4 2 4 6" xfId="10620"/>
    <cellStyle name="Currency 4 4 2 5" xfId="4413"/>
    <cellStyle name="Currency 4 4 2 5 2" xfId="8165"/>
    <cellStyle name="Currency 4 4 2 5 2 2" xfId="22272"/>
    <cellStyle name="Currency 4 4 2 5 2 3" xfId="16799"/>
    <cellStyle name="Currency 4 4 2 5 3" xfId="13989"/>
    <cellStyle name="Currency 4 4 2 5 4" xfId="19522"/>
    <cellStyle name="Currency 4 4 2 5 5" xfId="11412"/>
    <cellStyle name="Currency 4 4 2 6" xfId="4414"/>
    <cellStyle name="Currency 4 4 2 6 2" xfId="9468"/>
    <cellStyle name="Currency 4 4 2 6 2 2" xfId="23515"/>
    <cellStyle name="Currency 4 4 2 6 2 3" xfId="18069"/>
    <cellStyle name="Currency 4 4 2 6 3" xfId="13990"/>
    <cellStyle name="Currency 4 4 2 6 4" xfId="19523"/>
    <cellStyle name="Currency 4 4 2 6 5" xfId="12669"/>
    <cellStyle name="Currency 4 4 2 7" xfId="7101"/>
    <cellStyle name="Currency 4 4 2 7 2" xfId="21208"/>
    <cellStyle name="Currency 4 4 2 7 3" xfId="15735"/>
    <cellStyle name="Currency 4 4 2 8" xfId="9767"/>
    <cellStyle name="Currency 4 4 2 8 2" xfId="12871"/>
    <cellStyle name="Currency 4 4 2 9" xfId="9983"/>
    <cellStyle name="Currency 4 4 2 9 2" xfId="18422"/>
    <cellStyle name="Currency 4 4 3" xfId="4415"/>
    <cellStyle name="Currency 4 4 3 2" xfId="4416"/>
    <cellStyle name="Currency 4 4 3 2 2" xfId="8341"/>
    <cellStyle name="Currency 4 4 3 2 2 2" xfId="22448"/>
    <cellStyle name="Currency 4 4 3 2 2 3" xfId="16975"/>
    <cellStyle name="Currency 4 4 3 2 3" xfId="13992"/>
    <cellStyle name="Currency 4 4 3 2 4" xfId="19525"/>
    <cellStyle name="Currency 4 4 3 2 5" xfId="11589"/>
    <cellStyle name="Currency 4 4 3 3" xfId="4417"/>
    <cellStyle name="Currency 4 4 3 3 2" xfId="9139"/>
    <cellStyle name="Currency 4 4 3 3 2 2" xfId="23240"/>
    <cellStyle name="Currency 4 4 3 3 2 3" xfId="17773"/>
    <cellStyle name="Currency 4 4 3 3 3" xfId="13993"/>
    <cellStyle name="Currency 4 4 3 3 4" xfId="19526"/>
    <cellStyle name="Currency 4 4 3 3 5" xfId="12384"/>
    <cellStyle name="Currency 4 4 3 4" xfId="7549"/>
    <cellStyle name="Currency 4 4 3 4 2" xfId="21656"/>
    <cellStyle name="Currency 4 4 3 4 3" xfId="16183"/>
    <cellStyle name="Currency 4 4 3 5" xfId="13991"/>
    <cellStyle name="Currency 4 4 3 6" xfId="19524"/>
    <cellStyle name="Currency 4 4 3 7" xfId="24162"/>
    <cellStyle name="Currency 4 4 3 8" xfId="10796"/>
    <cellStyle name="Currency 4 4 4" xfId="4418"/>
    <cellStyle name="Currency 4 4 4 2" xfId="4419"/>
    <cellStyle name="Currency 4 4 4 2 2" xfId="8601"/>
    <cellStyle name="Currency 4 4 4 2 2 2" xfId="22708"/>
    <cellStyle name="Currency 4 4 4 2 2 3" xfId="17235"/>
    <cellStyle name="Currency 4 4 4 2 3" xfId="13995"/>
    <cellStyle name="Currency 4 4 4 2 4" xfId="19528"/>
    <cellStyle name="Currency 4 4 4 2 5" xfId="11849"/>
    <cellStyle name="Currency 4 4 4 3" xfId="7809"/>
    <cellStyle name="Currency 4 4 4 3 2" xfId="21916"/>
    <cellStyle name="Currency 4 4 4 3 3" xfId="16443"/>
    <cellStyle name="Currency 4 4 4 4" xfId="13994"/>
    <cellStyle name="Currency 4 4 4 5" xfId="19527"/>
    <cellStyle name="Currency 4 4 4 6" xfId="11056"/>
    <cellStyle name="Currency 4 4 5" xfId="4420"/>
    <cellStyle name="Currency 4 4 5 2" xfId="6351"/>
    <cellStyle name="Currency 4 4 5 2 2" xfId="8787"/>
    <cellStyle name="Currency 4 4 5 2 2 2" xfId="22888"/>
    <cellStyle name="Currency 4 4 5 2 2 3" xfId="17421"/>
    <cellStyle name="Currency 4 4 5 2 3" xfId="15180"/>
    <cellStyle name="Currency 4 4 5 2 4" xfId="20674"/>
    <cellStyle name="Currency 4 4 5 2 5" xfId="12031"/>
    <cellStyle name="Currency 4 4 5 3" xfId="7197"/>
    <cellStyle name="Currency 4 4 5 3 2" xfId="21304"/>
    <cellStyle name="Currency 4 4 5 3 3" xfId="15831"/>
    <cellStyle name="Currency 4 4 5 4" xfId="13996"/>
    <cellStyle name="Currency 4 4 5 5" xfId="19529"/>
    <cellStyle name="Currency 4 4 5 6" xfId="10444"/>
    <cellStyle name="Currency 4 4 6" xfId="4421"/>
    <cellStyle name="Currency 4 4 6 2" xfId="7989"/>
    <cellStyle name="Currency 4 4 6 2 2" xfId="22096"/>
    <cellStyle name="Currency 4 4 6 2 3" xfId="16623"/>
    <cellStyle name="Currency 4 4 6 3" xfId="13997"/>
    <cellStyle name="Currency 4 4 6 4" xfId="19530"/>
    <cellStyle name="Currency 4 4 6 5" xfId="11236"/>
    <cellStyle name="Currency 4 4 7" xfId="4422"/>
    <cellStyle name="Currency 4 4 7 2" xfId="9406"/>
    <cellStyle name="Currency 4 4 7 2 2" xfId="23473"/>
    <cellStyle name="Currency 4 4 7 2 3" xfId="18025"/>
    <cellStyle name="Currency 4 4 7 3" xfId="13998"/>
    <cellStyle name="Currency 4 4 7 4" xfId="19531"/>
    <cellStyle name="Currency 4 4 7 5" xfId="12623"/>
    <cellStyle name="Currency 4 4 8" xfId="7014"/>
    <cellStyle name="Currency 4 4 8 2" xfId="21124"/>
    <cellStyle name="Currency 4 4 8 3" xfId="15651"/>
    <cellStyle name="Currency 4 4 9" xfId="9717"/>
    <cellStyle name="Currency 4 4 9 2" xfId="12829"/>
    <cellStyle name="Currency 4 5" xfId="2469"/>
    <cellStyle name="Currency 4 5 2" xfId="6763"/>
    <cellStyle name="Currency 4 5 2 2" xfId="20917"/>
    <cellStyle name="Currency 4 5 2 3" xfId="24163"/>
    <cellStyle name="Currency 4 5 2 4" xfId="15442"/>
    <cellStyle name="Currency 4 5 3" xfId="9407"/>
    <cellStyle name="Currency 4 5 3 2" xfId="23474"/>
    <cellStyle name="Currency 4 5 3 3" xfId="18026"/>
    <cellStyle name="Currency 4 5 4" xfId="9718"/>
    <cellStyle name="Currency 4 5 4 2" xfId="12830"/>
    <cellStyle name="Currency 4 5 5" xfId="9942"/>
    <cellStyle name="Currency 4 5 5 2" xfId="18381"/>
    <cellStyle name="Currency 4 5 6" xfId="23957"/>
    <cellStyle name="Currency 4 5 7" xfId="12624"/>
    <cellStyle name="Currency 4 6" xfId="42749"/>
    <cellStyle name="Currency 4 7" xfId="41563"/>
    <cellStyle name="Currency 4 8" xfId="44273"/>
    <cellStyle name="Currency 4 9" xfId="359"/>
    <cellStyle name="Currency 40" xfId="761"/>
    <cellStyle name="Currency 40 2" xfId="1389"/>
    <cellStyle name="Currency 41" xfId="795"/>
    <cellStyle name="Currency 41 2" xfId="1390"/>
    <cellStyle name="Currency 42" xfId="759"/>
    <cellStyle name="Currency 42 2" xfId="1391"/>
    <cellStyle name="Currency 43" xfId="828"/>
    <cellStyle name="Currency 43 2" xfId="1392"/>
    <cellStyle name="Currency 44" xfId="762"/>
    <cellStyle name="Currency 45" xfId="827"/>
    <cellStyle name="Currency 46" xfId="763"/>
    <cellStyle name="Currency 47" xfId="856"/>
    <cellStyle name="Currency 48" xfId="857"/>
    <cellStyle name="Currency 49" xfId="859"/>
    <cellStyle name="Currency 5" xfId="360"/>
    <cellStyle name="Currency 5 2" xfId="617"/>
    <cellStyle name="Currency 5 2 2" xfId="1114"/>
    <cellStyle name="Currency 5 2 2 2" xfId="2870"/>
    <cellStyle name="Currency 5 2 2 2 2" xfId="6770"/>
    <cellStyle name="Currency 5 2 2 2 2 2" xfId="20920"/>
    <cellStyle name="Currency 5 2 2 2 2 3" xfId="24198"/>
    <cellStyle name="Currency 5 2 2 2 2 4" xfId="15446"/>
    <cellStyle name="Currency 5 2 2 2 3" xfId="9454"/>
    <cellStyle name="Currency 5 2 2 2 3 2" xfId="23509"/>
    <cellStyle name="Currency 5 2 2 2 3 3" xfId="18062"/>
    <cellStyle name="Currency 5 2 2 2 4" xfId="9757"/>
    <cellStyle name="Currency 5 2 2 2 4 2" xfId="12865"/>
    <cellStyle name="Currency 5 2 2 2 5" xfId="9977"/>
    <cellStyle name="Currency 5 2 2 2 5 2" xfId="18416"/>
    <cellStyle name="Currency 5 2 2 2 6" xfId="24009"/>
    <cellStyle name="Currency 5 2 2 2 7" xfId="12659"/>
    <cellStyle name="Currency 5 2 2 3" xfId="6759"/>
    <cellStyle name="Currency 5 2 2 3 2" xfId="20914"/>
    <cellStyle name="Currency 5 2 2 3 3" xfId="24127"/>
    <cellStyle name="Currency 5 2 2 3 4" xfId="15439"/>
    <cellStyle name="Currency 5 2 2 3 5" xfId="24574"/>
    <cellStyle name="Currency 5 2 2 4" xfId="9367"/>
    <cellStyle name="Currency 5 2 2 4 2" xfId="23438"/>
    <cellStyle name="Currency 5 2 2 4 3" xfId="17990"/>
    <cellStyle name="Currency 5 2 2 5" xfId="9674"/>
    <cellStyle name="Currency 5 2 2 5 2" xfId="12794"/>
    <cellStyle name="Currency 5 2 2 6" xfId="9905"/>
    <cellStyle name="Currency 5 2 2 6 2" xfId="18345"/>
    <cellStyle name="Currency 5 2 2 7" xfId="23706"/>
    <cellStyle name="Currency 5 2 2 8" xfId="12587"/>
    <cellStyle name="Currency 5 2 2 9" xfId="1993"/>
    <cellStyle name="Currency 5 2 3" xfId="1544"/>
    <cellStyle name="Currency 5 2 3 2" xfId="2993"/>
    <cellStyle name="Currency 5 2 3 2 2" xfId="41570"/>
    <cellStyle name="Currency 5 2 3 3" xfId="6760"/>
    <cellStyle name="Currency 5 2 3 3 2" xfId="20915"/>
    <cellStyle name="Currency 5 2 3 3 3" xfId="23806"/>
    <cellStyle name="Currency 5 2 3 3 4" xfId="15440"/>
    <cellStyle name="Currency 5 2 3 4" xfId="9368"/>
    <cellStyle name="Currency 5 2 3 4 2" xfId="23439"/>
    <cellStyle name="Currency 5 2 3 4 3" xfId="24128"/>
    <cellStyle name="Currency 5 2 3 4 4" xfId="17991"/>
    <cellStyle name="Currency 5 2 3 5" xfId="9675"/>
    <cellStyle name="Currency 5 2 3 5 2" xfId="12795"/>
    <cellStyle name="Currency 5 2 3 6" xfId="9906"/>
    <cellStyle name="Currency 5 2 3 6 2" xfId="18346"/>
    <cellStyle name="Currency 5 2 3 7" xfId="12588"/>
    <cellStyle name="Currency 5 2 3 8" xfId="1996"/>
    <cellStyle name="Currency 5 2 4" xfId="1001"/>
    <cellStyle name="Currency 5 2 4 2" xfId="2822"/>
    <cellStyle name="Currency 5 2 4 2 2" xfId="6769"/>
    <cellStyle name="Currency 5 2 4 2 2 2" xfId="20919"/>
    <cellStyle name="Currency 5 2 4 2 2 3" xfId="24197"/>
    <cellStyle name="Currency 5 2 4 2 2 4" xfId="15445"/>
    <cellStyle name="Currency 5 2 4 2 3" xfId="9450"/>
    <cellStyle name="Currency 5 2 4 2 3 2" xfId="23508"/>
    <cellStyle name="Currency 5 2 4 2 3 3" xfId="18061"/>
    <cellStyle name="Currency 5 2 4 2 4" xfId="9756"/>
    <cellStyle name="Currency 5 2 4 2 4 2" xfId="12864"/>
    <cellStyle name="Currency 5 2 4 2 5" xfId="9976"/>
    <cellStyle name="Currency 5 2 4 2 5 2" xfId="18415"/>
    <cellStyle name="Currency 5 2 4 2 6" xfId="24008"/>
    <cellStyle name="Currency 5 2 4 2 7" xfId="12658"/>
    <cellStyle name="Currency 5 2 4 3" xfId="6761"/>
    <cellStyle name="Currency 5 2 4 3 2" xfId="20916"/>
    <cellStyle name="Currency 5 2 4 3 3" xfId="24129"/>
    <cellStyle name="Currency 5 2 4 3 4" xfId="15441"/>
    <cellStyle name="Currency 5 2 4 4" xfId="9369"/>
    <cellStyle name="Currency 5 2 4 4 2" xfId="23440"/>
    <cellStyle name="Currency 5 2 4 4 3" xfId="17992"/>
    <cellStyle name="Currency 5 2 4 5" xfId="9677"/>
    <cellStyle name="Currency 5 2 4 5 2" xfId="12796"/>
    <cellStyle name="Currency 5 2 4 6" xfId="9907"/>
    <cellStyle name="Currency 5 2 4 6 2" xfId="18347"/>
    <cellStyle name="Currency 5 2 4 7" xfId="23704"/>
    <cellStyle name="Currency 5 2 4 8" xfId="12589"/>
    <cellStyle name="Currency 5 2 4 9" xfId="2000"/>
    <cellStyle name="Currency 5 2 5" xfId="1926"/>
    <cellStyle name="Currency 5 2 5 2" xfId="41571"/>
    <cellStyle name="Currency 5 2 6" xfId="4423"/>
    <cellStyle name="Currency 5 2 6 2" xfId="9315"/>
    <cellStyle name="Currency 5 2 6 2 2" xfId="23389"/>
    <cellStyle name="Currency 5 2 6 2 3" xfId="17941"/>
    <cellStyle name="Currency 5 2 6 3" xfId="13999"/>
    <cellStyle name="Currency 5 2 6 4" xfId="19532"/>
    <cellStyle name="Currency 5 2 6 5" xfId="24080"/>
    <cellStyle name="Currency 5 2 6 6" xfId="12537"/>
    <cellStyle name="Currency 5 2 7" xfId="9613"/>
    <cellStyle name="Currency 5 2 7 2" xfId="12745"/>
    <cellStyle name="Currency 5 2 8" xfId="9856"/>
    <cellStyle name="Currency 5 2 8 2" xfId="18296"/>
    <cellStyle name="Currency 5 2 9" xfId="1735"/>
    <cellStyle name="Currency 5 3" xfId="1010"/>
    <cellStyle name="Currency 5 3 2" xfId="1463"/>
    <cellStyle name="Currency 5 3 2 2" xfId="2051"/>
    <cellStyle name="Currency 5 3 2 2 2" xfId="2938"/>
    <cellStyle name="Currency 5 3 2 2 3" xfId="41572"/>
    <cellStyle name="Currency 5 3 3" xfId="2826"/>
    <cellStyle name="Currency 5 3 4" xfId="4424"/>
    <cellStyle name="Currency 5 4" xfId="41569"/>
    <cellStyle name="Currency 50" xfId="860"/>
    <cellStyle name="Currency 51" xfId="825"/>
    <cellStyle name="Currency 52" xfId="861"/>
    <cellStyle name="Currency 53" xfId="854"/>
    <cellStyle name="Currency 54" xfId="851"/>
    <cellStyle name="Currency 55" xfId="869"/>
    <cellStyle name="Currency 56" xfId="867"/>
    <cellStyle name="Currency 57" xfId="654"/>
    <cellStyle name="Currency 57 2" xfId="2233"/>
    <cellStyle name="Currency 57 2 2" xfId="24640"/>
    <cellStyle name="Currency 57 3" xfId="2778"/>
    <cellStyle name="Currency 57 3 10" xfId="43771"/>
    <cellStyle name="Currency 57 3 11" xfId="43594"/>
    <cellStyle name="Currency 57 3 12" xfId="43458"/>
    <cellStyle name="Currency 57 3 13" xfId="43945"/>
    <cellStyle name="Currency 57 3 2" xfId="24007"/>
    <cellStyle name="Currency 57 3 2 10" xfId="43459"/>
    <cellStyle name="Currency 57 3 2 11" xfId="43946"/>
    <cellStyle name="Currency 57 3 2 2" xfId="41573"/>
    <cellStyle name="Currency 57 3 2 2 10" xfId="43947"/>
    <cellStyle name="Currency 57 3 2 2 2" xfId="42503"/>
    <cellStyle name="Currency 57 3 2 2 2 2" xfId="42699"/>
    <cellStyle name="Currency 57 3 2 2 2 3" xfId="42850"/>
    <cellStyle name="Currency 57 3 2 2 2 4" xfId="43652"/>
    <cellStyle name="Currency 57 3 2 2 2 5" xfId="43528"/>
    <cellStyle name="Currency 57 3 2 2 2 6" xfId="44013"/>
    <cellStyle name="Currency 57 3 2 2 3" xfId="42570"/>
    <cellStyle name="Currency 57 3 2 2 3 2" xfId="42918"/>
    <cellStyle name="Currency 57 3 2 2 4" xfId="42632"/>
    <cellStyle name="Currency 57 3 2 2 5" xfId="42778"/>
    <cellStyle name="Currency 57 3 2 2 6" xfId="43715"/>
    <cellStyle name="Currency 57 3 2 2 7" xfId="43773"/>
    <cellStyle name="Currency 57 3 2 2 8" xfId="43596"/>
    <cellStyle name="Currency 57 3 2 2 9" xfId="43460"/>
    <cellStyle name="Currency 57 3 2 3" xfId="42502"/>
    <cellStyle name="Currency 57 3 2 3 2" xfId="42698"/>
    <cellStyle name="Currency 57 3 2 3 3" xfId="42849"/>
    <cellStyle name="Currency 57 3 2 3 4" xfId="43651"/>
    <cellStyle name="Currency 57 3 2 3 5" xfId="43527"/>
    <cellStyle name="Currency 57 3 2 3 6" xfId="44012"/>
    <cellStyle name="Currency 57 3 2 4" xfId="42569"/>
    <cellStyle name="Currency 57 3 2 4 2" xfId="42917"/>
    <cellStyle name="Currency 57 3 2 5" xfId="42631"/>
    <cellStyle name="Currency 57 3 2 6" xfId="42777"/>
    <cellStyle name="Currency 57 3 2 7" xfId="43714"/>
    <cellStyle name="Currency 57 3 2 8" xfId="43772"/>
    <cellStyle name="Currency 57 3 2 9" xfId="43595"/>
    <cellStyle name="Currency 57 3 3" xfId="41574"/>
    <cellStyle name="Currency 57 3 3 10" xfId="43948"/>
    <cellStyle name="Currency 57 3 3 2" xfId="42504"/>
    <cellStyle name="Currency 57 3 3 2 2" xfId="42700"/>
    <cellStyle name="Currency 57 3 3 2 3" xfId="42851"/>
    <cellStyle name="Currency 57 3 3 2 4" xfId="43653"/>
    <cellStyle name="Currency 57 3 3 2 5" xfId="43529"/>
    <cellStyle name="Currency 57 3 3 2 6" xfId="44014"/>
    <cellStyle name="Currency 57 3 3 3" xfId="42571"/>
    <cellStyle name="Currency 57 3 3 3 2" xfId="42919"/>
    <cellStyle name="Currency 57 3 3 4" xfId="42633"/>
    <cellStyle name="Currency 57 3 3 5" xfId="42779"/>
    <cellStyle name="Currency 57 3 3 6" xfId="43716"/>
    <cellStyle name="Currency 57 3 3 7" xfId="43774"/>
    <cellStyle name="Currency 57 3 3 8" xfId="43597"/>
    <cellStyle name="Currency 57 3 3 9" xfId="43461"/>
    <cellStyle name="Currency 57 3 4" xfId="41575"/>
    <cellStyle name="Currency 57 3 4 10" xfId="43949"/>
    <cellStyle name="Currency 57 3 4 2" xfId="42505"/>
    <cellStyle name="Currency 57 3 4 2 2" xfId="42701"/>
    <cellStyle name="Currency 57 3 4 2 3" xfId="42852"/>
    <cellStyle name="Currency 57 3 4 2 4" xfId="43654"/>
    <cellStyle name="Currency 57 3 4 2 5" xfId="43530"/>
    <cellStyle name="Currency 57 3 4 2 6" xfId="44015"/>
    <cellStyle name="Currency 57 3 4 3" xfId="42572"/>
    <cellStyle name="Currency 57 3 4 3 2" xfId="42920"/>
    <cellStyle name="Currency 57 3 4 4" xfId="42634"/>
    <cellStyle name="Currency 57 3 4 5" xfId="42780"/>
    <cellStyle name="Currency 57 3 4 6" xfId="43717"/>
    <cellStyle name="Currency 57 3 4 7" xfId="43775"/>
    <cellStyle name="Currency 57 3 4 8" xfId="43598"/>
    <cellStyle name="Currency 57 3 4 9" xfId="43462"/>
    <cellStyle name="Currency 57 3 5" xfId="42501"/>
    <cellStyle name="Currency 57 3 5 2" xfId="42697"/>
    <cellStyle name="Currency 57 3 5 3" xfId="42848"/>
    <cellStyle name="Currency 57 3 5 4" xfId="43650"/>
    <cellStyle name="Currency 57 3 5 5" xfId="43526"/>
    <cellStyle name="Currency 57 3 5 6" xfId="44011"/>
    <cellStyle name="Currency 57 3 6" xfId="42568"/>
    <cellStyle name="Currency 57 3 6 2" xfId="42916"/>
    <cellStyle name="Currency 57 3 7" xfId="42630"/>
    <cellStyle name="Currency 57 3 8" xfId="42776"/>
    <cellStyle name="Currency 57 3 9" xfId="43713"/>
    <cellStyle name="Currency 57 4" xfId="3091"/>
    <cellStyle name="Currency 57 4 2" xfId="6785"/>
    <cellStyle name="Currency 57 4 2 2" xfId="20926"/>
    <cellStyle name="Currency 57 4 2 3" xfId="24237"/>
    <cellStyle name="Currency 57 4 2 4" xfId="15452"/>
    <cellStyle name="Currency 57 4 3" xfId="9502"/>
    <cellStyle name="Currency 57 4 3 2" xfId="23548"/>
    <cellStyle name="Currency 57 4 3 3" xfId="18102"/>
    <cellStyle name="Currency 57 4 4" xfId="9804"/>
    <cellStyle name="Currency 57 4 4 2" xfId="12904"/>
    <cellStyle name="Currency 57 4 5" xfId="10017"/>
    <cellStyle name="Currency 57 4 5 2" xfId="18456"/>
    <cellStyle name="Currency 57 4 6" xfId="24033"/>
    <cellStyle name="Currency 57 4 7" xfId="12702"/>
    <cellStyle name="Currency 57 5" xfId="4425"/>
    <cellStyle name="Currency 57 5 10" xfId="43599"/>
    <cellStyle name="Currency 57 5 11" xfId="43463"/>
    <cellStyle name="Currency 57 5 12" xfId="43950"/>
    <cellStyle name="Currency 57 5 2" xfId="9322"/>
    <cellStyle name="Currency 57 5 2 10" xfId="43951"/>
    <cellStyle name="Currency 57 5 2 2" xfId="23396"/>
    <cellStyle name="Currency 57 5 2 2 2" xfId="42703"/>
    <cellStyle name="Currency 57 5 2 2 3" xfId="42854"/>
    <cellStyle name="Currency 57 5 2 2 4" xfId="42507"/>
    <cellStyle name="Currency 57 5 2 2 5" xfId="43532"/>
    <cellStyle name="Currency 57 5 2 2 6" xfId="44017"/>
    <cellStyle name="Currency 57 5 2 3" xfId="17948"/>
    <cellStyle name="Currency 57 5 2 3 2" xfId="42922"/>
    <cellStyle name="Currency 57 5 2 3 3" xfId="42573"/>
    <cellStyle name="Currency 57 5 2 4" xfId="42636"/>
    <cellStyle name="Currency 57 5 2 5" xfId="42782"/>
    <cellStyle name="Currency 57 5 2 6" xfId="41576"/>
    <cellStyle name="Currency 57 5 2 7" xfId="43777"/>
    <cellStyle name="Currency 57 5 2 8" xfId="43600"/>
    <cellStyle name="Currency 57 5 2 9" xfId="43464"/>
    <cellStyle name="Currency 57 5 3" xfId="10060"/>
    <cellStyle name="Currency 57 5 3 10" xfId="43952"/>
    <cellStyle name="Currency 57 5 3 2" xfId="14000"/>
    <cellStyle name="Currency 57 5 3 2 2" xfId="42704"/>
    <cellStyle name="Currency 57 5 3 2 3" xfId="42855"/>
    <cellStyle name="Currency 57 5 3 2 4" xfId="42508"/>
    <cellStyle name="Currency 57 5 3 2 5" xfId="43533"/>
    <cellStyle name="Currency 57 5 3 2 6" xfId="44018"/>
    <cellStyle name="Currency 57 5 3 3" xfId="42574"/>
    <cellStyle name="Currency 57 5 3 3 2" xfId="42923"/>
    <cellStyle name="Currency 57 5 3 4" xfId="42637"/>
    <cellStyle name="Currency 57 5 3 5" xfId="42783"/>
    <cellStyle name="Currency 57 5 3 6" xfId="43719"/>
    <cellStyle name="Currency 57 5 3 7" xfId="43778"/>
    <cellStyle name="Currency 57 5 3 8" xfId="43601"/>
    <cellStyle name="Currency 57 5 3 9" xfId="43465"/>
    <cellStyle name="Currency 57 5 4" xfId="19533"/>
    <cellStyle name="Currency 57 5 4 2" xfId="42702"/>
    <cellStyle name="Currency 57 5 4 3" xfId="42853"/>
    <cellStyle name="Currency 57 5 4 4" xfId="42506"/>
    <cellStyle name="Currency 57 5 4 5" xfId="43531"/>
    <cellStyle name="Currency 57 5 4 6" xfId="44016"/>
    <cellStyle name="Currency 57 5 5" xfId="24077"/>
    <cellStyle name="Currency 57 5 5 2" xfId="42921"/>
    <cellStyle name="Currency 57 5 6" xfId="12544"/>
    <cellStyle name="Currency 57 5 6 2" xfId="42635"/>
    <cellStyle name="Currency 57 5 7" xfId="42781"/>
    <cellStyle name="Currency 57 5 8" xfId="43718"/>
    <cellStyle name="Currency 57 5 9" xfId="43776"/>
    <cellStyle name="Currency 57 6" xfId="9627"/>
    <cellStyle name="Currency 57 6 2" xfId="23750"/>
    <cellStyle name="Currency 57 6 3" xfId="12752"/>
    <cellStyle name="Currency 57 7" xfId="9862"/>
    <cellStyle name="Currency 57 7 2" xfId="24085"/>
    <cellStyle name="Currency 57 7 3" xfId="18302"/>
    <cellStyle name="Currency 57 8" xfId="1815"/>
    <cellStyle name="Currency 58" xfId="874"/>
    <cellStyle name="Currency 58 2" xfId="1115"/>
    <cellStyle name="Currency 58 2 2" xfId="24323"/>
    <cellStyle name="Currency 58 3" xfId="3072"/>
    <cellStyle name="Currency 58 4" xfId="3040"/>
    <cellStyle name="Currency 58 4 2" xfId="6775"/>
    <cellStyle name="Currency 58 5" xfId="3092"/>
    <cellStyle name="Currency 58 5 2" xfId="6786"/>
    <cellStyle name="Currency 58 5 2 2" xfId="20927"/>
    <cellStyle name="Currency 58 5 2 3" xfId="24238"/>
    <cellStyle name="Currency 58 5 2 4" xfId="15453"/>
    <cellStyle name="Currency 58 5 3" xfId="9503"/>
    <cellStyle name="Currency 58 5 3 2" xfId="23549"/>
    <cellStyle name="Currency 58 5 3 3" xfId="18103"/>
    <cellStyle name="Currency 58 5 4" xfId="9805"/>
    <cellStyle name="Currency 58 5 4 2" xfId="12905"/>
    <cellStyle name="Currency 58 5 5" xfId="10018"/>
    <cellStyle name="Currency 58 5 5 2" xfId="18457"/>
    <cellStyle name="Currency 58 5 6" xfId="24034"/>
    <cellStyle name="Currency 58 5 7" xfId="12703"/>
    <cellStyle name="Currency 58 6" xfId="4426"/>
    <cellStyle name="Currency 58 6 2" xfId="9325"/>
    <cellStyle name="Currency 58 6 2 2" xfId="23399"/>
    <cellStyle name="Currency 58 6 2 3" xfId="17951"/>
    <cellStyle name="Currency 58 6 3" xfId="14001"/>
    <cellStyle name="Currency 58 6 4" xfId="19534"/>
    <cellStyle name="Currency 58 6 5" xfId="23755"/>
    <cellStyle name="Currency 58 6 6" xfId="12547"/>
    <cellStyle name="Currency 58 7" xfId="9630"/>
    <cellStyle name="Currency 58 7 2" xfId="24088"/>
    <cellStyle name="Currency 58 7 3" xfId="12755"/>
    <cellStyle name="Currency 58 8" xfId="9865"/>
    <cellStyle name="Currency 58 8 2" xfId="18305"/>
    <cellStyle name="Currency 58 9" xfId="1820"/>
    <cellStyle name="Currency 59" xfId="1073"/>
    <cellStyle name="Currency 59 2" xfId="1116"/>
    <cellStyle name="Currency 59 2 2" xfId="2871"/>
    <cellStyle name="Currency 59 2 2 2" xfId="41577"/>
    <cellStyle name="Currency 59 2 3" xfId="23887"/>
    <cellStyle name="Currency 59 2 3 2" xfId="10078"/>
    <cellStyle name="Currency 59 2 4" xfId="2273"/>
    <cellStyle name="Currency 59 3" xfId="2843"/>
    <cellStyle name="Currency 59 3 2" xfId="41578"/>
    <cellStyle name="Currency 59 4" xfId="3093"/>
    <cellStyle name="Currency 59 4 2" xfId="6787"/>
    <cellStyle name="Currency 59 4 2 2" xfId="20928"/>
    <cellStyle name="Currency 59 4 2 3" xfId="24239"/>
    <cellStyle name="Currency 59 4 2 4" xfId="15454"/>
    <cellStyle name="Currency 59 4 3" xfId="9504"/>
    <cellStyle name="Currency 59 4 3 2" xfId="23550"/>
    <cellStyle name="Currency 59 4 3 3" xfId="18104"/>
    <cellStyle name="Currency 59 4 4" xfId="9806"/>
    <cellStyle name="Currency 59 4 4 2" xfId="12906"/>
    <cellStyle name="Currency 59 4 5" xfId="10019"/>
    <cellStyle name="Currency 59 4 5 2" xfId="18458"/>
    <cellStyle name="Currency 59 4 6" xfId="24035"/>
    <cellStyle name="Currency 59 4 7" xfId="12704"/>
    <cellStyle name="Currency 59 5" xfId="4427"/>
    <cellStyle name="Currency 59 5 2" xfId="9328"/>
    <cellStyle name="Currency 59 5 2 2" xfId="23402"/>
    <cellStyle name="Currency 59 5 2 3" xfId="17954"/>
    <cellStyle name="Currency 59 5 3" xfId="14002"/>
    <cellStyle name="Currency 59 5 4" xfId="19535"/>
    <cellStyle name="Currency 59 5 5" xfId="23759"/>
    <cellStyle name="Currency 59 5 6" xfId="12550"/>
    <cellStyle name="Currency 59 6" xfId="9633"/>
    <cellStyle name="Currency 59 6 2" xfId="24091"/>
    <cellStyle name="Currency 59 6 3" xfId="12758"/>
    <cellStyle name="Currency 59 7" xfId="9868"/>
    <cellStyle name="Currency 59 7 2" xfId="18308"/>
    <cellStyle name="Currency 59 8" xfId="1824"/>
    <cellStyle name="Currency 6" xfId="361"/>
    <cellStyle name="Currency 6 2" xfId="621"/>
    <cellStyle name="Currency 6 2 2" xfId="1461"/>
    <cellStyle name="Currency 6 2 3" xfId="1545"/>
    <cellStyle name="Currency 6 2 3 2" xfId="41580"/>
    <cellStyle name="Currency 6 2 4" xfId="2824"/>
    <cellStyle name="Currency 6 2 5" xfId="4428"/>
    <cellStyle name="Currency 6 3" xfId="2052"/>
    <cellStyle name="Currency 6 3 2" xfId="41581"/>
    <cellStyle name="Currency 6 4" xfId="43215"/>
    <cellStyle name="Currency 6 5" xfId="41579"/>
    <cellStyle name="Currency 60" xfId="1163"/>
    <cellStyle name="Currency 60 2" xfId="2254"/>
    <cellStyle name="Currency 60 2 2" xfId="2887"/>
    <cellStyle name="Currency 60 2 2 2" xfId="41582"/>
    <cellStyle name="Currency 60 2 3" xfId="23880"/>
    <cellStyle name="Currency 60 2 3 2" xfId="24320"/>
    <cellStyle name="Currency 60 3" xfId="3094"/>
    <cellStyle name="Currency 60 3 2" xfId="6788"/>
    <cellStyle name="Currency 60 3 2 2" xfId="20929"/>
    <cellStyle name="Currency 60 3 2 3" xfId="24240"/>
    <cellStyle name="Currency 60 3 2 4" xfId="15455"/>
    <cellStyle name="Currency 60 3 3" xfId="9505"/>
    <cellStyle name="Currency 60 3 3 2" xfId="23551"/>
    <cellStyle name="Currency 60 3 3 3" xfId="18105"/>
    <cellStyle name="Currency 60 3 4" xfId="9807"/>
    <cellStyle name="Currency 60 3 4 2" xfId="12907"/>
    <cellStyle name="Currency 60 3 5" xfId="10020"/>
    <cellStyle name="Currency 60 3 5 2" xfId="18459"/>
    <cellStyle name="Currency 60 3 6" xfId="24036"/>
    <cellStyle name="Currency 60 3 7" xfId="12705"/>
    <cellStyle name="Currency 60 4" xfId="4429"/>
    <cellStyle name="Currency 60 4 2" xfId="9331"/>
    <cellStyle name="Currency 60 4 2 2" xfId="23405"/>
    <cellStyle name="Currency 60 4 2 3" xfId="17957"/>
    <cellStyle name="Currency 60 4 3" xfId="14003"/>
    <cellStyle name="Currency 60 4 4" xfId="19536"/>
    <cellStyle name="Currency 60 4 5" xfId="23763"/>
    <cellStyle name="Currency 60 4 6" xfId="12553"/>
    <cellStyle name="Currency 60 5" xfId="9636"/>
    <cellStyle name="Currency 60 5 2" xfId="24094"/>
    <cellStyle name="Currency 60 5 3" xfId="12761"/>
    <cellStyle name="Currency 60 6" xfId="9871"/>
    <cellStyle name="Currency 60 6 2" xfId="18311"/>
    <cellStyle name="Currency 60 7" xfId="1828"/>
    <cellStyle name="Currency 61" xfId="1275"/>
    <cellStyle name="Currency 61 2" xfId="2271"/>
    <cellStyle name="Currency 61 2 2" xfId="2919"/>
    <cellStyle name="Currency 61 2 2 2" xfId="41583"/>
    <cellStyle name="Currency 61 2 3" xfId="23886"/>
    <cellStyle name="Currency 61 2 3 2" xfId="24620"/>
    <cellStyle name="Currency 61 3" xfId="3095"/>
    <cellStyle name="Currency 61 3 2" xfId="6789"/>
    <cellStyle name="Currency 61 3 2 2" xfId="20930"/>
    <cellStyle name="Currency 61 3 2 3" xfId="24241"/>
    <cellStyle name="Currency 61 3 2 4" xfId="15456"/>
    <cellStyle name="Currency 61 3 3" xfId="9506"/>
    <cellStyle name="Currency 61 3 3 2" xfId="23552"/>
    <cellStyle name="Currency 61 3 3 3" xfId="18106"/>
    <cellStyle name="Currency 61 3 4" xfId="9808"/>
    <cellStyle name="Currency 61 3 4 2" xfId="12908"/>
    <cellStyle name="Currency 61 3 5" xfId="10021"/>
    <cellStyle name="Currency 61 3 5 2" xfId="18460"/>
    <cellStyle name="Currency 61 3 6" xfId="24037"/>
    <cellStyle name="Currency 61 3 7" xfId="12706"/>
    <cellStyle name="Currency 61 4" xfId="4430"/>
    <cellStyle name="Currency 61 4 2" xfId="9334"/>
    <cellStyle name="Currency 61 4 2 2" xfId="23408"/>
    <cellStyle name="Currency 61 4 2 3" xfId="17960"/>
    <cellStyle name="Currency 61 4 3" xfId="14004"/>
    <cellStyle name="Currency 61 4 4" xfId="19537"/>
    <cellStyle name="Currency 61 4 5" xfId="23767"/>
    <cellStyle name="Currency 61 4 6" xfId="12556"/>
    <cellStyle name="Currency 61 5" xfId="9639"/>
    <cellStyle name="Currency 61 5 2" xfId="24097"/>
    <cellStyle name="Currency 61 5 3" xfId="12764"/>
    <cellStyle name="Currency 61 6" xfId="9874"/>
    <cellStyle name="Currency 61 6 2" xfId="18314"/>
    <cellStyle name="Currency 61 7" xfId="1832"/>
    <cellStyle name="Currency 62" xfId="1277"/>
    <cellStyle name="Currency 62 2" xfId="2286"/>
    <cellStyle name="Currency 62 2 2" xfId="2921"/>
    <cellStyle name="Currency 62 2 2 2" xfId="6772"/>
    <cellStyle name="Currency 62 2 2 2 2" xfId="20922"/>
    <cellStyle name="Currency 62 2 2 2 3" xfId="24202"/>
    <cellStyle name="Currency 62 2 2 2 4" xfId="15448"/>
    <cellStyle name="Currency 62 2 2 3" xfId="9464"/>
    <cellStyle name="Currency 62 2 2 3 2" xfId="23513"/>
    <cellStyle name="Currency 62 2 2 3 3" xfId="18067"/>
    <cellStyle name="Currency 62 2 2 4" xfId="9765"/>
    <cellStyle name="Currency 62 2 2 4 2" xfId="12869"/>
    <cellStyle name="Currency 62 2 2 5" xfId="9981"/>
    <cellStyle name="Currency 62 2 2 5 2" xfId="18420"/>
    <cellStyle name="Currency 62 2 2 6" xfId="24013"/>
    <cellStyle name="Currency 62 2 2 7" xfId="12667"/>
    <cellStyle name="Currency 62 2 3" xfId="23891"/>
    <cellStyle name="Currency 62 2 4" xfId="23710"/>
    <cellStyle name="Currency 62 3" xfId="4431"/>
    <cellStyle name="Currency 62 3 2" xfId="9337"/>
    <cellStyle name="Currency 62 3 2 2" xfId="23411"/>
    <cellStyle name="Currency 62 3 2 3" xfId="17963"/>
    <cellStyle name="Currency 62 3 3" xfId="14005"/>
    <cellStyle name="Currency 62 3 4" xfId="19538"/>
    <cellStyle name="Currency 62 3 5" xfId="24100"/>
    <cellStyle name="Currency 62 3 6" xfId="12559"/>
    <cellStyle name="Currency 62 4" xfId="9642"/>
    <cellStyle name="Currency 62 4 2" xfId="12767"/>
    <cellStyle name="Currency 62 5" xfId="9877"/>
    <cellStyle name="Currency 62 5 2" xfId="18317"/>
    <cellStyle name="Currency 62 6" xfId="1836"/>
    <cellStyle name="Currency 63" xfId="648"/>
    <cellStyle name="Currency 63 2" xfId="2252"/>
    <cellStyle name="Currency 63 2 2" xfId="2781"/>
    <cellStyle name="Currency 63 2 2 2" xfId="41584"/>
    <cellStyle name="Currency 63 2 3" xfId="23879"/>
    <cellStyle name="Currency 63 2 3 2" xfId="24393"/>
    <cellStyle name="Currency 63 3" xfId="3096"/>
    <cellStyle name="Currency 63 3 2" xfId="6790"/>
    <cellStyle name="Currency 63 3 2 2" xfId="20931"/>
    <cellStyle name="Currency 63 3 2 3" xfId="24242"/>
    <cellStyle name="Currency 63 3 2 4" xfId="15457"/>
    <cellStyle name="Currency 63 3 3" xfId="9507"/>
    <cellStyle name="Currency 63 3 3 2" xfId="23553"/>
    <cellStyle name="Currency 63 3 3 3" xfId="18107"/>
    <cellStyle name="Currency 63 3 4" xfId="9809"/>
    <cellStyle name="Currency 63 3 4 2" xfId="12909"/>
    <cellStyle name="Currency 63 3 5" xfId="10022"/>
    <cellStyle name="Currency 63 3 5 2" xfId="18461"/>
    <cellStyle name="Currency 63 3 6" xfId="24038"/>
    <cellStyle name="Currency 63 3 7" xfId="12707"/>
    <cellStyle name="Currency 63 4" xfId="4432"/>
    <cellStyle name="Currency 63 4 2" xfId="9340"/>
    <cellStyle name="Currency 63 4 2 2" xfId="23414"/>
    <cellStyle name="Currency 63 4 2 3" xfId="17966"/>
    <cellStyle name="Currency 63 4 3" xfId="14006"/>
    <cellStyle name="Currency 63 4 4" xfId="19539"/>
    <cellStyle name="Currency 63 4 5" xfId="23774"/>
    <cellStyle name="Currency 63 4 6" xfId="12563"/>
    <cellStyle name="Currency 63 5" xfId="9645"/>
    <cellStyle name="Currency 63 5 2" xfId="24103"/>
    <cellStyle name="Currency 63 5 3" xfId="12770"/>
    <cellStyle name="Currency 63 6" xfId="9880"/>
    <cellStyle name="Currency 63 6 2" xfId="18320"/>
    <cellStyle name="Currency 63 7" xfId="1840"/>
    <cellStyle name="Currency 64" xfId="212"/>
    <cellStyle name="Currency 64 2" xfId="2274"/>
    <cellStyle name="Currency 64 2 2" xfId="2788"/>
    <cellStyle name="Currency 64 2 2 2" xfId="41585"/>
    <cellStyle name="Currency 64 2 3" xfId="23888"/>
    <cellStyle name="Currency 64 2 3 2" xfId="24571"/>
    <cellStyle name="Currency 64 3" xfId="3097"/>
    <cellStyle name="Currency 64 3 2" xfId="6791"/>
    <cellStyle name="Currency 64 3 2 2" xfId="20932"/>
    <cellStyle name="Currency 64 3 2 3" xfId="24243"/>
    <cellStyle name="Currency 64 3 2 4" xfId="15458"/>
    <cellStyle name="Currency 64 3 3" xfId="9508"/>
    <cellStyle name="Currency 64 3 3 2" xfId="23554"/>
    <cellStyle name="Currency 64 3 3 3" xfId="18108"/>
    <cellStyle name="Currency 64 3 4" xfId="9810"/>
    <cellStyle name="Currency 64 3 4 2" xfId="12910"/>
    <cellStyle name="Currency 64 3 5" xfId="10023"/>
    <cellStyle name="Currency 64 3 5 2" xfId="18462"/>
    <cellStyle name="Currency 64 3 6" xfId="24039"/>
    <cellStyle name="Currency 64 3 7" xfId="12708"/>
    <cellStyle name="Currency 64 4" xfId="4433"/>
    <cellStyle name="Currency 64 4 2" xfId="9343"/>
    <cellStyle name="Currency 64 4 2 2" xfId="23417"/>
    <cellStyle name="Currency 64 4 2 3" xfId="17969"/>
    <cellStyle name="Currency 64 4 3" xfId="14007"/>
    <cellStyle name="Currency 64 4 4" xfId="19540"/>
    <cellStyle name="Currency 64 4 5" xfId="23778"/>
    <cellStyle name="Currency 64 4 6" xfId="12566"/>
    <cellStyle name="Currency 64 5" xfId="9648"/>
    <cellStyle name="Currency 64 5 2" xfId="24106"/>
    <cellStyle name="Currency 64 5 3" xfId="12773"/>
    <cellStyle name="Currency 64 6" xfId="9883"/>
    <cellStyle name="Currency 64 6 2" xfId="18323"/>
    <cellStyle name="Currency 64 7" xfId="1844"/>
    <cellStyle name="Currency 65" xfId="1848"/>
    <cellStyle name="Currency 65 2" xfId="2267"/>
    <cellStyle name="Currency 65 3" xfId="3098"/>
    <cellStyle name="Currency 65 3 2" xfId="6792"/>
    <cellStyle name="Currency 65 3 2 2" xfId="20933"/>
    <cellStyle name="Currency 65 3 2 3" xfId="24244"/>
    <cellStyle name="Currency 65 3 2 4" xfId="15459"/>
    <cellStyle name="Currency 65 3 3" xfId="9509"/>
    <cellStyle name="Currency 65 3 3 2" xfId="23555"/>
    <cellStyle name="Currency 65 3 3 3" xfId="18109"/>
    <cellStyle name="Currency 65 3 4" xfId="9811"/>
    <cellStyle name="Currency 65 3 4 2" xfId="12911"/>
    <cellStyle name="Currency 65 3 5" xfId="10024"/>
    <cellStyle name="Currency 65 3 5 2" xfId="18463"/>
    <cellStyle name="Currency 65 3 6" xfId="24040"/>
    <cellStyle name="Currency 65 3 7" xfId="12709"/>
    <cellStyle name="Currency 65 4" xfId="4434"/>
    <cellStyle name="Currency 65 4 2" xfId="9346"/>
    <cellStyle name="Currency 65 4 2 2" xfId="23420"/>
    <cellStyle name="Currency 65 4 2 3" xfId="17972"/>
    <cellStyle name="Currency 65 4 3" xfId="14008"/>
    <cellStyle name="Currency 65 4 4" xfId="19541"/>
    <cellStyle name="Currency 65 4 5" xfId="23782"/>
    <cellStyle name="Currency 65 4 6" xfId="12569"/>
    <cellStyle name="Currency 65 5" xfId="9651"/>
    <cellStyle name="Currency 65 5 2" xfId="24109"/>
    <cellStyle name="Currency 65 5 3" xfId="12776"/>
    <cellStyle name="Currency 65 6" xfId="9886"/>
    <cellStyle name="Currency 65 6 2" xfId="18326"/>
    <cellStyle name="Currency 66" xfId="1852"/>
    <cellStyle name="Currency 66 2" xfId="2284"/>
    <cellStyle name="Currency 66 3" xfId="3099"/>
    <cellStyle name="Currency 66 3 2" xfId="6793"/>
    <cellStyle name="Currency 66 3 2 2" xfId="20934"/>
    <cellStyle name="Currency 66 3 2 3" xfId="24245"/>
    <cellStyle name="Currency 66 3 2 4" xfId="15460"/>
    <cellStyle name="Currency 66 3 3" xfId="9510"/>
    <cellStyle name="Currency 66 3 3 2" xfId="23556"/>
    <cellStyle name="Currency 66 3 3 3" xfId="18110"/>
    <cellStyle name="Currency 66 3 4" xfId="9812"/>
    <cellStyle name="Currency 66 3 4 2" xfId="12912"/>
    <cellStyle name="Currency 66 3 5" xfId="10025"/>
    <cellStyle name="Currency 66 3 5 2" xfId="18464"/>
    <cellStyle name="Currency 66 3 6" xfId="24041"/>
    <cellStyle name="Currency 66 3 7" xfId="12710"/>
    <cellStyle name="Currency 66 4" xfId="4435"/>
    <cellStyle name="Currency 66 4 2" xfId="9349"/>
    <cellStyle name="Currency 66 4 2 2" xfId="23423"/>
    <cellStyle name="Currency 66 4 2 3" xfId="17975"/>
    <cellStyle name="Currency 66 4 3" xfId="14009"/>
    <cellStyle name="Currency 66 4 4" xfId="19542"/>
    <cellStyle name="Currency 66 4 5" xfId="23786"/>
    <cellStyle name="Currency 66 4 6" xfId="12572"/>
    <cellStyle name="Currency 66 5" xfId="9654"/>
    <cellStyle name="Currency 66 5 2" xfId="24112"/>
    <cellStyle name="Currency 66 5 3" xfId="12779"/>
    <cellStyle name="Currency 66 6" xfId="9889"/>
    <cellStyle name="Currency 66 6 2" xfId="18329"/>
    <cellStyle name="Currency 67" xfId="1856"/>
    <cellStyle name="Currency 67 2" xfId="2217"/>
    <cellStyle name="Currency 67 3" xfId="3100"/>
    <cellStyle name="Currency 67 3 2" xfId="6794"/>
    <cellStyle name="Currency 67 3 2 2" xfId="20935"/>
    <cellStyle name="Currency 67 3 2 3" xfId="24246"/>
    <cellStyle name="Currency 67 3 2 4" xfId="15461"/>
    <cellStyle name="Currency 67 3 3" xfId="9511"/>
    <cellStyle name="Currency 67 3 3 2" xfId="23557"/>
    <cellStyle name="Currency 67 3 3 3" xfId="18111"/>
    <cellStyle name="Currency 67 3 4" xfId="9813"/>
    <cellStyle name="Currency 67 3 4 2" xfId="12913"/>
    <cellStyle name="Currency 67 3 5" xfId="10026"/>
    <cellStyle name="Currency 67 3 5 2" xfId="18465"/>
    <cellStyle name="Currency 67 3 6" xfId="24042"/>
    <cellStyle name="Currency 67 3 7" xfId="12711"/>
    <cellStyle name="Currency 67 4" xfId="4436"/>
    <cellStyle name="Currency 67 4 2" xfId="9352"/>
    <cellStyle name="Currency 67 4 2 2" xfId="23426"/>
    <cellStyle name="Currency 67 4 2 3" xfId="17978"/>
    <cellStyle name="Currency 67 4 3" xfId="14010"/>
    <cellStyle name="Currency 67 4 4" xfId="19543"/>
    <cellStyle name="Currency 67 4 5" xfId="23790"/>
    <cellStyle name="Currency 67 4 6" xfId="12575"/>
    <cellStyle name="Currency 67 5" xfId="9657"/>
    <cellStyle name="Currency 67 5 2" xfId="24115"/>
    <cellStyle name="Currency 67 5 3" xfId="12782"/>
    <cellStyle name="Currency 67 6" xfId="9892"/>
    <cellStyle name="Currency 67 6 2" xfId="18332"/>
    <cellStyle name="Currency 68" xfId="1860"/>
    <cellStyle name="Currency 68 2" xfId="2281"/>
    <cellStyle name="Currency 68 3" xfId="3101"/>
    <cellStyle name="Currency 68 3 2" xfId="6795"/>
    <cellStyle name="Currency 68 3 2 2" xfId="20936"/>
    <cellStyle name="Currency 68 3 2 3" xfId="24247"/>
    <cellStyle name="Currency 68 3 2 4" xfId="15462"/>
    <cellStyle name="Currency 68 3 3" xfId="9512"/>
    <cellStyle name="Currency 68 3 3 2" xfId="23558"/>
    <cellStyle name="Currency 68 3 3 3" xfId="18112"/>
    <cellStyle name="Currency 68 3 4" xfId="9814"/>
    <cellStyle name="Currency 68 3 4 2" xfId="12914"/>
    <cellStyle name="Currency 68 3 5" xfId="10027"/>
    <cellStyle name="Currency 68 3 5 2" xfId="18466"/>
    <cellStyle name="Currency 68 3 6" xfId="24043"/>
    <cellStyle name="Currency 68 3 7" xfId="12712"/>
    <cellStyle name="Currency 68 4" xfId="4437"/>
    <cellStyle name="Currency 68 4 2" xfId="9355"/>
    <cellStyle name="Currency 68 4 2 2" xfId="23429"/>
    <cellStyle name="Currency 68 4 2 3" xfId="17981"/>
    <cellStyle name="Currency 68 4 3" xfId="14011"/>
    <cellStyle name="Currency 68 4 4" xfId="19544"/>
    <cellStyle name="Currency 68 4 5" xfId="23794"/>
    <cellStyle name="Currency 68 4 6" xfId="12578"/>
    <cellStyle name="Currency 68 5" xfId="9660"/>
    <cellStyle name="Currency 68 5 2" xfId="24118"/>
    <cellStyle name="Currency 68 5 3" xfId="12785"/>
    <cellStyle name="Currency 68 6" xfId="9895"/>
    <cellStyle name="Currency 68 6 2" xfId="18335"/>
    <cellStyle name="Currency 69" xfId="1864"/>
    <cellStyle name="Currency 69 2" xfId="2239"/>
    <cellStyle name="Currency 69 3" xfId="3102"/>
    <cellStyle name="Currency 69 3 2" xfId="6796"/>
    <cellStyle name="Currency 69 3 2 2" xfId="20937"/>
    <cellStyle name="Currency 69 3 2 3" xfId="24248"/>
    <cellStyle name="Currency 69 3 2 4" xfId="15463"/>
    <cellStyle name="Currency 69 3 3" xfId="9513"/>
    <cellStyle name="Currency 69 3 3 2" xfId="23559"/>
    <cellStyle name="Currency 69 3 3 3" xfId="18113"/>
    <cellStyle name="Currency 69 3 4" xfId="9815"/>
    <cellStyle name="Currency 69 3 4 2" xfId="12915"/>
    <cellStyle name="Currency 69 3 5" xfId="10028"/>
    <cellStyle name="Currency 69 3 5 2" xfId="18467"/>
    <cellStyle name="Currency 69 3 6" xfId="24044"/>
    <cellStyle name="Currency 69 3 7" xfId="12713"/>
    <cellStyle name="Currency 69 4" xfId="4438"/>
    <cellStyle name="Currency 69 4 2" xfId="9358"/>
    <cellStyle name="Currency 69 4 2 2" xfId="23432"/>
    <cellStyle name="Currency 69 4 2 3" xfId="17984"/>
    <cellStyle name="Currency 69 4 3" xfId="14012"/>
    <cellStyle name="Currency 69 4 4" xfId="19545"/>
    <cellStyle name="Currency 69 4 5" xfId="23798"/>
    <cellStyle name="Currency 69 4 6" xfId="12581"/>
    <cellStyle name="Currency 69 5" xfId="9663"/>
    <cellStyle name="Currency 69 5 2" xfId="24121"/>
    <cellStyle name="Currency 69 5 3" xfId="12788"/>
    <cellStyle name="Currency 69 6" xfId="9898"/>
    <cellStyle name="Currency 69 6 2" xfId="18338"/>
    <cellStyle name="Currency 7" xfId="362"/>
    <cellStyle name="Currency 7 2" xfId="616"/>
    <cellStyle name="Currency 7 2 2" xfId="1460"/>
    <cellStyle name="Currency 7 2 3" xfId="1546"/>
    <cellStyle name="Currency 7 2 3 2" xfId="41587"/>
    <cellStyle name="Currency 7 2 4" xfId="2823"/>
    <cellStyle name="Currency 7 2 5" xfId="4439"/>
    <cellStyle name="Currency 7 3" xfId="2053"/>
    <cellStyle name="Currency 7 3 2" xfId="41588"/>
    <cellStyle name="Currency 7 4" xfId="43202"/>
    <cellStyle name="Currency 7 5" xfId="41586"/>
    <cellStyle name="Currency 70" xfId="1866"/>
    <cellStyle name="Currency 70 2" xfId="2249"/>
    <cellStyle name="Currency 70 3" xfId="3103"/>
    <cellStyle name="Currency 70 3 2" xfId="6797"/>
    <cellStyle name="Currency 70 3 2 2" xfId="20938"/>
    <cellStyle name="Currency 70 3 2 3" xfId="24249"/>
    <cellStyle name="Currency 70 3 2 4" xfId="15464"/>
    <cellStyle name="Currency 70 3 3" xfId="9514"/>
    <cellStyle name="Currency 70 3 3 2" xfId="23560"/>
    <cellStyle name="Currency 70 3 3 3" xfId="18114"/>
    <cellStyle name="Currency 70 3 4" xfId="9816"/>
    <cellStyle name="Currency 70 3 4 2" xfId="12916"/>
    <cellStyle name="Currency 70 3 5" xfId="10029"/>
    <cellStyle name="Currency 70 3 5 2" xfId="18468"/>
    <cellStyle name="Currency 70 3 6" xfId="24045"/>
    <cellStyle name="Currency 70 3 7" xfId="12714"/>
    <cellStyle name="Currency 70 4" xfId="4440"/>
    <cellStyle name="Currency 70 4 2" xfId="9360"/>
    <cellStyle name="Currency 70 4 2 2" xfId="23434"/>
    <cellStyle name="Currency 70 4 2 3" xfId="17986"/>
    <cellStyle name="Currency 70 4 3" xfId="14013"/>
    <cellStyle name="Currency 70 4 4" xfId="19546"/>
    <cellStyle name="Currency 70 4 5" xfId="23800"/>
    <cellStyle name="Currency 70 4 6" xfId="12583"/>
    <cellStyle name="Currency 70 5" xfId="9665"/>
    <cellStyle name="Currency 70 5 2" xfId="24123"/>
    <cellStyle name="Currency 70 5 3" xfId="12790"/>
    <cellStyle name="Currency 70 6" xfId="9900"/>
    <cellStyle name="Currency 70 6 2" xfId="18340"/>
    <cellStyle name="Currency 71" xfId="1869"/>
    <cellStyle name="Currency 71 2" xfId="2218"/>
    <cellStyle name="Currency 71 3" xfId="4441"/>
    <cellStyle name="Currency 71 3 2" xfId="9363"/>
    <cellStyle name="Currency 71 3 2 2" xfId="23437"/>
    <cellStyle name="Currency 71 3 2 3" xfId="17989"/>
    <cellStyle name="Currency 71 3 3" xfId="14014"/>
    <cellStyle name="Currency 71 3 4" xfId="19547"/>
    <cellStyle name="Currency 71 3 5" xfId="23803"/>
    <cellStyle name="Currency 71 3 6" xfId="12586"/>
    <cellStyle name="Currency 71 4" xfId="9668"/>
    <cellStyle name="Currency 71 4 2" xfId="24126"/>
    <cellStyle name="Currency 71 4 3" xfId="12793"/>
    <cellStyle name="Currency 71 5" xfId="9903"/>
    <cellStyle name="Currency 71 5 2" xfId="18343"/>
    <cellStyle name="Currency 72" xfId="2236"/>
    <cellStyle name="Currency 73" xfId="2287"/>
    <cellStyle name="Currency 74" xfId="2246"/>
    <cellStyle name="Currency 75" xfId="2278"/>
    <cellStyle name="Currency 76" xfId="2240"/>
    <cellStyle name="Currency 77" xfId="2228"/>
    <cellStyle name="Currency 78" xfId="2251"/>
    <cellStyle name="Currency 79" xfId="2293"/>
    <cellStyle name="Currency 8" xfId="363"/>
    <cellStyle name="Currency 8 2" xfId="1393"/>
    <cellStyle name="Currency 8 2 2" xfId="41589"/>
    <cellStyle name="Currency 8 2 3" xfId="41590"/>
    <cellStyle name="Currency 8 3" xfId="1568"/>
    <cellStyle name="Currency 8 3 2" xfId="3005"/>
    <cellStyle name="Currency 8 3 2 2" xfId="41591"/>
    <cellStyle name="Currency 8 3 3" xfId="23841"/>
    <cellStyle name="Currency 8 3 3 2" xfId="24371"/>
    <cellStyle name="Currency 8 3 4" xfId="2155"/>
    <cellStyle name="Currency 8 4" xfId="2119"/>
    <cellStyle name="Currency 8 4 2" xfId="24630"/>
    <cellStyle name="Currency 8 4 3" xfId="41592"/>
    <cellStyle name="Currency 8 5" xfId="24626"/>
    <cellStyle name="Currency 8 6" xfId="24392"/>
    <cellStyle name="Currency 80" xfId="2313"/>
    <cellStyle name="Currency 81" xfId="2292"/>
    <cellStyle name="Currency 82" xfId="2392"/>
    <cellStyle name="Currency 83" xfId="2396"/>
    <cellStyle name="Currency 84" xfId="2395"/>
    <cellStyle name="Currency 85" xfId="2398"/>
    <cellStyle name="Currency 86" xfId="2397"/>
    <cellStyle name="Currency 87" xfId="2552"/>
    <cellStyle name="Currency 87 2" xfId="2737"/>
    <cellStyle name="Currency 87 3" xfId="2648"/>
    <cellStyle name="Currency 87 3 2" xfId="41593"/>
    <cellStyle name="Currency 87 4" xfId="3080"/>
    <cellStyle name="Currency 87 4 2" xfId="6783"/>
    <cellStyle name="Currency 87 5" xfId="3104"/>
    <cellStyle name="Currency 87 6" xfId="23958"/>
    <cellStyle name="Currency 88" xfId="2616"/>
    <cellStyle name="Currency 88 2" xfId="2745"/>
    <cellStyle name="Currency 88 3" xfId="23991"/>
    <cellStyle name="Currency 88 4" xfId="41594"/>
    <cellStyle name="Currency 89" xfId="2635"/>
    <cellStyle name="Currency 89 2" xfId="2741"/>
    <cellStyle name="Currency 89 3" xfId="23997"/>
    <cellStyle name="Currency 89 4" xfId="41595"/>
    <cellStyle name="Currency 9" xfId="364"/>
    <cellStyle name="Currency 9 2" xfId="1394"/>
    <cellStyle name="Currency 9 3" xfId="1578"/>
    <cellStyle name="Currency 9 3 2" xfId="3008"/>
    <cellStyle name="Currency 9 3 2 2" xfId="41596"/>
    <cellStyle name="Currency 9 3 3" xfId="23842"/>
    <cellStyle name="Currency 9 3 4" xfId="2156"/>
    <cellStyle name="Currency 9 4" xfId="2125"/>
    <cellStyle name="Currency 9 4 2" xfId="41597"/>
    <cellStyle name="Currency 90" xfId="2626"/>
    <cellStyle name="Currency 90 2" xfId="2740"/>
    <cellStyle name="Currency 90 3" xfId="23993"/>
    <cellStyle name="Currency 90 4" xfId="41598"/>
    <cellStyle name="Currency 91" xfId="2630"/>
    <cellStyle name="Currency 91 2" xfId="2744"/>
    <cellStyle name="Currency 91 3" xfId="23995"/>
    <cellStyle name="Currency 91 4" xfId="41599"/>
    <cellStyle name="Currency 92" xfId="2664"/>
    <cellStyle name="Currency 92 2" xfId="2743"/>
    <cellStyle name="Currency 92 3" xfId="24002"/>
    <cellStyle name="Currency 92 4" xfId="41600"/>
    <cellStyle name="Currency 93" xfId="2654"/>
    <cellStyle name="Currency 93 2" xfId="2739"/>
    <cellStyle name="Currency 93 3" xfId="23999"/>
    <cellStyle name="Currency 93 4" xfId="41601"/>
    <cellStyle name="Currency 94" xfId="2663"/>
    <cellStyle name="Currency 94 2" xfId="2777"/>
    <cellStyle name="Currency 94 3" xfId="24001"/>
    <cellStyle name="Currency 94 4" xfId="41602"/>
    <cellStyle name="Currency 95" xfId="2627"/>
    <cellStyle name="Currency 95 2" xfId="41603"/>
    <cellStyle name="Currency 96" xfId="2631"/>
    <cellStyle name="Currency 96 2" xfId="41604"/>
    <cellStyle name="Currency 97" xfId="2703"/>
    <cellStyle name="Currency 97 2" xfId="41605"/>
    <cellStyle name="Currency 98" xfId="2655"/>
    <cellStyle name="Currency 98 2" xfId="41606"/>
    <cellStyle name="Currency 99" xfId="2646"/>
    <cellStyle name="Currency 99 2" xfId="41607"/>
    <cellStyle name="Currency0" xfId="365"/>
    <cellStyle name="Currency0 2" xfId="366"/>
    <cellStyle name="Currency0 2 2" xfId="1928"/>
    <cellStyle name="Currency0 2 3" xfId="2764"/>
    <cellStyle name="Currency0 3" xfId="695"/>
    <cellStyle name="Currency0 3 2" xfId="968"/>
    <cellStyle name="Currency0 3 2 2" xfId="1395"/>
    <cellStyle name="Currency0 3 2 3" xfId="1989"/>
    <cellStyle name="Currency0 3 2 3 2" xfId="41609"/>
    <cellStyle name="Currency0 3 3" xfId="2010"/>
    <cellStyle name="Currency0 3 4" xfId="4442"/>
    <cellStyle name="Currency0 3 4 2" xfId="41610"/>
    <cellStyle name="Currency0 3 5" xfId="41608"/>
    <cellStyle name="Currency0 4" xfId="694"/>
    <cellStyle name="Currency0 4 2" xfId="2791"/>
    <cellStyle name="Currency0 5" xfId="1075"/>
    <cellStyle name="Currency0 5 2" xfId="1117"/>
    <cellStyle name="Currency0 6" xfId="1166"/>
    <cellStyle name="Date" xfId="367"/>
    <cellStyle name="Date 2" xfId="368"/>
    <cellStyle name="Date 2 2" xfId="1002"/>
    <cellStyle name="Date 3" xfId="369"/>
    <cellStyle name="Date 3 2" xfId="4443"/>
    <cellStyle name="Date 4" xfId="696"/>
    <cellStyle name="Date 4 2" xfId="969"/>
    <cellStyle name="Date 4 2 2" xfId="1396"/>
    <cellStyle name="Date 4 2 3" xfId="2816"/>
    <cellStyle name="Date 4 3" xfId="4444"/>
    <cellStyle name="Date 5" xfId="655"/>
    <cellStyle name="Date 6" xfId="41611"/>
    <cellStyle name="Date Short" xfId="370"/>
    <cellStyle name="Date_101" xfId="371"/>
    <cellStyle name="Debit" xfId="372"/>
    <cellStyle name="Debit 2" xfId="697"/>
    <cellStyle name="Debit 2 2" xfId="2054"/>
    <cellStyle name="Debit 2 3" xfId="2011"/>
    <cellStyle name="Debit 3" xfId="1076"/>
    <cellStyle name="Debit 3 2" xfId="1118"/>
    <cellStyle name="Debit 3 3" xfId="2845"/>
    <cellStyle name="Debit 4" xfId="1168"/>
    <cellStyle name="Debit subtotal" xfId="373"/>
    <cellStyle name="Debit subtotal 2" xfId="699"/>
    <cellStyle name="Debit subtotal 2 2" xfId="2055"/>
    <cellStyle name="Debit subtotal 2 2 2" xfId="6042"/>
    <cellStyle name="Debit subtotal 2 2 2 2" xfId="18180"/>
    <cellStyle name="Debit subtotal 2 2 2 2 10" xfId="28671"/>
    <cellStyle name="Debit subtotal 2 2 2 2 10 2" xfId="37427"/>
    <cellStyle name="Debit subtotal 2 2 2 2 11" xfId="30176"/>
    <cellStyle name="Debit subtotal 2 2 2 2 11 2" xfId="38930"/>
    <cellStyle name="Debit subtotal 2 2 2 2 12" xfId="32924"/>
    <cellStyle name="Debit subtotal 2 2 2 2 2" xfId="24450"/>
    <cellStyle name="Debit subtotal 2 2 2 2 2 10" xfId="32203"/>
    <cellStyle name="Debit subtotal 2 2 2 2 2 10 2" xfId="40957"/>
    <cellStyle name="Debit subtotal 2 2 2 2 2 11" xfId="33278"/>
    <cellStyle name="Debit subtotal 2 2 2 2 2 2" xfId="29058"/>
    <cellStyle name="Debit subtotal 2 2 2 2 2 2 2" xfId="37812"/>
    <cellStyle name="Debit subtotal 2 2 2 2 2 3" xfId="29471"/>
    <cellStyle name="Debit subtotal 2 2 2 2 2 3 2" xfId="38225"/>
    <cellStyle name="Debit subtotal 2 2 2 2 2 4" xfId="29891"/>
    <cellStyle name="Debit subtotal 2 2 2 2 2 4 2" xfId="38645"/>
    <cellStyle name="Debit subtotal 2 2 2 2 2 5" xfId="30310"/>
    <cellStyle name="Debit subtotal 2 2 2 2 2 5 2" xfId="39064"/>
    <cellStyle name="Debit subtotal 2 2 2 2 2 6" xfId="30711"/>
    <cellStyle name="Debit subtotal 2 2 2 2 2 6 2" xfId="39465"/>
    <cellStyle name="Debit subtotal 2 2 2 2 2 7" xfId="31097"/>
    <cellStyle name="Debit subtotal 2 2 2 2 2 7 2" xfId="39851"/>
    <cellStyle name="Debit subtotal 2 2 2 2 2 8" xfId="31475"/>
    <cellStyle name="Debit subtotal 2 2 2 2 2 8 2" xfId="40229"/>
    <cellStyle name="Debit subtotal 2 2 2 2 2 9" xfId="31841"/>
    <cellStyle name="Debit subtotal 2 2 2 2 2 9 2" xfId="40595"/>
    <cellStyle name="Debit subtotal 2 2 2 2 3" xfId="27670"/>
    <cellStyle name="Debit subtotal 2 2 2 2 3 2" xfId="36430"/>
    <cellStyle name="Debit subtotal 2 2 2 2 4" xfId="26374"/>
    <cellStyle name="Debit subtotal 2 2 2 2 4 2" xfId="35140"/>
    <cellStyle name="Debit subtotal 2 2 2 2 5" xfId="25161"/>
    <cellStyle name="Debit subtotal 2 2 2 2 5 2" xfId="33932"/>
    <cellStyle name="Debit subtotal 2 2 2 2 6" xfId="27386"/>
    <cellStyle name="Debit subtotal 2 2 2 2 6 2" xfId="36146"/>
    <cellStyle name="Debit subtotal 2 2 2 2 7" xfId="25601"/>
    <cellStyle name="Debit subtotal 2 2 2 2 7 2" xfId="34368"/>
    <cellStyle name="Debit subtotal 2 2 2 2 8" xfId="25779"/>
    <cellStyle name="Debit subtotal 2 2 2 2 8 2" xfId="34546"/>
    <cellStyle name="Debit subtotal 2 2 2 2 9" xfId="27833"/>
    <cellStyle name="Debit subtotal 2 2 2 2 9 2" xfId="36593"/>
    <cellStyle name="Debit subtotal 2 2 2 3" xfId="23622"/>
    <cellStyle name="Debit subtotal 2 2 2 3 10" xfId="2358"/>
    <cellStyle name="Debit subtotal 2 2 2 3 10 2" xfId="32639"/>
    <cellStyle name="Debit subtotal 2 2 2 3 11" xfId="27848"/>
    <cellStyle name="Debit subtotal 2 2 2 3 11 2" xfId="36608"/>
    <cellStyle name="Debit subtotal 2 2 2 3 12" xfId="33092"/>
    <cellStyle name="Debit subtotal 2 2 2 3 2" xfId="24677"/>
    <cellStyle name="Debit subtotal 2 2 2 3 2 10" xfId="32378"/>
    <cellStyle name="Debit subtotal 2 2 2 3 2 10 2" xfId="41132"/>
    <cellStyle name="Debit subtotal 2 2 2 3 2 11" xfId="33453"/>
    <cellStyle name="Debit subtotal 2 2 2 3 2 2" xfId="29242"/>
    <cellStyle name="Debit subtotal 2 2 2 3 2 2 2" xfId="37996"/>
    <cellStyle name="Debit subtotal 2 2 2 3 2 3" xfId="29652"/>
    <cellStyle name="Debit subtotal 2 2 2 3 2 3 2" xfId="38406"/>
    <cellStyle name="Debit subtotal 2 2 2 3 2 4" xfId="30072"/>
    <cellStyle name="Debit subtotal 2 2 2 3 2 4 2" xfId="38826"/>
    <cellStyle name="Debit subtotal 2 2 2 3 2 5" xfId="30488"/>
    <cellStyle name="Debit subtotal 2 2 2 3 2 5 2" xfId="39242"/>
    <cellStyle name="Debit subtotal 2 2 2 3 2 6" xfId="30889"/>
    <cellStyle name="Debit subtotal 2 2 2 3 2 6 2" xfId="39643"/>
    <cellStyle name="Debit subtotal 2 2 2 3 2 7" xfId="31275"/>
    <cellStyle name="Debit subtotal 2 2 2 3 2 7 2" xfId="40029"/>
    <cellStyle name="Debit subtotal 2 2 2 3 2 8" xfId="31651"/>
    <cellStyle name="Debit subtotal 2 2 2 3 2 8 2" xfId="40405"/>
    <cellStyle name="Debit subtotal 2 2 2 3 2 9" xfId="32017"/>
    <cellStyle name="Debit subtotal 2 2 2 3 2 9 2" xfId="40771"/>
    <cellStyle name="Debit subtotal 2 2 2 3 3" xfId="28738"/>
    <cellStyle name="Debit subtotal 2 2 2 3 3 2" xfId="37494"/>
    <cellStyle name="Debit subtotal 2 2 2 3 4" xfId="24880"/>
    <cellStyle name="Debit subtotal 2 2 2 3 4 2" xfId="33654"/>
    <cellStyle name="Debit subtotal 2 2 2 3 5" xfId="25990"/>
    <cellStyle name="Debit subtotal 2 2 2 3 5 2" xfId="34756"/>
    <cellStyle name="Debit subtotal 2 2 2 3 6" xfId="27192"/>
    <cellStyle name="Debit subtotal 2 2 2 3 6 2" xfId="35952"/>
    <cellStyle name="Debit subtotal 2 2 2 3 7" xfId="25661"/>
    <cellStyle name="Debit subtotal 2 2 2 3 7 2" xfId="34428"/>
    <cellStyle name="Debit subtotal 2 2 2 3 8" xfId="29416"/>
    <cellStyle name="Debit subtotal 2 2 2 3 8 2" xfId="38170"/>
    <cellStyle name="Debit subtotal 2 2 2 3 9" xfId="25234"/>
    <cellStyle name="Debit subtotal 2 2 2 3 9 2" xfId="34004"/>
    <cellStyle name="Debit subtotal 2 2 2 4" xfId="24587"/>
    <cellStyle name="Debit subtotal 2 2 2 4 10" xfId="32321"/>
    <cellStyle name="Debit subtotal 2 2 2 4 10 2" xfId="41075"/>
    <cellStyle name="Debit subtotal 2 2 2 4 11" xfId="33396"/>
    <cellStyle name="Debit subtotal 2 2 2 4 2" xfId="29180"/>
    <cellStyle name="Debit subtotal 2 2 2 4 2 2" xfId="37934"/>
    <cellStyle name="Debit subtotal 2 2 2 4 3" xfId="29590"/>
    <cellStyle name="Debit subtotal 2 2 2 4 3 2" xfId="38344"/>
    <cellStyle name="Debit subtotal 2 2 2 4 4" xfId="30012"/>
    <cellStyle name="Debit subtotal 2 2 2 4 4 2" xfId="38766"/>
    <cellStyle name="Debit subtotal 2 2 2 4 5" xfId="30429"/>
    <cellStyle name="Debit subtotal 2 2 2 4 5 2" xfId="39183"/>
    <cellStyle name="Debit subtotal 2 2 2 4 6" xfId="30830"/>
    <cellStyle name="Debit subtotal 2 2 2 4 6 2" xfId="39584"/>
    <cellStyle name="Debit subtotal 2 2 2 4 7" xfId="31216"/>
    <cellStyle name="Debit subtotal 2 2 2 4 7 2" xfId="39970"/>
    <cellStyle name="Debit subtotal 2 2 2 4 8" xfId="31593"/>
    <cellStyle name="Debit subtotal 2 2 2 4 8 2" xfId="40347"/>
    <cellStyle name="Debit subtotal 2 2 2 4 9" xfId="31959"/>
    <cellStyle name="Debit subtotal 2 2 2 4 9 2" xfId="40713"/>
    <cellStyle name="Debit subtotal 2 2 2 5" xfId="32720"/>
    <cellStyle name="Debit subtotal 2 2 3" xfId="41612"/>
    <cellStyle name="Debit subtotal 2 2 3 2" xfId="43237"/>
    <cellStyle name="Debit subtotal 2 2 3 3" xfId="43288"/>
    <cellStyle name="Debit subtotal 2 2 3 4" xfId="43387"/>
    <cellStyle name="Debit subtotal 2 2 3 5" xfId="43821"/>
    <cellStyle name="Debit subtotal 2 3" xfId="2012"/>
    <cellStyle name="Debit subtotal 2 3 2" xfId="9371"/>
    <cellStyle name="Debit subtotal 2 3 2 2" xfId="18270"/>
    <cellStyle name="Debit subtotal 2 3 2 2 10" xfId="25293"/>
    <cellStyle name="Debit subtotal 2 3 2 2 10 2" xfId="34063"/>
    <cellStyle name="Debit subtotal 2 3 2 2 11" xfId="27278"/>
    <cellStyle name="Debit subtotal 2 3 2 2 11 2" xfId="36038"/>
    <cellStyle name="Debit subtotal 2 3 2 2 12" xfId="33014"/>
    <cellStyle name="Debit subtotal 2 3 2 2 13" xfId="43238"/>
    <cellStyle name="Debit subtotal 2 3 2 2 2" xfId="24540"/>
    <cellStyle name="Debit subtotal 2 3 2 2 2 10" xfId="32293"/>
    <cellStyle name="Debit subtotal 2 3 2 2 2 10 2" xfId="41047"/>
    <cellStyle name="Debit subtotal 2 3 2 2 2 11" xfId="33368"/>
    <cellStyle name="Debit subtotal 2 3 2 2 2 2" xfId="29148"/>
    <cellStyle name="Debit subtotal 2 3 2 2 2 2 2" xfId="37902"/>
    <cellStyle name="Debit subtotal 2 3 2 2 2 3" xfId="29561"/>
    <cellStyle name="Debit subtotal 2 3 2 2 2 3 2" xfId="38315"/>
    <cellStyle name="Debit subtotal 2 3 2 2 2 4" xfId="29981"/>
    <cellStyle name="Debit subtotal 2 3 2 2 2 4 2" xfId="38735"/>
    <cellStyle name="Debit subtotal 2 3 2 2 2 5" xfId="30400"/>
    <cellStyle name="Debit subtotal 2 3 2 2 2 5 2" xfId="39154"/>
    <cellStyle name="Debit subtotal 2 3 2 2 2 6" xfId="30801"/>
    <cellStyle name="Debit subtotal 2 3 2 2 2 6 2" xfId="39555"/>
    <cellStyle name="Debit subtotal 2 3 2 2 2 7" xfId="31187"/>
    <cellStyle name="Debit subtotal 2 3 2 2 2 7 2" xfId="39941"/>
    <cellStyle name="Debit subtotal 2 3 2 2 2 8" xfId="31565"/>
    <cellStyle name="Debit subtotal 2 3 2 2 2 8 2" xfId="40319"/>
    <cellStyle name="Debit subtotal 2 3 2 2 2 9" xfId="31931"/>
    <cellStyle name="Debit subtotal 2 3 2 2 2 9 2" xfId="40685"/>
    <cellStyle name="Debit subtotal 2 3 2 2 3" xfId="27760"/>
    <cellStyle name="Debit subtotal 2 3 2 2 3 2" xfId="36520"/>
    <cellStyle name="Debit subtotal 2 3 2 2 4" xfId="26471"/>
    <cellStyle name="Debit subtotal 2 3 2 2 4 2" xfId="35236"/>
    <cellStyle name="Debit subtotal 2 3 2 2 5" xfId="25495"/>
    <cellStyle name="Debit subtotal 2 3 2 2 5 2" xfId="34264"/>
    <cellStyle name="Debit subtotal 2 3 2 2 6" xfId="25702"/>
    <cellStyle name="Debit subtotal 2 3 2 2 6 2" xfId="34469"/>
    <cellStyle name="Debit subtotal 2 3 2 2 7" xfId="25905"/>
    <cellStyle name="Debit subtotal 2 3 2 2 7 2" xfId="34671"/>
    <cellStyle name="Debit subtotal 2 3 2 2 8" xfId="26504"/>
    <cellStyle name="Debit subtotal 2 3 2 2 8 2" xfId="35269"/>
    <cellStyle name="Debit subtotal 2 3 2 2 9" xfId="26810"/>
    <cellStyle name="Debit subtotal 2 3 2 2 9 2" xfId="35571"/>
    <cellStyle name="Debit subtotal 2 3 2 3" xfId="23681"/>
    <cellStyle name="Debit subtotal 2 3 2 3 10" xfId="28687"/>
    <cellStyle name="Debit subtotal 2 3 2 3 10 2" xfId="37443"/>
    <cellStyle name="Debit subtotal 2 3 2 3 11" xfId="26271"/>
    <cellStyle name="Debit subtotal 2 3 2 3 11 2" xfId="35037"/>
    <cellStyle name="Debit subtotal 2 3 2 3 12" xfId="33151"/>
    <cellStyle name="Debit subtotal 2 3 2 3 2" xfId="24736"/>
    <cellStyle name="Debit subtotal 2 3 2 3 2 10" xfId="32437"/>
    <cellStyle name="Debit subtotal 2 3 2 3 2 10 2" xfId="41191"/>
    <cellStyle name="Debit subtotal 2 3 2 3 2 11" xfId="33512"/>
    <cellStyle name="Debit subtotal 2 3 2 3 2 2" xfId="29301"/>
    <cellStyle name="Debit subtotal 2 3 2 3 2 2 2" xfId="38055"/>
    <cellStyle name="Debit subtotal 2 3 2 3 2 3" xfId="29711"/>
    <cellStyle name="Debit subtotal 2 3 2 3 2 3 2" xfId="38465"/>
    <cellStyle name="Debit subtotal 2 3 2 3 2 4" xfId="30131"/>
    <cellStyle name="Debit subtotal 2 3 2 3 2 4 2" xfId="38885"/>
    <cellStyle name="Debit subtotal 2 3 2 3 2 5" xfId="30547"/>
    <cellStyle name="Debit subtotal 2 3 2 3 2 5 2" xfId="39301"/>
    <cellStyle name="Debit subtotal 2 3 2 3 2 6" xfId="30948"/>
    <cellStyle name="Debit subtotal 2 3 2 3 2 6 2" xfId="39702"/>
    <cellStyle name="Debit subtotal 2 3 2 3 2 7" xfId="31334"/>
    <cellStyle name="Debit subtotal 2 3 2 3 2 7 2" xfId="40088"/>
    <cellStyle name="Debit subtotal 2 3 2 3 2 8" xfId="31710"/>
    <cellStyle name="Debit subtotal 2 3 2 3 2 8 2" xfId="40464"/>
    <cellStyle name="Debit subtotal 2 3 2 3 2 9" xfId="32076"/>
    <cellStyle name="Debit subtotal 2 3 2 3 2 9 2" xfId="40830"/>
    <cellStyle name="Debit subtotal 2 3 2 3 3" xfId="28797"/>
    <cellStyle name="Debit subtotal 2 3 2 3 3 2" xfId="37553"/>
    <cellStyle name="Debit subtotal 2 3 2 3 4" xfId="1708"/>
    <cellStyle name="Debit subtotal 2 3 2 3 4 2" xfId="32520"/>
    <cellStyle name="Debit subtotal 2 3 2 3 5" xfId="25549"/>
    <cellStyle name="Debit subtotal 2 3 2 3 5 2" xfId="34316"/>
    <cellStyle name="Debit subtotal 2 3 2 3 6" xfId="28246"/>
    <cellStyle name="Debit subtotal 2 3 2 3 6 2" xfId="37005"/>
    <cellStyle name="Debit subtotal 2 3 2 3 7" xfId="2958"/>
    <cellStyle name="Debit subtotal 2 3 2 3 7 2" xfId="32685"/>
    <cellStyle name="Debit subtotal 2 3 2 3 8" xfId="25556"/>
    <cellStyle name="Debit subtotal 2 3 2 3 8 2" xfId="34323"/>
    <cellStyle name="Debit subtotal 2 3 2 3 9" xfId="28077"/>
    <cellStyle name="Debit subtotal 2 3 2 3 9 2" xfId="36836"/>
    <cellStyle name="Debit subtotal 2 3 2 4" xfId="12662"/>
    <cellStyle name="Debit subtotal 2 3 2 4 10" xfId="25690"/>
    <cellStyle name="Debit subtotal 2 3 2 4 10 2" xfId="34457"/>
    <cellStyle name="Debit subtotal 2 3 2 4 11" xfId="32829"/>
    <cellStyle name="Debit subtotal 2 3 2 4 2" xfId="26677"/>
    <cellStyle name="Debit subtotal 2 3 2 4 2 2" xfId="35441"/>
    <cellStyle name="Debit subtotal 2 3 2 4 3" xfId="25292"/>
    <cellStyle name="Debit subtotal 2 3 2 4 3 2" xfId="34062"/>
    <cellStyle name="Debit subtotal 2 3 2 4 4" xfId="29018"/>
    <cellStyle name="Debit subtotal 2 3 2 4 4 2" xfId="37772"/>
    <cellStyle name="Debit subtotal 2 3 2 4 5" xfId="25434"/>
    <cellStyle name="Debit subtotal 2 3 2 4 5 2" xfId="34203"/>
    <cellStyle name="Debit subtotal 2 3 2 4 6" xfId="26130"/>
    <cellStyle name="Debit subtotal 2 3 2 4 6 2" xfId="34896"/>
    <cellStyle name="Debit subtotal 2 3 2 4 7" xfId="26884"/>
    <cellStyle name="Debit subtotal 2 3 2 4 7 2" xfId="35644"/>
    <cellStyle name="Debit subtotal 2 3 2 4 8" xfId="26186"/>
    <cellStyle name="Debit subtotal 2 3 2 4 8 2" xfId="34952"/>
    <cellStyle name="Debit subtotal 2 3 2 4 9" xfId="28665"/>
    <cellStyle name="Debit subtotal 2 3 2 4 9 2" xfId="37421"/>
    <cellStyle name="Debit subtotal 2 3 2 5" xfId="32789"/>
    <cellStyle name="Debit subtotal 2 4" xfId="6041"/>
    <cellStyle name="Debit subtotal 2 4 2" xfId="18179"/>
    <cellStyle name="Debit subtotal 2 4 2 10" xfId="29770"/>
    <cellStyle name="Debit subtotal 2 4 2 10 2" xfId="38524"/>
    <cellStyle name="Debit subtotal 2 4 2 11" xfId="24785"/>
    <cellStyle name="Debit subtotal 2 4 2 11 2" xfId="33561"/>
    <cellStyle name="Debit subtotal 2 4 2 12" xfId="32923"/>
    <cellStyle name="Debit subtotal 2 4 2 2" xfId="24449"/>
    <cellStyle name="Debit subtotal 2 4 2 2 10" xfId="32202"/>
    <cellStyle name="Debit subtotal 2 4 2 2 10 2" xfId="40956"/>
    <cellStyle name="Debit subtotal 2 4 2 2 11" xfId="33277"/>
    <cellStyle name="Debit subtotal 2 4 2 2 2" xfId="29057"/>
    <cellStyle name="Debit subtotal 2 4 2 2 2 2" xfId="37811"/>
    <cellStyle name="Debit subtotal 2 4 2 2 3" xfId="29470"/>
    <cellStyle name="Debit subtotal 2 4 2 2 3 2" xfId="38224"/>
    <cellStyle name="Debit subtotal 2 4 2 2 4" xfId="29890"/>
    <cellStyle name="Debit subtotal 2 4 2 2 4 2" xfId="38644"/>
    <cellStyle name="Debit subtotal 2 4 2 2 5" xfId="30309"/>
    <cellStyle name="Debit subtotal 2 4 2 2 5 2" xfId="39063"/>
    <cellStyle name="Debit subtotal 2 4 2 2 6" xfId="30710"/>
    <cellStyle name="Debit subtotal 2 4 2 2 6 2" xfId="39464"/>
    <cellStyle name="Debit subtotal 2 4 2 2 7" xfId="31096"/>
    <cellStyle name="Debit subtotal 2 4 2 2 7 2" xfId="39850"/>
    <cellStyle name="Debit subtotal 2 4 2 2 8" xfId="31474"/>
    <cellStyle name="Debit subtotal 2 4 2 2 8 2" xfId="40228"/>
    <cellStyle name="Debit subtotal 2 4 2 2 9" xfId="31840"/>
    <cellStyle name="Debit subtotal 2 4 2 2 9 2" xfId="40594"/>
    <cellStyle name="Debit subtotal 2 4 2 3" xfId="27669"/>
    <cellStyle name="Debit subtotal 2 4 2 3 2" xfId="36429"/>
    <cellStyle name="Debit subtotal 2 4 2 4" xfId="25186"/>
    <cellStyle name="Debit subtotal 2 4 2 4 2" xfId="33957"/>
    <cellStyle name="Debit subtotal 2 4 2 5" xfId="28026"/>
    <cellStyle name="Debit subtotal 2 4 2 5 2" xfId="36785"/>
    <cellStyle name="Debit subtotal 2 4 2 6" xfId="27871"/>
    <cellStyle name="Debit subtotal 2 4 2 6 2" xfId="36631"/>
    <cellStyle name="Debit subtotal 2 4 2 7" xfId="28012"/>
    <cellStyle name="Debit subtotal 2 4 2 7 2" xfId="36771"/>
    <cellStyle name="Debit subtotal 2 4 2 8" xfId="25235"/>
    <cellStyle name="Debit subtotal 2 4 2 8 2" xfId="34005"/>
    <cellStyle name="Debit subtotal 2 4 2 9" xfId="25267"/>
    <cellStyle name="Debit subtotal 2 4 2 9 2" xfId="34037"/>
    <cellStyle name="Debit subtotal 2 4 3" xfId="23621"/>
    <cellStyle name="Debit subtotal 2 4 3 10" xfId="26581"/>
    <cellStyle name="Debit subtotal 2 4 3 10 2" xfId="35346"/>
    <cellStyle name="Debit subtotal 2 4 3 11" xfId="28126"/>
    <cellStyle name="Debit subtotal 2 4 3 11 2" xfId="36885"/>
    <cellStyle name="Debit subtotal 2 4 3 12" xfId="33091"/>
    <cellStyle name="Debit subtotal 2 4 3 2" xfId="24676"/>
    <cellStyle name="Debit subtotal 2 4 3 2 10" xfId="32377"/>
    <cellStyle name="Debit subtotal 2 4 3 2 10 2" xfId="41131"/>
    <cellStyle name="Debit subtotal 2 4 3 2 11" xfId="33452"/>
    <cellStyle name="Debit subtotal 2 4 3 2 2" xfId="29241"/>
    <cellStyle name="Debit subtotal 2 4 3 2 2 2" xfId="37995"/>
    <cellStyle name="Debit subtotal 2 4 3 2 3" xfId="29651"/>
    <cellStyle name="Debit subtotal 2 4 3 2 3 2" xfId="38405"/>
    <cellStyle name="Debit subtotal 2 4 3 2 4" xfId="30071"/>
    <cellStyle name="Debit subtotal 2 4 3 2 4 2" xfId="38825"/>
    <cellStyle name="Debit subtotal 2 4 3 2 5" xfId="30487"/>
    <cellStyle name="Debit subtotal 2 4 3 2 5 2" xfId="39241"/>
    <cellStyle name="Debit subtotal 2 4 3 2 6" xfId="30888"/>
    <cellStyle name="Debit subtotal 2 4 3 2 6 2" xfId="39642"/>
    <cellStyle name="Debit subtotal 2 4 3 2 7" xfId="31274"/>
    <cellStyle name="Debit subtotal 2 4 3 2 7 2" xfId="40028"/>
    <cellStyle name="Debit subtotal 2 4 3 2 8" xfId="31650"/>
    <cellStyle name="Debit subtotal 2 4 3 2 8 2" xfId="40404"/>
    <cellStyle name="Debit subtotal 2 4 3 2 9" xfId="32016"/>
    <cellStyle name="Debit subtotal 2 4 3 2 9 2" xfId="40770"/>
    <cellStyle name="Debit subtotal 2 4 3 3" xfId="28737"/>
    <cellStyle name="Debit subtotal 2 4 3 3 2" xfId="37493"/>
    <cellStyle name="Debit subtotal 2 4 3 4" xfId="25020"/>
    <cellStyle name="Debit subtotal 2 4 3 4 2" xfId="33794"/>
    <cellStyle name="Debit subtotal 2 4 3 5" xfId="27391"/>
    <cellStyle name="Debit subtotal 2 4 3 5 2" xfId="36151"/>
    <cellStyle name="Debit subtotal 2 4 3 6" xfId="26085"/>
    <cellStyle name="Debit subtotal 2 4 3 6 2" xfId="34851"/>
    <cellStyle name="Debit subtotal 2 4 3 7" xfId="28682"/>
    <cellStyle name="Debit subtotal 2 4 3 7 2" xfId="37438"/>
    <cellStyle name="Debit subtotal 2 4 3 8" xfId="25301"/>
    <cellStyle name="Debit subtotal 2 4 3 8 2" xfId="34071"/>
    <cellStyle name="Debit subtotal 2 4 3 9" xfId="26891"/>
    <cellStyle name="Debit subtotal 2 4 3 9 2" xfId="35651"/>
    <cellStyle name="Debit subtotal 2 4 4" xfId="24398"/>
    <cellStyle name="Debit subtotal 2 4 4 10" xfId="32164"/>
    <cellStyle name="Debit subtotal 2 4 4 10 2" xfId="40918"/>
    <cellStyle name="Debit subtotal 2 4 4 11" xfId="33239"/>
    <cellStyle name="Debit subtotal 2 4 4 2" xfId="29017"/>
    <cellStyle name="Debit subtotal 2 4 4 2 2" xfId="37771"/>
    <cellStyle name="Debit subtotal 2 4 4 3" xfId="29431"/>
    <cellStyle name="Debit subtotal 2 4 4 3 2" xfId="38185"/>
    <cellStyle name="Debit subtotal 2 4 4 4" xfId="29852"/>
    <cellStyle name="Debit subtotal 2 4 4 4 2" xfId="38606"/>
    <cellStyle name="Debit subtotal 2 4 4 5" xfId="30268"/>
    <cellStyle name="Debit subtotal 2 4 4 5 2" xfId="39022"/>
    <cellStyle name="Debit subtotal 2 4 4 6" xfId="30669"/>
    <cellStyle name="Debit subtotal 2 4 4 6 2" xfId="39423"/>
    <cellStyle name="Debit subtotal 2 4 4 7" xfId="31056"/>
    <cellStyle name="Debit subtotal 2 4 4 7 2" xfId="39810"/>
    <cellStyle name="Debit subtotal 2 4 4 8" xfId="31434"/>
    <cellStyle name="Debit subtotal 2 4 4 8 2" xfId="40188"/>
    <cellStyle name="Debit subtotal 2 4 4 9" xfId="31802"/>
    <cellStyle name="Debit subtotal 2 4 4 9 2" xfId="40556"/>
    <cellStyle name="Debit subtotal 2 4 5" xfId="32719"/>
    <cellStyle name="Debit subtotal 3" xfId="698"/>
    <cellStyle name="Debit subtotal 3 10" xfId="26032"/>
    <cellStyle name="Debit subtotal 3 10 2" xfId="34798"/>
    <cellStyle name="Debit subtotal 3 11" xfId="27275"/>
    <cellStyle name="Debit subtotal 3 11 2" xfId="36035"/>
    <cellStyle name="Debit subtotal 3 12" xfId="28211"/>
    <cellStyle name="Debit subtotal 3 12 2" xfId="36970"/>
    <cellStyle name="Debit subtotal 3 2" xfId="2792"/>
    <cellStyle name="Debit subtotal 3 2 10" xfId="29340"/>
    <cellStyle name="Debit subtotal 3 2 10 2" xfId="38094"/>
    <cellStyle name="Debit subtotal 3 2 11" xfId="28486"/>
    <cellStyle name="Debit subtotal 3 2 11 2" xfId="37242"/>
    <cellStyle name="Debit subtotal 3 2 2" xfId="9443"/>
    <cellStyle name="Debit subtotal 3 2 2 10" xfId="1760"/>
    <cellStyle name="Debit subtotal 3 2 2 10 2" xfId="32568"/>
    <cellStyle name="Debit subtotal 3 2 2 11" xfId="27431"/>
    <cellStyle name="Debit subtotal 3 2 2 11 2" xfId="36191"/>
    <cellStyle name="Debit subtotal 3 2 2 12" xfId="32794"/>
    <cellStyle name="Debit subtotal 3 2 2 2" xfId="18275"/>
    <cellStyle name="Debit subtotal 3 2 2 2 10" xfId="28030"/>
    <cellStyle name="Debit subtotal 3 2 2 2 10 2" xfId="36789"/>
    <cellStyle name="Debit subtotal 3 2 2 2 11" xfId="25784"/>
    <cellStyle name="Debit subtotal 3 2 2 2 11 2" xfId="34551"/>
    <cellStyle name="Debit subtotal 3 2 2 2 12" xfId="33019"/>
    <cellStyle name="Debit subtotal 3 2 2 2 13" xfId="43239"/>
    <cellStyle name="Debit subtotal 3 2 2 2 2" xfId="24545"/>
    <cellStyle name="Debit subtotal 3 2 2 2 2 10" xfId="32298"/>
    <cellStyle name="Debit subtotal 3 2 2 2 2 10 2" xfId="41052"/>
    <cellStyle name="Debit subtotal 3 2 2 2 2 11" xfId="33373"/>
    <cellStyle name="Debit subtotal 3 2 2 2 2 2" xfId="29153"/>
    <cellStyle name="Debit subtotal 3 2 2 2 2 2 2" xfId="37907"/>
    <cellStyle name="Debit subtotal 3 2 2 2 2 3" xfId="29566"/>
    <cellStyle name="Debit subtotal 3 2 2 2 2 3 2" xfId="38320"/>
    <cellStyle name="Debit subtotal 3 2 2 2 2 4" xfId="29986"/>
    <cellStyle name="Debit subtotal 3 2 2 2 2 4 2" xfId="38740"/>
    <cellStyle name="Debit subtotal 3 2 2 2 2 5" xfId="30405"/>
    <cellStyle name="Debit subtotal 3 2 2 2 2 5 2" xfId="39159"/>
    <cellStyle name="Debit subtotal 3 2 2 2 2 6" xfId="30806"/>
    <cellStyle name="Debit subtotal 3 2 2 2 2 6 2" xfId="39560"/>
    <cellStyle name="Debit subtotal 3 2 2 2 2 7" xfId="31192"/>
    <cellStyle name="Debit subtotal 3 2 2 2 2 7 2" xfId="39946"/>
    <cellStyle name="Debit subtotal 3 2 2 2 2 8" xfId="31570"/>
    <cellStyle name="Debit subtotal 3 2 2 2 2 8 2" xfId="40324"/>
    <cellStyle name="Debit subtotal 3 2 2 2 2 9" xfId="31936"/>
    <cellStyle name="Debit subtotal 3 2 2 2 2 9 2" xfId="40690"/>
    <cellStyle name="Debit subtotal 3 2 2 2 3" xfId="27765"/>
    <cellStyle name="Debit subtotal 3 2 2 2 3 2" xfId="36525"/>
    <cellStyle name="Debit subtotal 3 2 2 2 4" xfId="25921"/>
    <cellStyle name="Debit subtotal 3 2 2 2 4 2" xfId="34687"/>
    <cellStyle name="Debit subtotal 3 2 2 2 5" xfId="25937"/>
    <cellStyle name="Debit subtotal 3 2 2 2 5 2" xfId="34703"/>
    <cellStyle name="Debit subtotal 3 2 2 2 6" xfId="25897"/>
    <cellStyle name="Debit subtotal 3 2 2 2 6 2" xfId="34663"/>
    <cellStyle name="Debit subtotal 3 2 2 2 7" xfId="25856"/>
    <cellStyle name="Debit subtotal 3 2 2 2 7 2" xfId="34622"/>
    <cellStyle name="Debit subtotal 3 2 2 2 8" xfId="28902"/>
    <cellStyle name="Debit subtotal 3 2 2 2 8 2" xfId="37658"/>
    <cellStyle name="Debit subtotal 3 2 2 2 9" xfId="26326"/>
    <cellStyle name="Debit subtotal 3 2 2 2 9 2" xfId="35092"/>
    <cellStyle name="Debit subtotal 3 2 2 3" xfId="23686"/>
    <cellStyle name="Debit subtotal 3 2 2 3 10" xfId="26086"/>
    <cellStyle name="Debit subtotal 3 2 2 3 10 2" xfId="34852"/>
    <cellStyle name="Debit subtotal 3 2 2 3 11" xfId="29808"/>
    <cellStyle name="Debit subtotal 3 2 2 3 11 2" xfId="38562"/>
    <cellStyle name="Debit subtotal 3 2 2 3 12" xfId="33156"/>
    <cellStyle name="Debit subtotal 3 2 2 3 2" xfId="24741"/>
    <cellStyle name="Debit subtotal 3 2 2 3 2 10" xfId="32442"/>
    <cellStyle name="Debit subtotal 3 2 2 3 2 10 2" xfId="41196"/>
    <cellStyle name="Debit subtotal 3 2 2 3 2 11" xfId="33517"/>
    <cellStyle name="Debit subtotal 3 2 2 3 2 2" xfId="29306"/>
    <cellStyle name="Debit subtotal 3 2 2 3 2 2 2" xfId="38060"/>
    <cellStyle name="Debit subtotal 3 2 2 3 2 3" xfId="29716"/>
    <cellStyle name="Debit subtotal 3 2 2 3 2 3 2" xfId="38470"/>
    <cellStyle name="Debit subtotal 3 2 2 3 2 4" xfId="30136"/>
    <cellStyle name="Debit subtotal 3 2 2 3 2 4 2" xfId="38890"/>
    <cellStyle name="Debit subtotal 3 2 2 3 2 5" xfId="30552"/>
    <cellStyle name="Debit subtotal 3 2 2 3 2 5 2" xfId="39306"/>
    <cellStyle name="Debit subtotal 3 2 2 3 2 6" xfId="30953"/>
    <cellStyle name="Debit subtotal 3 2 2 3 2 6 2" xfId="39707"/>
    <cellStyle name="Debit subtotal 3 2 2 3 2 7" xfId="31339"/>
    <cellStyle name="Debit subtotal 3 2 2 3 2 7 2" xfId="40093"/>
    <cellStyle name="Debit subtotal 3 2 2 3 2 8" xfId="31715"/>
    <cellStyle name="Debit subtotal 3 2 2 3 2 8 2" xfId="40469"/>
    <cellStyle name="Debit subtotal 3 2 2 3 2 9" xfId="32081"/>
    <cellStyle name="Debit subtotal 3 2 2 3 2 9 2" xfId="40835"/>
    <cellStyle name="Debit subtotal 3 2 2 3 3" xfId="28802"/>
    <cellStyle name="Debit subtotal 3 2 2 3 3 2" xfId="37558"/>
    <cellStyle name="Debit subtotal 3 2 2 3 4" xfId="1750"/>
    <cellStyle name="Debit subtotal 3 2 2 3 4 2" xfId="32558"/>
    <cellStyle name="Debit subtotal 3 2 2 3 5" xfId="25550"/>
    <cellStyle name="Debit subtotal 3 2 2 3 5 2" xfId="34317"/>
    <cellStyle name="Debit subtotal 3 2 2 3 6" xfId="27190"/>
    <cellStyle name="Debit subtotal 3 2 2 3 6 2" xfId="35950"/>
    <cellStyle name="Debit subtotal 3 2 2 3 7" xfId="25563"/>
    <cellStyle name="Debit subtotal 3 2 2 3 7 2" xfId="34330"/>
    <cellStyle name="Debit subtotal 3 2 2 3 8" xfId="25032"/>
    <cellStyle name="Debit subtotal 3 2 2 3 8 2" xfId="33806"/>
    <cellStyle name="Debit subtotal 3 2 2 3 9" xfId="24911"/>
    <cellStyle name="Debit subtotal 3 2 2 3 9 2" xfId="33685"/>
    <cellStyle name="Debit subtotal 3 2 2 4" xfId="28059"/>
    <cellStyle name="Debit subtotal 3 2 2 4 2" xfId="36818"/>
    <cellStyle name="Debit subtotal 3 2 2 5" xfId="26829"/>
    <cellStyle name="Debit subtotal 3 2 2 5 2" xfId="35590"/>
    <cellStyle name="Debit subtotal 3 2 2 6" xfId="25687"/>
    <cellStyle name="Debit subtotal 3 2 2 6 2" xfId="34454"/>
    <cellStyle name="Debit subtotal 3 2 2 7" xfId="26333"/>
    <cellStyle name="Debit subtotal 3 2 2 7 2" xfId="35099"/>
    <cellStyle name="Debit subtotal 3 2 2 8" xfId="26589"/>
    <cellStyle name="Debit subtotal 3 2 2 8 2" xfId="35354"/>
    <cellStyle name="Debit subtotal 3 2 2 9" xfId="25931"/>
    <cellStyle name="Debit subtotal 3 2 2 9 2" xfId="34697"/>
    <cellStyle name="Debit subtotal 3 2 3" xfId="24922"/>
    <cellStyle name="Debit subtotal 3 2 3 2" xfId="33696"/>
    <cellStyle name="Debit subtotal 3 2 4" xfId="28172"/>
    <cellStyle name="Debit subtotal 3 2 4 2" xfId="36931"/>
    <cellStyle name="Debit subtotal 3 2 5" xfId="27022"/>
    <cellStyle name="Debit subtotal 3 2 5 2" xfId="35782"/>
    <cellStyle name="Debit subtotal 3 2 6" xfId="25941"/>
    <cellStyle name="Debit subtotal 3 2 6 2" xfId="34707"/>
    <cellStyle name="Debit subtotal 3 2 7" xfId="26729"/>
    <cellStyle name="Debit subtotal 3 2 7 2" xfId="35492"/>
    <cellStyle name="Debit subtotal 3 2 8" xfId="27592"/>
    <cellStyle name="Debit subtotal 3 2 8 2" xfId="36352"/>
    <cellStyle name="Debit subtotal 3 2 9" xfId="28644"/>
    <cellStyle name="Debit subtotal 3 2 9 2" xfId="37400"/>
    <cellStyle name="Debit subtotal 3 3" xfId="6855"/>
    <cellStyle name="Debit subtotal 3 3 10" xfId="28601"/>
    <cellStyle name="Debit subtotal 3 3 10 2" xfId="37357"/>
    <cellStyle name="Debit subtotal 3 3 11" xfId="25617"/>
    <cellStyle name="Debit subtotal 3 3 11 2" xfId="34384"/>
    <cellStyle name="Debit subtotal 3 3 12" xfId="32769"/>
    <cellStyle name="Debit subtotal 3 3 2" xfId="18250"/>
    <cellStyle name="Debit subtotal 3 3 2 10" xfId="25616"/>
    <cellStyle name="Debit subtotal 3 3 2 10 2" xfId="34383"/>
    <cellStyle name="Debit subtotal 3 3 2 11" xfId="30157"/>
    <cellStyle name="Debit subtotal 3 3 2 11 2" xfId="38911"/>
    <cellStyle name="Debit subtotal 3 3 2 12" xfId="32994"/>
    <cellStyle name="Debit subtotal 3 3 2 2" xfId="24520"/>
    <cellStyle name="Debit subtotal 3 3 2 2 10" xfId="32273"/>
    <cellStyle name="Debit subtotal 3 3 2 2 10 2" xfId="41027"/>
    <cellStyle name="Debit subtotal 3 3 2 2 11" xfId="33348"/>
    <cellStyle name="Debit subtotal 3 3 2 2 2" xfId="29128"/>
    <cellStyle name="Debit subtotal 3 3 2 2 2 2" xfId="37882"/>
    <cellStyle name="Debit subtotal 3 3 2 2 3" xfId="29541"/>
    <cellStyle name="Debit subtotal 3 3 2 2 3 2" xfId="38295"/>
    <cellStyle name="Debit subtotal 3 3 2 2 4" xfId="29961"/>
    <cellStyle name="Debit subtotal 3 3 2 2 4 2" xfId="38715"/>
    <cellStyle name="Debit subtotal 3 3 2 2 5" xfId="30380"/>
    <cellStyle name="Debit subtotal 3 3 2 2 5 2" xfId="39134"/>
    <cellStyle name="Debit subtotal 3 3 2 2 6" xfId="30781"/>
    <cellStyle name="Debit subtotal 3 3 2 2 6 2" xfId="39535"/>
    <cellStyle name="Debit subtotal 3 3 2 2 7" xfId="31167"/>
    <cellStyle name="Debit subtotal 3 3 2 2 7 2" xfId="39921"/>
    <cellStyle name="Debit subtotal 3 3 2 2 8" xfId="31545"/>
    <cellStyle name="Debit subtotal 3 3 2 2 8 2" xfId="40299"/>
    <cellStyle name="Debit subtotal 3 3 2 2 9" xfId="31911"/>
    <cellStyle name="Debit subtotal 3 3 2 2 9 2" xfId="40665"/>
    <cellStyle name="Debit subtotal 3 3 2 3" xfId="27740"/>
    <cellStyle name="Debit subtotal 3 3 2 3 2" xfId="36500"/>
    <cellStyle name="Debit subtotal 3 3 2 4" xfId="27925"/>
    <cellStyle name="Debit subtotal 3 3 2 4 2" xfId="36685"/>
    <cellStyle name="Debit subtotal 3 3 2 5" xfId="26489"/>
    <cellStyle name="Debit subtotal 3 3 2 5 2" xfId="35254"/>
    <cellStyle name="Debit subtotal 3 3 2 6" xfId="27218"/>
    <cellStyle name="Debit subtotal 3 3 2 6 2" xfId="35978"/>
    <cellStyle name="Debit subtotal 3 3 2 7" xfId="28265"/>
    <cellStyle name="Debit subtotal 3 3 2 7 2" xfId="37024"/>
    <cellStyle name="Debit subtotal 3 3 2 8" xfId="24822"/>
    <cellStyle name="Debit subtotal 3 3 2 8 2" xfId="33597"/>
    <cellStyle name="Debit subtotal 3 3 2 9" xfId="25518"/>
    <cellStyle name="Debit subtotal 3 3 2 9 2" xfId="34287"/>
    <cellStyle name="Debit subtotal 3 3 3" xfId="23661"/>
    <cellStyle name="Debit subtotal 3 3 3 10" xfId="27551"/>
    <cellStyle name="Debit subtotal 3 3 3 10 2" xfId="36311"/>
    <cellStyle name="Debit subtotal 3 3 3 11" xfId="30181"/>
    <cellStyle name="Debit subtotal 3 3 3 11 2" xfId="38935"/>
    <cellStyle name="Debit subtotal 3 3 3 12" xfId="33131"/>
    <cellStyle name="Debit subtotal 3 3 3 2" xfId="24716"/>
    <cellStyle name="Debit subtotal 3 3 3 2 10" xfId="32417"/>
    <cellStyle name="Debit subtotal 3 3 3 2 10 2" xfId="41171"/>
    <cellStyle name="Debit subtotal 3 3 3 2 11" xfId="33492"/>
    <cellStyle name="Debit subtotal 3 3 3 2 2" xfId="29281"/>
    <cellStyle name="Debit subtotal 3 3 3 2 2 2" xfId="38035"/>
    <cellStyle name="Debit subtotal 3 3 3 2 3" xfId="29691"/>
    <cellStyle name="Debit subtotal 3 3 3 2 3 2" xfId="38445"/>
    <cellStyle name="Debit subtotal 3 3 3 2 4" xfId="30111"/>
    <cellStyle name="Debit subtotal 3 3 3 2 4 2" xfId="38865"/>
    <cellStyle name="Debit subtotal 3 3 3 2 5" xfId="30527"/>
    <cellStyle name="Debit subtotal 3 3 3 2 5 2" xfId="39281"/>
    <cellStyle name="Debit subtotal 3 3 3 2 6" xfId="30928"/>
    <cellStyle name="Debit subtotal 3 3 3 2 6 2" xfId="39682"/>
    <cellStyle name="Debit subtotal 3 3 3 2 7" xfId="31314"/>
    <cellStyle name="Debit subtotal 3 3 3 2 7 2" xfId="40068"/>
    <cellStyle name="Debit subtotal 3 3 3 2 8" xfId="31690"/>
    <cellStyle name="Debit subtotal 3 3 3 2 8 2" xfId="40444"/>
    <cellStyle name="Debit subtotal 3 3 3 2 9" xfId="32056"/>
    <cellStyle name="Debit subtotal 3 3 3 2 9 2" xfId="40810"/>
    <cellStyle name="Debit subtotal 3 3 3 3" xfId="28777"/>
    <cellStyle name="Debit subtotal 3 3 3 3 2" xfId="37533"/>
    <cellStyle name="Debit subtotal 3 3 3 4" xfId="24797"/>
    <cellStyle name="Debit subtotal 3 3 3 4 2" xfId="33573"/>
    <cellStyle name="Debit subtotal 3 3 3 5" xfId="27362"/>
    <cellStyle name="Debit subtotal 3 3 3 5 2" xfId="36122"/>
    <cellStyle name="Debit subtotal 3 3 3 6" xfId="24829"/>
    <cellStyle name="Debit subtotal 3 3 3 6 2" xfId="33604"/>
    <cellStyle name="Debit subtotal 3 3 3 7" xfId="26840"/>
    <cellStyle name="Debit subtotal 3 3 3 7 2" xfId="35601"/>
    <cellStyle name="Debit subtotal 3 3 3 8" xfId="29360"/>
    <cellStyle name="Debit subtotal 3 3 3 8 2" xfId="38114"/>
    <cellStyle name="Debit subtotal 3 3 3 9" xfId="26665"/>
    <cellStyle name="Debit subtotal 3 3 3 9 2" xfId="35429"/>
    <cellStyle name="Debit subtotal 3 3 4" xfId="27610"/>
    <cellStyle name="Debit subtotal 3 3 4 2" xfId="36370"/>
    <cellStyle name="Debit subtotal 3 3 5" xfId="28232"/>
    <cellStyle name="Debit subtotal 3 3 5 2" xfId="36991"/>
    <cellStyle name="Debit subtotal 3 3 6" xfId="27400"/>
    <cellStyle name="Debit subtotal 3 3 6 2" xfId="36160"/>
    <cellStyle name="Debit subtotal 3 3 7" xfId="28581"/>
    <cellStyle name="Debit subtotal 3 3 7 2" xfId="37337"/>
    <cellStyle name="Debit subtotal 3 3 8" xfId="27047"/>
    <cellStyle name="Debit subtotal 3 3 8 2" xfId="35807"/>
    <cellStyle name="Debit subtotal 3 3 9" xfId="27617"/>
    <cellStyle name="Debit subtotal 3 3 9 2" xfId="36377"/>
    <cellStyle name="Debit subtotal 3 4" xfId="24775"/>
    <cellStyle name="Debit subtotal 3 4 2" xfId="33551"/>
    <cellStyle name="Debit subtotal 3 4 3" xfId="41613"/>
    <cellStyle name="Debit subtotal 3 4 4" xfId="43240"/>
    <cellStyle name="Debit subtotal 3 4 5" xfId="43289"/>
    <cellStyle name="Debit subtotal 3 4 6" xfId="43386"/>
    <cellStyle name="Debit subtotal 3 4 7" xfId="43828"/>
    <cellStyle name="Debit subtotal 3 5" xfId="24790"/>
    <cellStyle name="Debit subtotal 3 5 2" xfId="33566"/>
    <cellStyle name="Debit subtotal 3 6" xfId="29329"/>
    <cellStyle name="Debit subtotal 3 6 2" xfId="38083"/>
    <cellStyle name="Debit subtotal 3 7" xfId="29749"/>
    <cellStyle name="Debit subtotal 3 7 2" xfId="38503"/>
    <cellStyle name="Debit subtotal 3 8" xfId="26018"/>
    <cellStyle name="Debit subtotal 3 8 2" xfId="34784"/>
    <cellStyle name="Debit subtotal 3 9" xfId="26088"/>
    <cellStyle name="Debit subtotal 3 9 2" xfId="34854"/>
    <cellStyle name="Debit subtotal 4" xfId="1077"/>
    <cellStyle name="Debit subtotal 4 10" xfId="27377"/>
    <cellStyle name="Debit subtotal 4 10 2" xfId="36137"/>
    <cellStyle name="Debit subtotal 4 11" xfId="27953"/>
    <cellStyle name="Debit subtotal 4 11 2" xfId="36713"/>
    <cellStyle name="Debit subtotal 4 12" xfId="26400"/>
    <cellStyle name="Debit subtotal 4 12 2" xfId="35166"/>
    <cellStyle name="Debit subtotal 4 2" xfId="1119"/>
    <cellStyle name="Debit subtotal 4 2 10" xfId="29741"/>
    <cellStyle name="Debit subtotal 4 2 10 2" xfId="38495"/>
    <cellStyle name="Debit subtotal 4 2 11" xfId="26636"/>
    <cellStyle name="Debit subtotal 4 2 11 2" xfId="35401"/>
    <cellStyle name="Debit subtotal 4 2 2" xfId="9455"/>
    <cellStyle name="Debit subtotal 4 2 2 10" xfId="24771"/>
    <cellStyle name="Debit subtotal 4 2 2 10 2" xfId="33547"/>
    <cellStyle name="Debit subtotal 4 2 2 11" xfId="26837"/>
    <cellStyle name="Debit subtotal 4 2 2 11 2" xfId="35598"/>
    <cellStyle name="Debit subtotal 4 2 2 12" xfId="32803"/>
    <cellStyle name="Debit subtotal 4 2 2 2" xfId="18284"/>
    <cellStyle name="Debit subtotal 4 2 2 2 10" xfId="27535"/>
    <cellStyle name="Debit subtotal 4 2 2 2 10 2" xfId="36295"/>
    <cellStyle name="Debit subtotal 4 2 2 2 11" xfId="28646"/>
    <cellStyle name="Debit subtotal 4 2 2 2 11 2" xfId="37402"/>
    <cellStyle name="Debit subtotal 4 2 2 2 12" xfId="33028"/>
    <cellStyle name="Debit subtotal 4 2 2 2 13" xfId="43241"/>
    <cellStyle name="Debit subtotal 4 2 2 2 2" xfId="24554"/>
    <cellStyle name="Debit subtotal 4 2 2 2 2 10" xfId="32307"/>
    <cellStyle name="Debit subtotal 4 2 2 2 2 10 2" xfId="41061"/>
    <cellStyle name="Debit subtotal 4 2 2 2 2 11" xfId="33382"/>
    <cellStyle name="Debit subtotal 4 2 2 2 2 2" xfId="29162"/>
    <cellStyle name="Debit subtotal 4 2 2 2 2 2 2" xfId="37916"/>
    <cellStyle name="Debit subtotal 4 2 2 2 2 3" xfId="29575"/>
    <cellStyle name="Debit subtotal 4 2 2 2 2 3 2" xfId="38329"/>
    <cellStyle name="Debit subtotal 4 2 2 2 2 4" xfId="29995"/>
    <cellStyle name="Debit subtotal 4 2 2 2 2 4 2" xfId="38749"/>
    <cellStyle name="Debit subtotal 4 2 2 2 2 5" xfId="30414"/>
    <cellStyle name="Debit subtotal 4 2 2 2 2 5 2" xfId="39168"/>
    <cellStyle name="Debit subtotal 4 2 2 2 2 6" xfId="30815"/>
    <cellStyle name="Debit subtotal 4 2 2 2 2 6 2" xfId="39569"/>
    <cellStyle name="Debit subtotal 4 2 2 2 2 7" xfId="31201"/>
    <cellStyle name="Debit subtotal 4 2 2 2 2 7 2" xfId="39955"/>
    <cellStyle name="Debit subtotal 4 2 2 2 2 8" xfId="31579"/>
    <cellStyle name="Debit subtotal 4 2 2 2 2 8 2" xfId="40333"/>
    <cellStyle name="Debit subtotal 4 2 2 2 2 9" xfId="31945"/>
    <cellStyle name="Debit subtotal 4 2 2 2 2 9 2" xfId="40699"/>
    <cellStyle name="Debit subtotal 4 2 2 2 3" xfId="27774"/>
    <cellStyle name="Debit subtotal 4 2 2 2 3 2" xfId="36534"/>
    <cellStyle name="Debit subtotal 4 2 2 2 4" xfId="26441"/>
    <cellStyle name="Debit subtotal 4 2 2 2 4 2" xfId="35206"/>
    <cellStyle name="Debit subtotal 4 2 2 2 5" xfId="25883"/>
    <cellStyle name="Debit subtotal 4 2 2 2 5 2" xfId="34649"/>
    <cellStyle name="Debit subtotal 4 2 2 2 6" xfId="27389"/>
    <cellStyle name="Debit subtotal 4 2 2 2 6 2" xfId="36149"/>
    <cellStyle name="Debit subtotal 4 2 2 2 7" xfId="26424"/>
    <cellStyle name="Debit subtotal 4 2 2 2 7 2" xfId="35189"/>
    <cellStyle name="Debit subtotal 4 2 2 2 8" xfId="26570"/>
    <cellStyle name="Debit subtotal 4 2 2 2 8 2" xfId="35335"/>
    <cellStyle name="Debit subtotal 4 2 2 2 9" xfId="28699"/>
    <cellStyle name="Debit subtotal 4 2 2 2 9 2" xfId="37455"/>
    <cellStyle name="Debit subtotal 4 2 2 3" xfId="23695"/>
    <cellStyle name="Debit subtotal 4 2 2 3 10" xfId="29738"/>
    <cellStyle name="Debit subtotal 4 2 2 3 10 2" xfId="38492"/>
    <cellStyle name="Debit subtotal 4 2 2 3 11" xfId="27633"/>
    <cellStyle name="Debit subtotal 4 2 2 3 11 2" xfId="36393"/>
    <cellStyle name="Debit subtotal 4 2 2 3 12" xfId="33165"/>
    <cellStyle name="Debit subtotal 4 2 2 3 2" xfId="24750"/>
    <cellStyle name="Debit subtotal 4 2 2 3 2 10" xfId="32451"/>
    <cellStyle name="Debit subtotal 4 2 2 3 2 10 2" xfId="41205"/>
    <cellStyle name="Debit subtotal 4 2 2 3 2 11" xfId="33526"/>
    <cellStyle name="Debit subtotal 4 2 2 3 2 2" xfId="29315"/>
    <cellStyle name="Debit subtotal 4 2 2 3 2 2 2" xfId="38069"/>
    <cellStyle name="Debit subtotal 4 2 2 3 2 3" xfId="29725"/>
    <cellStyle name="Debit subtotal 4 2 2 3 2 3 2" xfId="38479"/>
    <cellStyle name="Debit subtotal 4 2 2 3 2 4" xfId="30145"/>
    <cellStyle name="Debit subtotal 4 2 2 3 2 4 2" xfId="38899"/>
    <cellStyle name="Debit subtotal 4 2 2 3 2 5" xfId="30561"/>
    <cellStyle name="Debit subtotal 4 2 2 3 2 5 2" xfId="39315"/>
    <cellStyle name="Debit subtotal 4 2 2 3 2 6" xfId="30962"/>
    <cellStyle name="Debit subtotal 4 2 2 3 2 6 2" xfId="39716"/>
    <cellStyle name="Debit subtotal 4 2 2 3 2 7" xfId="31348"/>
    <cellStyle name="Debit subtotal 4 2 2 3 2 7 2" xfId="40102"/>
    <cellStyle name="Debit subtotal 4 2 2 3 2 8" xfId="31724"/>
    <cellStyle name="Debit subtotal 4 2 2 3 2 8 2" xfId="40478"/>
    <cellStyle name="Debit subtotal 4 2 2 3 2 9" xfId="32090"/>
    <cellStyle name="Debit subtotal 4 2 2 3 2 9 2" xfId="40844"/>
    <cellStyle name="Debit subtotal 4 2 2 3 3" xfId="28811"/>
    <cellStyle name="Debit subtotal 4 2 2 3 3 2" xfId="37567"/>
    <cellStyle name="Debit subtotal 4 2 2 3 4" xfId="25053"/>
    <cellStyle name="Debit subtotal 4 2 2 3 4 2" xfId="33827"/>
    <cellStyle name="Debit subtotal 4 2 2 3 5" xfId="24847"/>
    <cellStyle name="Debit subtotal 4 2 2 3 5 2" xfId="33621"/>
    <cellStyle name="Debit subtotal 4 2 2 3 6" xfId="27099"/>
    <cellStyle name="Debit subtotal 4 2 2 3 6 2" xfId="35859"/>
    <cellStyle name="Debit subtotal 4 2 2 3 7" xfId="25458"/>
    <cellStyle name="Debit subtotal 4 2 2 3 7 2" xfId="34227"/>
    <cellStyle name="Debit subtotal 4 2 2 3 8" xfId="25808"/>
    <cellStyle name="Debit subtotal 4 2 2 3 8 2" xfId="34575"/>
    <cellStyle name="Debit subtotal 4 2 2 3 9" xfId="25327"/>
    <cellStyle name="Debit subtotal 4 2 2 3 9 2" xfId="34096"/>
    <cellStyle name="Debit subtotal 4 2 2 4" xfId="25810"/>
    <cellStyle name="Debit subtotal 4 2 2 4 2" xfId="34577"/>
    <cellStyle name="Debit subtotal 4 2 2 5" xfId="2107"/>
    <cellStyle name="Debit subtotal 4 2 2 5 2" xfId="32624"/>
    <cellStyle name="Debit subtotal 4 2 2 6" xfId="28609"/>
    <cellStyle name="Debit subtotal 4 2 2 6 2" xfId="37365"/>
    <cellStyle name="Debit subtotal 4 2 2 7" xfId="25048"/>
    <cellStyle name="Debit subtotal 4 2 2 7 2" xfId="33822"/>
    <cellStyle name="Debit subtotal 4 2 2 8" xfId="27052"/>
    <cellStyle name="Debit subtotal 4 2 2 8 2" xfId="35812"/>
    <cellStyle name="Debit subtotal 4 2 2 9" xfId="25609"/>
    <cellStyle name="Debit subtotal 4 2 2 9 2" xfId="34376"/>
    <cellStyle name="Debit subtotal 4 2 3" xfId="24956"/>
    <cellStyle name="Debit subtotal 4 2 3 2" xfId="33730"/>
    <cellStyle name="Debit subtotal 4 2 4" xfId="28291"/>
    <cellStyle name="Debit subtotal 4 2 4 2" xfId="37050"/>
    <cellStyle name="Debit subtotal 4 2 5" xfId="28516"/>
    <cellStyle name="Debit subtotal 4 2 5 2" xfId="37272"/>
    <cellStyle name="Debit subtotal 4 2 6" xfId="25795"/>
    <cellStyle name="Debit subtotal 4 2 6 2" xfId="34562"/>
    <cellStyle name="Debit subtotal 4 2 7" xfId="25089"/>
    <cellStyle name="Debit subtotal 4 2 7 2" xfId="33861"/>
    <cellStyle name="Debit subtotal 4 2 8" xfId="1689"/>
    <cellStyle name="Debit subtotal 4 2 8 2" xfId="32502"/>
    <cellStyle name="Debit subtotal 4 2 9" xfId="24778"/>
    <cellStyle name="Debit subtotal 4 2 9 2" xfId="33554"/>
    <cellStyle name="Debit subtotal 4 3" xfId="9452"/>
    <cellStyle name="Debit subtotal 4 3 10" xfId="28229"/>
    <cellStyle name="Debit subtotal 4 3 10 2" xfId="36988"/>
    <cellStyle name="Debit subtotal 4 3 11" xfId="26205"/>
    <cellStyle name="Debit subtotal 4 3 11 2" xfId="34971"/>
    <cellStyle name="Debit subtotal 4 3 12" xfId="32801"/>
    <cellStyle name="Debit subtotal 4 3 2" xfId="18282"/>
    <cellStyle name="Debit subtotal 4 3 2 10" xfId="25600"/>
    <cellStyle name="Debit subtotal 4 3 2 10 2" xfId="34367"/>
    <cellStyle name="Debit subtotal 4 3 2 11" xfId="26999"/>
    <cellStyle name="Debit subtotal 4 3 2 11 2" xfId="35759"/>
    <cellStyle name="Debit subtotal 4 3 2 12" xfId="33026"/>
    <cellStyle name="Debit subtotal 4 3 2 13" xfId="43242"/>
    <cellStyle name="Debit subtotal 4 3 2 2" xfId="24552"/>
    <cellStyle name="Debit subtotal 4 3 2 2 10" xfId="32305"/>
    <cellStyle name="Debit subtotal 4 3 2 2 10 2" xfId="41059"/>
    <cellStyle name="Debit subtotal 4 3 2 2 11" xfId="33380"/>
    <cellStyle name="Debit subtotal 4 3 2 2 2" xfId="29160"/>
    <cellStyle name="Debit subtotal 4 3 2 2 2 2" xfId="37914"/>
    <cellStyle name="Debit subtotal 4 3 2 2 3" xfId="29573"/>
    <cellStyle name="Debit subtotal 4 3 2 2 3 2" xfId="38327"/>
    <cellStyle name="Debit subtotal 4 3 2 2 4" xfId="29993"/>
    <cellStyle name="Debit subtotal 4 3 2 2 4 2" xfId="38747"/>
    <cellStyle name="Debit subtotal 4 3 2 2 5" xfId="30412"/>
    <cellStyle name="Debit subtotal 4 3 2 2 5 2" xfId="39166"/>
    <cellStyle name="Debit subtotal 4 3 2 2 6" xfId="30813"/>
    <cellStyle name="Debit subtotal 4 3 2 2 6 2" xfId="39567"/>
    <cellStyle name="Debit subtotal 4 3 2 2 7" xfId="31199"/>
    <cellStyle name="Debit subtotal 4 3 2 2 7 2" xfId="39953"/>
    <cellStyle name="Debit subtotal 4 3 2 2 8" xfId="31577"/>
    <cellStyle name="Debit subtotal 4 3 2 2 8 2" xfId="40331"/>
    <cellStyle name="Debit subtotal 4 3 2 2 9" xfId="31943"/>
    <cellStyle name="Debit subtotal 4 3 2 2 9 2" xfId="40697"/>
    <cellStyle name="Debit subtotal 4 3 2 3" xfId="27772"/>
    <cellStyle name="Debit subtotal 4 3 2 3 2" xfId="36532"/>
    <cellStyle name="Debit subtotal 4 3 2 4" xfId="28298"/>
    <cellStyle name="Debit subtotal 4 3 2 4 2" xfId="37057"/>
    <cellStyle name="Debit subtotal 4 3 2 5" xfId="25929"/>
    <cellStyle name="Debit subtotal 4 3 2 5 2" xfId="34695"/>
    <cellStyle name="Debit subtotal 4 3 2 6" xfId="28125"/>
    <cellStyle name="Debit subtotal 4 3 2 6 2" xfId="36884"/>
    <cellStyle name="Debit subtotal 4 3 2 7" xfId="24875"/>
    <cellStyle name="Debit subtotal 4 3 2 7 2" xfId="33649"/>
    <cellStyle name="Debit subtotal 4 3 2 8" xfId="25934"/>
    <cellStyle name="Debit subtotal 4 3 2 8 2" xfId="34700"/>
    <cellStyle name="Debit subtotal 4 3 2 9" xfId="26946"/>
    <cellStyle name="Debit subtotal 4 3 2 9 2" xfId="35706"/>
    <cellStyle name="Debit subtotal 4 3 3" xfId="23693"/>
    <cellStyle name="Debit subtotal 4 3 3 10" xfId="26585"/>
    <cellStyle name="Debit subtotal 4 3 3 10 2" xfId="35350"/>
    <cellStyle name="Debit subtotal 4 3 3 11" xfId="25105"/>
    <cellStyle name="Debit subtotal 4 3 3 11 2" xfId="33877"/>
    <cellStyle name="Debit subtotal 4 3 3 12" xfId="33163"/>
    <cellStyle name="Debit subtotal 4 3 3 2" xfId="24748"/>
    <cellStyle name="Debit subtotal 4 3 3 2 10" xfId="32449"/>
    <cellStyle name="Debit subtotal 4 3 3 2 10 2" xfId="41203"/>
    <cellStyle name="Debit subtotal 4 3 3 2 11" xfId="33524"/>
    <cellStyle name="Debit subtotal 4 3 3 2 2" xfId="29313"/>
    <cellStyle name="Debit subtotal 4 3 3 2 2 2" xfId="38067"/>
    <cellStyle name="Debit subtotal 4 3 3 2 3" xfId="29723"/>
    <cellStyle name="Debit subtotal 4 3 3 2 3 2" xfId="38477"/>
    <cellStyle name="Debit subtotal 4 3 3 2 4" xfId="30143"/>
    <cellStyle name="Debit subtotal 4 3 3 2 4 2" xfId="38897"/>
    <cellStyle name="Debit subtotal 4 3 3 2 5" xfId="30559"/>
    <cellStyle name="Debit subtotal 4 3 3 2 5 2" xfId="39313"/>
    <cellStyle name="Debit subtotal 4 3 3 2 6" xfId="30960"/>
    <cellStyle name="Debit subtotal 4 3 3 2 6 2" xfId="39714"/>
    <cellStyle name="Debit subtotal 4 3 3 2 7" xfId="31346"/>
    <cellStyle name="Debit subtotal 4 3 3 2 7 2" xfId="40100"/>
    <cellStyle name="Debit subtotal 4 3 3 2 8" xfId="31722"/>
    <cellStyle name="Debit subtotal 4 3 3 2 8 2" xfId="40476"/>
    <cellStyle name="Debit subtotal 4 3 3 2 9" xfId="32088"/>
    <cellStyle name="Debit subtotal 4 3 3 2 9 2" xfId="40842"/>
    <cellStyle name="Debit subtotal 4 3 3 3" xfId="28809"/>
    <cellStyle name="Debit subtotal 4 3 3 3 2" xfId="37565"/>
    <cellStyle name="Debit subtotal 4 3 3 4" xfId="25012"/>
    <cellStyle name="Debit subtotal 4 3 3 4 2" xfId="33786"/>
    <cellStyle name="Debit subtotal 4 3 3 5" xfId="1687"/>
    <cellStyle name="Debit subtotal 4 3 3 5 2" xfId="32500"/>
    <cellStyle name="Debit subtotal 4 3 3 6" xfId="24840"/>
    <cellStyle name="Debit subtotal 4 3 3 6 2" xfId="33614"/>
    <cellStyle name="Debit subtotal 4 3 3 7" xfId="28241"/>
    <cellStyle name="Debit subtotal 4 3 3 7 2" xfId="37000"/>
    <cellStyle name="Debit subtotal 4 3 3 8" xfId="25106"/>
    <cellStyle name="Debit subtotal 4 3 3 8 2" xfId="33878"/>
    <cellStyle name="Debit subtotal 4 3 3 9" xfId="26588"/>
    <cellStyle name="Debit subtotal 4 3 3 9 2" xfId="35353"/>
    <cellStyle name="Debit subtotal 4 3 4" xfId="26968"/>
    <cellStyle name="Debit subtotal 4 3 4 2" xfId="35728"/>
    <cellStyle name="Debit subtotal 4 3 5" xfId="28283"/>
    <cellStyle name="Debit subtotal 4 3 5 2" xfId="37042"/>
    <cellStyle name="Debit subtotal 4 3 6" xfId="26778"/>
    <cellStyle name="Debit subtotal 4 3 6 2" xfId="35540"/>
    <cellStyle name="Debit subtotal 4 3 7" xfId="24923"/>
    <cellStyle name="Debit subtotal 4 3 7 2" xfId="33697"/>
    <cellStyle name="Debit subtotal 4 3 8" xfId="26538"/>
    <cellStyle name="Debit subtotal 4 3 8 2" xfId="35303"/>
    <cellStyle name="Debit subtotal 4 3 9" xfId="29756"/>
    <cellStyle name="Debit subtotal 4 3 9 2" xfId="38510"/>
    <cellStyle name="Debit subtotal 4 4" xfId="24942"/>
    <cellStyle name="Debit subtotal 4 4 2" xfId="33716"/>
    <cellStyle name="Debit subtotal 4 5" xfId="26497"/>
    <cellStyle name="Debit subtotal 4 5 2" xfId="35262"/>
    <cellStyle name="Debit subtotal 4 6" xfId="26590"/>
    <cellStyle name="Debit subtotal 4 6 2" xfId="35355"/>
    <cellStyle name="Debit subtotal 4 7" xfId="27957"/>
    <cellStyle name="Debit subtotal 4 7 2" xfId="36717"/>
    <cellStyle name="Debit subtotal 4 8" xfId="28151"/>
    <cellStyle name="Debit subtotal 4 8 2" xfId="36910"/>
    <cellStyle name="Debit subtotal 4 9" xfId="27307"/>
    <cellStyle name="Debit subtotal 4 9 2" xfId="36067"/>
    <cellStyle name="Debit subtotal 5" xfId="1169"/>
    <cellStyle name="Debit subtotal 5 10" xfId="28932"/>
    <cellStyle name="Debit subtotal 5 10 2" xfId="37687"/>
    <cellStyle name="Debit subtotal 5 11" xfId="25369"/>
    <cellStyle name="Debit subtotal 5 11 2" xfId="34138"/>
    <cellStyle name="Debit subtotal 5 2" xfId="9459"/>
    <cellStyle name="Debit subtotal 5 2 10" xfId="29177"/>
    <cellStyle name="Debit subtotal 5 2 10 2" xfId="37931"/>
    <cellStyle name="Debit subtotal 5 2 11" xfId="26366"/>
    <cellStyle name="Debit subtotal 5 2 11 2" xfId="35132"/>
    <cellStyle name="Debit subtotal 5 2 12" xfId="32807"/>
    <cellStyle name="Debit subtotal 5 2 2" xfId="18288"/>
    <cellStyle name="Debit subtotal 5 2 2 10" xfId="28879"/>
    <cellStyle name="Debit subtotal 5 2 2 10 2" xfId="37635"/>
    <cellStyle name="Debit subtotal 5 2 2 11" xfId="28014"/>
    <cellStyle name="Debit subtotal 5 2 2 11 2" xfId="36773"/>
    <cellStyle name="Debit subtotal 5 2 2 12" xfId="33032"/>
    <cellStyle name="Debit subtotal 5 2 2 13" xfId="43243"/>
    <cellStyle name="Debit subtotal 5 2 2 2" xfId="24558"/>
    <cellStyle name="Debit subtotal 5 2 2 2 10" xfId="32311"/>
    <cellStyle name="Debit subtotal 5 2 2 2 10 2" xfId="41065"/>
    <cellStyle name="Debit subtotal 5 2 2 2 11" xfId="33386"/>
    <cellStyle name="Debit subtotal 5 2 2 2 2" xfId="29166"/>
    <cellStyle name="Debit subtotal 5 2 2 2 2 2" xfId="37920"/>
    <cellStyle name="Debit subtotal 5 2 2 2 3" xfId="29579"/>
    <cellStyle name="Debit subtotal 5 2 2 2 3 2" xfId="38333"/>
    <cellStyle name="Debit subtotal 5 2 2 2 4" xfId="29999"/>
    <cellStyle name="Debit subtotal 5 2 2 2 4 2" xfId="38753"/>
    <cellStyle name="Debit subtotal 5 2 2 2 5" xfId="30418"/>
    <cellStyle name="Debit subtotal 5 2 2 2 5 2" xfId="39172"/>
    <cellStyle name="Debit subtotal 5 2 2 2 6" xfId="30819"/>
    <cellStyle name="Debit subtotal 5 2 2 2 6 2" xfId="39573"/>
    <cellStyle name="Debit subtotal 5 2 2 2 7" xfId="31205"/>
    <cellStyle name="Debit subtotal 5 2 2 2 7 2" xfId="39959"/>
    <cellStyle name="Debit subtotal 5 2 2 2 8" xfId="31583"/>
    <cellStyle name="Debit subtotal 5 2 2 2 8 2" xfId="40337"/>
    <cellStyle name="Debit subtotal 5 2 2 2 9" xfId="31949"/>
    <cellStyle name="Debit subtotal 5 2 2 2 9 2" xfId="40703"/>
    <cellStyle name="Debit subtotal 5 2 2 3" xfId="27778"/>
    <cellStyle name="Debit subtotal 5 2 2 3 2" xfId="36538"/>
    <cellStyle name="Debit subtotal 5 2 2 4" xfId="28468"/>
    <cellStyle name="Debit subtotal 5 2 2 4 2" xfId="37225"/>
    <cellStyle name="Debit subtotal 5 2 2 5" xfId="27965"/>
    <cellStyle name="Debit subtotal 5 2 2 5 2" xfId="36725"/>
    <cellStyle name="Debit subtotal 5 2 2 6" xfId="28539"/>
    <cellStyle name="Debit subtotal 5 2 2 6 2" xfId="37295"/>
    <cellStyle name="Debit subtotal 5 2 2 7" xfId="28129"/>
    <cellStyle name="Debit subtotal 5 2 2 7 2" xfId="36888"/>
    <cellStyle name="Debit subtotal 5 2 2 8" xfId="25270"/>
    <cellStyle name="Debit subtotal 5 2 2 8 2" xfId="34040"/>
    <cellStyle name="Debit subtotal 5 2 2 9" xfId="28153"/>
    <cellStyle name="Debit subtotal 5 2 2 9 2" xfId="36912"/>
    <cellStyle name="Debit subtotal 5 2 3" xfId="23698"/>
    <cellStyle name="Debit subtotal 5 2 3 10" xfId="26974"/>
    <cellStyle name="Debit subtotal 5 2 3 10 2" xfId="35734"/>
    <cellStyle name="Debit subtotal 5 2 3 11" xfId="27540"/>
    <cellStyle name="Debit subtotal 5 2 3 11 2" xfId="36300"/>
    <cellStyle name="Debit subtotal 5 2 3 12" xfId="33168"/>
    <cellStyle name="Debit subtotal 5 2 3 2" xfId="24753"/>
    <cellStyle name="Debit subtotal 5 2 3 2 10" xfId="32454"/>
    <cellStyle name="Debit subtotal 5 2 3 2 10 2" xfId="41208"/>
    <cellStyle name="Debit subtotal 5 2 3 2 11" xfId="33529"/>
    <cellStyle name="Debit subtotal 5 2 3 2 2" xfId="29318"/>
    <cellStyle name="Debit subtotal 5 2 3 2 2 2" xfId="38072"/>
    <cellStyle name="Debit subtotal 5 2 3 2 3" xfId="29728"/>
    <cellStyle name="Debit subtotal 5 2 3 2 3 2" xfId="38482"/>
    <cellStyle name="Debit subtotal 5 2 3 2 4" xfId="30148"/>
    <cellStyle name="Debit subtotal 5 2 3 2 4 2" xfId="38902"/>
    <cellStyle name="Debit subtotal 5 2 3 2 5" xfId="30564"/>
    <cellStyle name="Debit subtotal 5 2 3 2 5 2" xfId="39318"/>
    <cellStyle name="Debit subtotal 5 2 3 2 6" xfId="30965"/>
    <cellStyle name="Debit subtotal 5 2 3 2 6 2" xfId="39719"/>
    <cellStyle name="Debit subtotal 5 2 3 2 7" xfId="31351"/>
    <cellStyle name="Debit subtotal 5 2 3 2 7 2" xfId="40105"/>
    <cellStyle name="Debit subtotal 5 2 3 2 8" xfId="31727"/>
    <cellStyle name="Debit subtotal 5 2 3 2 8 2" xfId="40481"/>
    <cellStyle name="Debit subtotal 5 2 3 2 9" xfId="32093"/>
    <cellStyle name="Debit subtotal 5 2 3 2 9 2" xfId="40847"/>
    <cellStyle name="Debit subtotal 5 2 3 3" xfId="28814"/>
    <cellStyle name="Debit subtotal 5 2 3 3 2" xfId="37570"/>
    <cellStyle name="Debit subtotal 5 2 3 4" xfId="25051"/>
    <cellStyle name="Debit subtotal 5 2 3 4 2" xfId="33825"/>
    <cellStyle name="Debit subtotal 5 2 3 5" xfId="25044"/>
    <cellStyle name="Debit subtotal 5 2 3 5 2" xfId="33818"/>
    <cellStyle name="Debit subtotal 5 2 3 6" xfId="27332"/>
    <cellStyle name="Debit subtotal 5 2 3 6 2" xfId="36092"/>
    <cellStyle name="Debit subtotal 5 2 3 7" xfId="24759"/>
    <cellStyle name="Debit subtotal 5 2 3 7 2" xfId="33535"/>
    <cellStyle name="Debit subtotal 5 2 3 8" xfId="25335"/>
    <cellStyle name="Debit subtotal 5 2 3 8 2" xfId="34104"/>
    <cellStyle name="Debit subtotal 5 2 3 9" xfId="26889"/>
    <cellStyle name="Debit subtotal 5 2 3 9 2" xfId="35649"/>
    <cellStyle name="Debit subtotal 5 2 4" xfId="27566"/>
    <cellStyle name="Debit subtotal 5 2 4 2" xfId="36326"/>
    <cellStyle name="Debit subtotal 5 2 5" xfId="27223"/>
    <cellStyle name="Debit subtotal 5 2 5 2" xfId="35983"/>
    <cellStyle name="Debit subtotal 5 2 6" xfId="25849"/>
    <cellStyle name="Debit subtotal 5 2 6 2" xfId="34615"/>
    <cellStyle name="Debit subtotal 5 2 7" xfId="26835"/>
    <cellStyle name="Debit subtotal 5 2 7 2" xfId="35596"/>
    <cellStyle name="Debit subtotal 5 2 8" xfId="25284"/>
    <cellStyle name="Debit subtotal 5 2 8 2" xfId="34054"/>
    <cellStyle name="Debit subtotal 5 2 9" xfId="25226"/>
    <cellStyle name="Debit subtotal 5 2 9 2" xfId="33997"/>
    <cellStyle name="Debit subtotal 5 3" xfId="24969"/>
    <cellStyle name="Debit subtotal 5 3 2" xfId="33743"/>
    <cellStyle name="Debit subtotal 5 4" xfId="28167"/>
    <cellStyle name="Debit subtotal 5 4 2" xfId="36926"/>
    <cellStyle name="Debit subtotal 5 5" xfId="26425"/>
    <cellStyle name="Debit subtotal 5 5 2" xfId="35190"/>
    <cellStyle name="Debit subtotal 5 6" xfId="27456"/>
    <cellStyle name="Debit subtotal 5 6 2" xfId="36216"/>
    <cellStyle name="Debit subtotal 5 7" xfId="25538"/>
    <cellStyle name="Debit subtotal 5 7 2" xfId="34305"/>
    <cellStyle name="Debit subtotal 5 8" xfId="25144"/>
    <cellStyle name="Debit subtotal 5 8 2" xfId="33915"/>
    <cellStyle name="Debit subtotal 5 9" xfId="25656"/>
    <cellStyle name="Debit subtotal 5 9 2" xfId="34423"/>
    <cellStyle name="Debit subtotal 6" xfId="6040"/>
    <cellStyle name="Debit subtotal 6 2" xfId="18178"/>
    <cellStyle name="Debit subtotal 6 2 10" xfId="27441"/>
    <cellStyle name="Debit subtotal 6 2 10 2" xfId="36201"/>
    <cellStyle name="Debit subtotal 6 2 11" xfId="26237"/>
    <cellStyle name="Debit subtotal 6 2 11 2" xfId="35003"/>
    <cellStyle name="Debit subtotal 6 2 12" xfId="32922"/>
    <cellStyle name="Debit subtotal 6 2 2" xfId="24448"/>
    <cellStyle name="Debit subtotal 6 2 2 10" xfId="32201"/>
    <cellStyle name="Debit subtotal 6 2 2 10 2" xfId="40955"/>
    <cellStyle name="Debit subtotal 6 2 2 11" xfId="33276"/>
    <cellStyle name="Debit subtotal 6 2 2 2" xfId="29056"/>
    <cellStyle name="Debit subtotal 6 2 2 2 2" xfId="37810"/>
    <cellStyle name="Debit subtotal 6 2 2 3" xfId="29469"/>
    <cellStyle name="Debit subtotal 6 2 2 3 2" xfId="38223"/>
    <cellStyle name="Debit subtotal 6 2 2 4" xfId="29889"/>
    <cellStyle name="Debit subtotal 6 2 2 4 2" xfId="38643"/>
    <cellStyle name="Debit subtotal 6 2 2 5" xfId="30308"/>
    <cellStyle name="Debit subtotal 6 2 2 5 2" xfId="39062"/>
    <cellStyle name="Debit subtotal 6 2 2 6" xfId="30709"/>
    <cellStyle name="Debit subtotal 6 2 2 6 2" xfId="39463"/>
    <cellStyle name="Debit subtotal 6 2 2 7" xfId="31095"/>
    <cellStyle name="Debit subtotal 6 2 2 7 2" xfId="39849"/>
    <cellStyle name="Debit subtotal 6 2 2 8" xfId="31473"/>
    <cellStyle name="Debit subtotal 6 2 2 8 2" xfId="40227"/>
    <cellStyle name="Debit subtotal 6 2 2 9" xfId="31839"/>
    <cellStyle name="Debit subtotal 6 2 2 9 2" xfId="40593"/>
    <cellStyle name="Debit subtotal 6 2 3" xfId="27668"/>
    <cellStyle name="Debit subtotal 6 2 3 2" xfId="36428"/>
    <cellStyle name="Debit subtotal 6 2 4" xfId="25963"/>
    <cellStyle name="Debit subtotal 6 2 4 2" xfId="34729"/>
    <cellStyle name="Debit subtotal 6 2 5" xfId="26020"/>
    <cellStyle name="Debit subtotal 6 2 5 2" xfId="34786"/>
    <cellStyle name="Debit subtotal 6 2 6" xfId="25141"/>
    <cellStyle name="Debit subtotal 6 2 6 2" xfId="33912"/>
    <cellStyle name="Debit subtotal 6 2 7" xfId="27868"/>
    <cellStyle name="Debit subtotal 6 2 7 2" xfId="36628"/>
    <cellStyle name="Debit subtotal 6 2 8" xfId="28903"/>
    <cellStyle name="Debit subtotal 6 2 8 2" xfId="37659"/>
    <cellStyle name="Debit subtotal 6 2 9" xfId="27268"/>
    <cellStyle name="Debit subtotal 6 2 9 2" xfId="36028"/>
    <cellStyle name="Debit subtotal 6 3" xfId="23620"/>
    <cellStyle name="Debit subtotal 6 3 10" xfId="30668"/>
    <cellStyle name="Debit subtotal 6 3 10 2" xfId="39422"/>
    <cellStyle name="Debit subtotal 6 3 11" xfId="31055"/>
    <cellStyle name="Debit subtotal 6 3 11 2" xfId="39809"/>
    <cellStyle name="Debit subtotal 6 3 12" xfId="33090"/>
    <cellStyle name="Debit subtotal 6 3 2" xfId="24675"/>
    <cellStyle name="Debit subtotal 6 3 2 10" xfId="32376"/>
    <cellStyle name="Debit subtotal 6 3 2 10 2" xfId="41130"/>
    <cellStyle name="Debit subtotal 6 3 2 11" xfId="33451"/>
    <cellStyle name="Debit subtotal 6 3 2 2" xfId="29240"/>
    <cellStyle name="Debit subtotal 6 3 2 2 2" xfId="37994"/>
    <cellStyle name="Debit subtotal 6 3 2 3" xfId="29650"/>
    <cellStyle name="Debit subtotal 6 3 2 3 2" xfId="38404"/>
    <cellStyle name="Debit subtotal 6 3 2 4" xfId="30070"/>
    <cellStyle name="Debit subtotal 6 3 2 4 2" xfId="38824"/>
    <cellStyle name="Debit subtotal 6 3 2 5" xfId="30486"/>
    <cellStyle name="Debit subtotal 6 3 2 5 2" xfId="39240"/>
    <cellStyle name="Debit subtotal 6 3 2 6" xfId="30887"/>
    <cellStyle name="Debit subtotal 6 3 2 6 2" xfId="39641"/>
    <cellStyle name="Debit subtotal 6 3 2 7" xfId="31273"/>
    <cellStyle name="Debit subtotal 6 3 2 7 2" xfId="40027"/>
    <cellStyle name="Debit subtotal 6 3 2 8" xfId="31649"/>
    <cellStyle name="Debit subtotal 6 3 2 8 2" xfId="40403"/>
    <cellStyle name="Debit subtotal 6 3 2 9" xfId="32015"/>
    <cellStyle name="Debit subtotal 6 3 2 9 2" xfId="40769"/>
    <cellStyle name="Debit subtotal 6 3 3" xfId="28736"/>
    <cellStyle name="Debit subtotal 6 3 3 2" xfId="37492"/>
    <cellStyle name="Debit subtotal 6 3 4" xfId="25693"/>
    <cellStyle name="Debit subtotal 6 3 4 2" xfId="34460"/>
    <cellStyle name="Debit subtotal 6 3 5" xfId="25504"/>
    <cellStyle name="Debit subtotal 6 3 5 2" xfId="34273"/>
    <cellStyle name="Debit subtotal 6 3 6" xfId="27453"/>
    <cellStyle name="Debit subtotal 6 3 6 2" xfId="36213"/>
    <cellStyle name="Debit subtotal 6 3 7" xfId="26151"/>
    <cellStyle name="Debit subtotal 6 3 7 2" xfId="34917"/>
    <cellStyle name="Debit subtotal 6 3 8" xfId="26475"/>
    <cellStyle name="Debit subtotal 6 3 8 2" xfId="35240"/>
    <cellStyle name="Debit subtotal 6 3 9" xfId="30267"/>
    <cellStyle name="Debit subtotal 6 3 9 2" xfId="39021"/>
    <cellStyle name="Debit subtotal 6 4" xfId="24607"/>
    <cellStyle name="Debit subtotal 6 4 10" xfId="32337"/>
    <cellStyle name="Debit subtotal 6 4 10 2" xfId="41091"/>
    <cellStyle name="Debit subtotal 6 4 11" xfId="33412"/>
    <cellStyle name="Debit subtotal 6 4 2" xfId="29196"/>
    <cellStyle name="Debit subtotal 6 4 2 2" xfId="37950"/>
    <cellStyle name="Debit subtotal 6 4 3" xfId="29607"/>
    <cellStyle name="Debit subtotal 6 4 3 2" xfId="38361"/>
    <cellStyle name="Debit subtotal 6 4 4" xfId="30028"/>
    <cellStyle name="Debit subtotal 6 4 4 2" xfId="38782"/>
    <cellStyle name="Debit subtotal 6 4 5" xfId="30445"/>
    <cellStyle name="Debit subtotal 6 4 5 2" xfId="39199"/>
    <cellStyle name="Debit subtotal 6 4 6" xfId="30846"/>
    <cellStyle name="Debit subtotal 6 4 6 2" xfId="39600"/>
    <cellStyle name="Debit subtotal 6 4 7" xfId="31232"/>
    <cellStyle name="Debit subtotal 6 4 7 2" xfId="39986"/>
    <cellStyle name="Debit subtotal 6 4 8" xfId="31609"/>
    <cellStyle name="Debit subtotal 6 4 8 2" xfId="40363"/>
    <cellStyle name="Debit subtotal 6 4 9" xfId="31975"/>
    <cellStyle name="Debit subtotal 6 4 9 2" xfId="40729"/>
    <cellStyle name="Debit subtotal 6 5" xfId="32718"/>
    <cellStyle name="Debit Total" xfId="374"/>
    <cellStyle name="Debit Total 2" xfId="700"/>
    <cellStyle name="Debit Total 2 2" xfId="2056"/>
    <cellStyle name="Debit Total 2 3" xfId="2013"/>
    <cellStyle name="Debit Total 2 4" xfId="41614"/>
    <cellStyle name="Debit Total 2 4 2" xfId="41615"/>
    <cellStyle name="Debit Total 2 5" xfId="41616"/>
    <cellStyle name="Debit Total 3" xfId="1078"/>
    <cellStyle name="Debit Total 3 2" xfId="1120"/>
    <cellStyle name="Debit Total 3 3" xfId="2846"/>
    <cellStyle name="Debit Total 4" xfId="1170"/>
    <cellStyle name="Debit Total 5" xfId="41617"/>
    <cellStyle name="Debit Total 5 2" xfId="41618"/>
    <cellStyle name="Debit Total 6" xfId="41619"/>
    <cellStyle name="Decimal 2 (e.g. 1,000.00)" xfId="970"/>
    <cellStyle name="Dia" xfId="375"/>
    <cellStyle name="Dia 2" xfId="701"/>
    <cellStyle name="Dia 2 2" xfId="2057"/>
    <cellStyle name="Dia 2 3" xfId="2014"/>
    <cellStyle name="Dia 3" xfId="1079"/>
    <cellStyle name="Dia 3 2" xfId="1121"/>
    <cellStyle name="Dia 3 3" xfId="2847"/>
    <cellStyle name="Dia 4" xfId="1171"/>
    <cellStyle name="Double Underline" xfId="971"/>
    <cellStyle name="Double Underscore" xfId="972"/>
    <cellStyle name="Encabez1" xfId="376"/>
    <cellStyle name="Encabez1 2" xfId="702"/>
    <cellStyle name="Encabez1 2 2" xfId="2058"/>
    <cellStyle name="Encabez1 2 3" xfId="2015"/>
    <cellStyle name="Encabez1 3" xfId="1080"/>
    <cellStyle name="Encabez1 3 2" xfId="1122"/>
    <cellStyle name="Encabez1 3 3" xfId="2848"/>
    <cellStyle name="Encabez1 4" xfId="1172"/>
    <cellStyle name="Encabez2" xfId="377"/>
    <cellStyle name="Encabez2 2" xfId="703"/>
    <cellStyle name="Encabez2 2 2" xfId="2059"/>
    <cellStyle name="Encabez2 2 3" xfId="2016"/>
    <cellStyle name="Encabez2 3" xfId="1081"/>
    <cellStyle name="Encabez2 3 2" xfId="1123"/>
    <cellStyle name="Encabez2 3 3" xfId="2849"/>
    <cellStyle name="Encabez2 4" xfId="1173"/>
    <cellStyle name="Enter Currency (0)" xfId="378"/>
    <cellStyle name="Enter Currency (2)" xfId="379"/>
    <cellStyle name="Enter Units (0)" xfId="380"/>
    <cellStyle name="Enter Units (1)" xfId="381"/>
    <cellStyle name="Enter Units (2)" xfId="382"/>
    <cellStyle name="Euro" xfId="383"/>
    <cellStyle name="Euro 2" xfId="704"/>
    <cellStyle name="Euro 2 2" xfId="1548"/>
    <cellStyle name="Euro 2 2 2" xfId="41622"/>
    <cellStyle name="Euro 2 3" xfId="2060"/>
    <cellStyle name="Euro 2 3 2" xfId="41623"/>
    <cellStyle name="Euro 2 4" xfId="2017"/>
    <cellStyle name="Euro 2 4 2" xfId="41624"/>
    <cellStyle name="Euro 2 5" xfId="41621"/>
    <cellStyle name="Euro 3" xfId="1082"/>
    <cellStyle name="Euro 3 2" xfId="1124"/>
    <cellStyle name="Euro 3 2 2" xfId="41626"/>
    <cellStyle name="Euro 3 3" xfId="2850"/>
    <cellStyle name="Euro 3 3 2" xfId="41627"/>
    <cellStyle name="Euro 3 4" xfId="41625"/>
    <cellStyle name="Euro 4" xfId="1174"/>
    <cellStyle name="Euro 4 2" xfId="41628"/>
    <cellStyle name="Euro 5" xfId="41620"/>
    <cellStyle name="Explanatory Text" xfId="31" builtinId="53" customBuiltin="1"/>
    <cellStyle name="Explanatory Text 2" xfId="96"/>
    <cellStyle name="Explanatory Text 2 2" xfId="973"/>
    <cellStyle name="Explanatory Text 2 2 2" xfId="2817"/>
    <cellStyle name="Explanatory Text 2 2 3" xfId="23818"/>
    <cellStyle name="Explanatory Text 2 2 4" xfId="2104"/>
    <cellStyle name="Explanatory Text 2 3" xfId="4445"/>
    <cellStyle name="Explanatory Text 2 3 2" xfId="43091"/>
    <cellStyle name="Explanatory Text 2 4" xfId="44217"/>
    <cellStyle name="Explanatory Text 2 5" xfId="273"/>
    <cellStyle name="Explanatory Text 3" xfId="4446"/>
    <cellStyle name="Explanatory Text 3 2" xfId="44154"/>
    <cellStyle name="Explanatory Text 4" xfId="42980"/>
    <cellStyle name="F2" xfId="384"/>
    <cellStyle name="F2 2" xfId="705"/>
    <cellStyle name="F2 2 2" xfId="2061"/>
    <cellStyle name="F2 2 3" xfId="2018"/>
    <cellStyle name="F2 3" xfId="1083"/>
    <cellStyle name="F2 3 2" xfId="1125"/>
    <cellStyle name="F2 3 3" xfId="2851"/>
    <cellStyle name="F2 4" xfId="1175"/>
    <cellStyle name="F3" xfId="385"/>
    <cellStyle name="F3 2" xfId="706"/>
    <cellStyle name="F3 2 2" xfId="2062"/>
    <cellStyle name="F3 2 3" xfId="2019"/>
    <cellStyle name="F3 3" xfId="1084"/>
    <cellStyle name="F3 3 2" xfId="1126"/>
    <cellStyle name="F3 3 3" xfId="2852"/>
    <cellStyle name="F3 4" xfId="1176"/>
    <cellStyle name="F4" xfId="386"/>
    <cellStyle name="F4 2" xfId="707"/>
    <cellStyle name="F4 2 2" xfId="2063"/>
    <cellStyle name="F4 2 3" xfId="2020"/>
    <cellStyle name="F4 3" xfId="1085"/>
    <cellStyle name="F4 3 2" xfId="1127"/>
    <cellStyle name="F4 3 3" xfId="2853"/>
    <cellStyle name="F4 4" xfId="1177"/>
    <cellStyle name="F5" xfId="387"/>
    <cellStyle name="F5 2" xfId="708"/>
    <cellStyle name="F5 2 2" xfId="2064"/>
    <cellStyle name="F5 2 3" xfId="2021"/>
    <cellStyle name="F5 3" xfId="1086"/>
    <cellStyle name="F5 3 2" xfId="1128"/>
    <cellStyle name="F5 3 3" xfId="2854"/>
    <cellStyle name="F5 4" xfId="1178"/>
    <cellStyle name="F6" xfId="388"/>
    <cellStyle name="F6 2" xfId="709"/>
    <cellStyle name="F6 2 2" xfId="2065"/>
    <cellStyle name="F6 2 3" xfId="2022"/>
    <cellStyle name="F6 3" xfId="1087"/>
    <cellStyle name="F6 3 2" xfId="1129"/>
    <cellStyle name="F6 3 3" xfId="2855"/>
    <cellStyle name="F6 4" xfId="1179"/>
    <cellStyle name="F7" xfId="389"/>
    <cellStyle name="F7 2" xfId="710"/>
    <cellStyle name="F7 2 2" xfId="2066"/>
    <cellStyle name="F7 2 3" xfId="2023"/>
    <cellStyle name="F7 3" xfId="1088"/>
    <cellStyle name="F7 3 2" xfId="1130"/>
    <cellStyle name="F7 3 3" xfId="2856"/>
    <cellStyle name="F7 4" xfId="1180"/>
    <cellStyle name="F8" xfId="390"/>
    <cellStyle name="F8 2" xfId="711"/>
    <cellStyle name="F8 2 2" xfId="2067"/>
    <cellStyle name="F8 2 3" xfId="2024"/>
    <cellStyle name="F8 3" xfId="1089"/>
    <cellStyle name="F8 3 2" xfId="1131"/>
    <cellStyle name="F8 3 3" xfId="2857"/>
    <cellStyle name="F8 4" xfId="1181"/>
    <cellStyle name="Fijo" xfId="391"/>
    <cellStyle name="Fijo 2" xfId="712"/>
    <cellStyle name="Fijo 2 2" xfId="2068"/>
    <cellStyle name="Fijo 2 3" xfId="2025"/>
    <cellStyle name="Fijo 3" xfId="1090"/>
    <cellStyle name="Fijo 3 2" xfId="1132"/>
    <cellStyle name="Fijo 3 3" xfId="2858"/>
    <cellStyle name="Fijo 4" xfId="1182"/>
    <cellStyle name="Financiero" xfId="392"/>
    <cellStyle name="Financiero 2" xfId="713"/>
    <cellStyle name="Financiero 2 2" xfId="2069"/>
    <cellStyle name="Financiero 2 3" xfId="2026"/>
    <cellStyle name="Financiero 3" xfId="1091"/>
    <cellStyle name="Financiero 3 2" xfId="1133"/>
    <cellStyle name="Financiero 3 3" xfId="2859"/>
    <cellStyle name="Financiero 4" xfId="1183"/>
    <cellStyle name="Fixed" xfId="393"/>
    <cellStyle name="Fixed 2" xfId="394"/>
    <cellStyle name="Fixed 2 2" xfId="1929"/>
    <cellStyle name="Fixed 2 3" xfId="2765"/>
    <cellStyle name="Fixed 3" xfId="715"/>
    <cellStyle name="Fixed 3 2" xfId="974"/>
    <cellStyle name="Fixed 3 2 2" xfId="1397"/>
    <cellStyle name="Fixed 3 2 3" xfId="1990"/>
    <cellStyle name="Fixed 3 3" xfId="2027"/>
    <cellStyle name="Fixed 3 4" xfId="4447"/>
    <cellStyle name="Fixed 4" xfId="714"/>
    <cellStyle name="Fixed 4 2" xfId="2793"/>
    <cellStyle name="Fixed 5" xfId="1092"/>
    <cellStyle name="Fixed 5 2" xfId="1134"/>
    <cellStyle name="Fixed 6" xfId="1184"/>
    <cellStyle name="Good" xfId="23" builtinId="26" customBuiltin="1"/>
    <cellStyle name="Good 2" xfId="86"/>
    <cellStyle name="Good 2 2" xfId="975"/>
    <cellStyle name="Good 2 3" xfId="43090"/>
    <cellStyle name="Good 2 4" xfId="44207"/>
    <cellStyle name="Good 2 5" xfId="274"/>
    <cellStyle name="Good 3" xfId="905"/>
    <cellStyle name="Good 3 2" xfId="4448"/>
    <cellStyle name="Good 3 2 2" xfId="41629"/>
    <cellStyle name="Good 3 3" xfId="6048"/>
    <cellStyle name="Good 3 4" xfId="44145"/>
    <cellStyle name="Good 4" xfId="9595"/>
    <cellStyle name="Good 5" xfId="42970"/>
    <cellStyle name="Grey" xfId="395"/>
    <cellStyle name="Grey 2" xfId="396"/>
    <cellStyle name="Grey 2 2" xfId="4449"/>
    <cellStyle name="Grey 3" xfId="716"/>
    <cellStyle name="Header1" xfId="397"/>
    <cellStyle name="Header1 2" xfId="717"/>
    <cellStyle name="Header2" xfId="398"/>
    <cellStyle name="Header2 2" xfId="718"/>
    <cellStyle name="Header2 2 10" xfId="29434"/>
    <cellStyle name="Header2 2 10 2" xfId="38188"/>
    <cellStyle name="Header2 2 11" xfId="29784"/>
    <cellStyle name="Header2 2 11 2" xfId="38538"/>
    <cellStyle name="Header2 2 12" xfId="43290"/>
    <cellStyle name="Header2 2 2" xfId="9444"/>
    <cellStyle name="Header2 2 2 10" xfId="28425"/>
    <cellStyle name="Header2 2 2 10 2" xfId="37182"/>
    <cellStyle name="Header2 2 2 11" xfId="1658"/>
    <cellStyle name="Header2 2 2 11 2" xfId="32472"/>
    <cellStyle name="Header2 2 2 12" xfId="32795"/>
    <cellStyle name="Header2 2 2 13" xfId="43291"/>
    <cellStyle name="Header2 2 2 2" xfId="18276"/>
    <cellStyle name="Header2 2 2 2 10" xfId="26997"/>
    <cellStyle name="Header2 2 2 2 10 2" xfId="35757"/>
    <cellStyle name="Header2 2 2 2 11" xfId="26540"/>
    <cellStyle name="Header2 2 2 2 11 2" xfId="35305"/>
    <cellStyle name="Header2 2 2 2 12" xfId="33020"/>
    <cellStyle name="Header2 2 2 2 13" xfId="43244"/>
    <cellStyle name="Header2 2 2 2 14" xfId="43292"/>
    <cellStyle name="Header2 2 2 2 2" xfId="24546"/>
    <cellStyle name="Header2 2 2 2 2 10" xfId="32299"/>
    <cellStyle name="Header2 2 2 2 2 10 2" xfId="41053"/>
    <cellStyle name="Header2 2 2 2 2 11" xfId="33374"/>
    <cellStyle name="Header2 2 2 2 2 2" xfId="29154"/>
    <cellStyle name="Header2 2 2 2 2 2 2" xfId="37908"/>
    <cellStyle name="Header2 2 2 2 2 3" xfId="29567"/>
    <cellStyle name="Header2 2 2 2 2 3 2" xfId="38321"/>
    <cellStyle name="Header2 2 2 2 2 4" xfId="29987"/>
    <cellStyle name="Header2 2 2 2 2 4 2" xfId="38741"/>
    <cellStyle name="Header2 2 2 2 2 5" xfId="30406"/>
    <cellStyle name="Header2 2 2 2 2 5 2" xfId="39160"/>
    <cellStyle name="Header2 2 2 2 2 6" xfId="30807"/>
    <cellStyle name="Header2 2 2 2 2 6 2" xfId="39561"/>
    <cellStyle name="Header2 2 2 2 2 7" xfId="31193"/>
    <cellStyle name="Header2 2 2 2 2 7 2" xfId="39947"/>
    <cellStyle name="Header2 2 2 2 2 8" xfId="31571"/>
    <cellStyle name="Header2 2 2 2 2 8 2" xfId="40325"/>
    <cellStyle name="Header2 2 2 2 2 9" xfId="31937"/>
    <cellStyle name="Header2 2 2 2 2 9 2" xfId="40691"/>
    <cellStyle name="Header2 2 2 2 3" xfId="27766"/>
    <cellStyle name="Header2 2 2 2 3 2" xfId="36526"/>
    <cellStyle name="Header2 2 2 2 4" xfId="25177"/>
    <cellStyle name="Header2 2 2 2 4 2" xfId="33948"/>
    <cellStyle name="Header2 2 2 2 5" xfId="28093"/>
    <cellStyle name="Header2 2 2 2 5 2" xfId="36852"/>
    <cellStyle name="Header2 2 2 2 6" xfId="27156"/>
    <cellStyle name="Header2 2 2 2 6 2" xfId="35916"/>
    <cellStyle name="Header2 2 2 2 7" xfId="25232"/>
    <cellStyle name="Header2 2 2 2 7 2" xfId="34002"/>
    <cellStyle name="Header2 2 2 2 8" xfId="26565"/>
    <cellStyle name="Header2 2 2 2 8 2" xfId="35330"/>
    <cellStyle name="Header2 2 2 2 9" xfId="27961"/>
    <cellStyle name="Header2 2 2 2 9 2" xfId="36721"/>
    <cellStyle name="Header2 2 2 3" xfId="23687"/>
    <cellStyle name="Header2 2 2 3 10" xfId="26474"/>
    <cellStyle name="Header2 2 2 3 10 2" xfId="35239"/>
    <cellStyle name="Header2 2 2 3 11" xfId="27234"/>
    <cellStyle name="Header2 2 2 3 11 2" xfId="35994"/>
    <cellStyle name="Header2 2 2 3 12" xfId="33157"/>
    <cellStyle name="Header2 2 2 3 2" xfId="24742"/>
    <cellStyle name="Header2 2 2 3 2 10" xfId="32443"/>
    <cellStyle name="Header2 2 2 3 2 10 2" xfId="41197"/>
    <cellStyle name="Header2 2 2 3 2 11" xfId="33518"/>
    <cellStyle name="Header2 2 2 3 2 2" xfId="29307"/>
    <cellStyle name="Header2 2 2 3 2 2 2" xfId="38061"/>
    <cellStyle name="Header2 2 2 3 2 3" xfId="29717"/>
    <cellStyle name="Header2 2 2 3 2 3 2" xfId="38471"/>
    <cellStyle name="Header2 2 2 3 2 4" xfId="30137"/>
    <cellStyle name="Header2 2 2 3 2 4 2" xfId="38891"/>
    <cellStyle name="Header2 2 2 3 2 5" xfId="30553"/>
    <cellStyle name="Header2 2 2 3 2 5 2" xfId="39307"/>
    <cellStyle name="Header2 2 2 3 2 6" xfId="30954"/>
    <cellStyle name="Header2 2 2 3 2 6 2" xfId="39708"/>
    <cellStyle name="Header2 2 2 3 2 7" xfId="31340"/>
    <cellStyle name="Header2 2 2 3 2 7 2" xfId="40094"/>
    <cellStyle name="Header2 2 2 3 2 8" xfId="31716"/>
    <cellStyle name="Header2 2 2 3 2 8 2" xfId="40470"/>
    <cellStyle name="Header2 2 2 3 2 9" xfId="32082"/>
    <cellStyle name="Header2 2 2 3 2 9 2" xfId="40836"/>
    <cellStyle name="Header2 2 2 3 3" xfId="28803"/>
    <cellStyle name="Header2 2 2 3 3 2" xfId="37559"/>
    <cellStyle name="Header2 2 2 3 4" xfId="1721"/>
    <cellStyle name="Header2 2 2 3 4 2" xfId="32532"/>
    <cellStyle name="Header2 2 2 3 5" xfId="25674"/>
    <cellStyle name="Header2 2 2 3 5 2" xfId="34441"/>
    <cellStyle name="Header2 2 2 3 6" xfId="27020"/>
    <cellStyle name="Header2 2 2 3 6 2" xfId="35780"/>
    <cellStyle name="Header2 2 2 3 7" xfId="25410"/>
    <cellStyle name="Header2 2 2 3 7 2" xfId="34179"/>
    <cellStyle name="Header2 2 2 3 8" xfId="28121"/>
    <cellStyle name="Header2 2 2 3 8 2" xfId="36880"/>
    <cellStyle name="Header2 2 2 3 9" xfId="26749"/>
    <cellStyle name="Header2 2 2 3 9 2" xfId="35511"/>
    <cellStyle name="Header2 2 2 4" xfId="26970"/>
    <cellStyle name="Header2 2 2 4 2" xfId="35730"/>
    <cellStyle name="Header2 2 2 5" xfId="27506"/>
    <cellStyle name="Header2 2 2 5 2" xfId="36266"/>
    <cellStyle name="Header2 2 2 6" xfId="1680"/>
    <cellStyle name="Header2 2 2 6 2" xfId="32493"/>
    <cellStyle name="Header2 2 2 7" xfId="28209"/>
    <cellStyle name="Header2 2 2 7 2" xfId="36968"/>
    <cellStyle name="Header2 2 2 8" xfId="25638"/>
    <cellStyle name="Header2 2 2 8 2" xfId="34405"/>
    <cellStyle name="Header2 2 2 9" xfId="26234"/>
    <cellStyle name="Header2 2 2 9 2" xfId="35000"/>
    <cellStyle name="Header2 2 3" xfId="24924"/>
    <cellStyle name="Header2 2 3 2" xfId="33698"/>
    <cellStyle name="Header2 2 4" xfId="25770"/>
    <cellStyle name="Header2 2 4 2" xfId="34537"/>
    <cellStyle name="Header2 2 5" xfId="25260"/>
    <cellStyle name="Header2 2 5 2" xfId="34030"/>
    <cellStyle name="Header2 2 6" xfId="26762"/>
    <cellStyle name="Header2 2 6 2" xfId="35524"/>
    <cellStyle name="Header2 2 7" xfId="26422"/>
    <cellStyle name="Header2 2 7 2" xfId="35187"/>
    <cellStyle name="Header2 2 8" xfId="24780"/>
    <cellStyle name="Header2 2 8 2" xfId="33556"/>
    <cellStyle name="Header2 2 9" xfId="25927"/>
    <cellStyle name="Header2 2 9 2" xfId="34693"/>
    <cellStyle name="Header2 3" xfId="875"/>
    <cellStyle name="Header2 3 10" xfId="27066"/>
    <cellStyle name="Header2 3 10 2" xfId="35826"/>
    <cellStyle name="Header2 3 11" xfId="25069"/>
    <cellStyle name="Header2 3 11 2" xfId="33843"/>
    <cellStyle name="Header2 3 12" xfId="26334"/>
    <cellStyle name="Header2 3 12 2" xfId="35100"/>
    <cellStyle name="Header2 3 13" xfId="43293"/>
    <cellStyle name="Header2 3 2" xfId="1135"/>
    <cellStyle name="Header2 3 2 10" xfId="24995"/>
    <cellStyle name="Header2 3 2 10 2" xfId="33769"/>
    <cellStyle name="Header2 3 2 11" xfId="30161"/>
    <cellStyle name="Header2 3 2 11 2" xfId="38915"/>
    <cellStyle name="Header2 3 2 12" xfId="43294"/>
    <cellStyle name="Header2 3 2 2" xfId="9456"/>
    <cellStyle name="Header2 3 2 2 10" xfId="27112"/>
    <cellStyle name="Header2 3 2 2 10 2" xfId="35872"/>
    <cellStyle name="Header2 3 2 2 11" xfId="25859"/>
    <cellStyle name="Header2 3 2 2 11 2" xfId="34625"/>
    <cellStyle name="Header2 3 2 2 12" xfId="32804"/>
    <cellStyle name="Header2 3 2 2 13" xfId="43295"/>
    <cellStyle name="Header2 3 2 2 2" xfId="18285"/>
    <cellStyle name="Header2 3 2 2 2 10" xfId="27800"/>
    <cellStyle name="Header2 3 2 2 2 10 2" xfId="36560"/>
    <cellStyle name="Header2 3 2 2 2 11" xfId="27399"/>
    <cellStyle name="Header2 3 2 2 2 11 2" xfId="36159"/>
    <cellStyle name="Header2 3 2 2 2 12" xfId="33029"/>
    <cellStyle name="Header2 3 2 2 2 13" xfId="43245"/>
    <cellStyle name="Header2 3 2 2 2 14" xfId="43296"/>
    <cellStyle name="Header2 3 2 2 2 2" xfId="24555"/>
    <cellStyle name="Header2 3 2 2 2 2 10" xfId="32308"/>
    <cellStyle name="Header2 3 2 2 2 2 10 2" xfId="41062"/>
    <cellStyle name="Header2 3 2 2 2 2 11" xfId="33383"/>
    <cellStyle name="Header2 3 2 2 2 2 2" xfId="29163"/>
    <cellStyle name="Header2 3 2 2 2 2 2 2" xfId="37917"/>
    <cellStyle name="Header2 3 2 2 2 2 3" xfId="29576"/>
    <cellStyle name="Header2 3 2 2 2 2 3 2" xfId="38330"/>
    <cellStyle name="Header2 3 2 2 2 2 4" xfId="29996"/>
    <cellStyle name="Header2 3 2 2 2 2 4 2" xfId="38750"/>
    <cellStyle name="Header2 3 2 2 2 2 5" xfId="30415"/>
    <cellStyle name="Header2 3 2 2 2 2 5 2" xfId="39169"/>
    <cellStyle name="Header2 3 2 2 2 2 6" xfId="30816"/>
    <cellStyle name="Header2 3 2 2 2 2 6 2" xfId="39570"/>
    <cellStyle name="Header2 3 2 2 2 2 7" xfId="31202"/>
    <cellStyle name="Header2 3 2 2 2 2 7 2" xfId="39956"/>
    <cellStyle name="Header2 3 2 2 2 2 8" xfId="31580"/>
    <cellStyle name="Header2 3 2 2 2 2 8 2" xfId="40334"/>
    <cellStyle name="Header2 3 2 2 2 2 9" xfId="31946"/>
    <cellStyle name="Header2 3 2 2 2 2 9 2" xfId="40700"/>
    <cellStyle name="Header2 3 2 2 2 3" xfId="27775"/>
    <cellStyle name="Header2 3 2 2 2 3 2" xfId="36535"/>
    <cellStyle name="Header2 3 2 2 2 4" xfId="27920"/>
    <cellStyle name="Header2 3 2 2 2 4 2" xfId="36680"/>
    <cellStyle name="Header2 3 2 2 2 5" xfId="28297"/>
    <cellStyle name="Header2 3 2 2 2 5 2" xfId="37056"/>
    <cellStyle name="Header2 3 2 2 2 6" xfId="28442"/>
    <cellStyle name="Header2 3 2 2 2 6 2" xfId="37199"/>
    <cellStyle name="Header2 3 2 2 2 7" xfId="28866"/>
    <cellStyle name="Header2 3 2 2 2 7 2" xfId="37622"/>
    <cellStyle name="Header2 3 2 2 2 8" xfId="26738"/>
    <cellStyle name="Header2 3 2 2 2 8 2" xfId="35501"/>
    <cellStyle name="Header2 3 2 2 2 9" xfId="26632"/>
    <cellStyle name="Header2 3 2 2 2 9 2" xfId="35397"/>
    <cellStyle name="Header2 3 2 2 3" xfId="23696"/>
    <cellStyle name="Header2 3 2 2 3 10" xfId="28941"/>
    <cellStyle name="Header2 3 2 2 3 10 2" xfId="37696"/>
    <cellStyle name="Header2 3 2 2 3 11" xfId="1775"/>
    <cellStyle name="Header2 3 2 2 3 11 2" xfId="32583"/>
    <cellStyle name="Header2 3 2 2 3 12" xfId="33166"/>
    <cellStyle name="Header2 3 2 2 3 2" xfId="24751"/>
    <cellStyle name="Header2 3 2 2 3 2 10" xfId="32452"/>
    <cellStyle name="Header2 3 2 2 3 2 10 2" xfId="41206"/>
    <cellStyle name="Header2 3 2 2 3 2 11" xfId="33527"/>
    <cellStyle name="Header2 3 2 2 3 2 2" xfId="29316"/>
    <cellStyle name="Header2 3 2 2 3 2 2 2" xfId="38070"/>
    <cellStyle name="Header2 3 2 2 3 2 3" xfId="29726"/>
    <cellStyle name="Header2 3 2 2 3 2 3 2" xfId="38480"/>
    <cellStyle name="Header2 3 2 2 3 2 4" xfId="30146"/>
    <cellStyle name="Header2 3 2 2 3 2 4 2" xfId="38900"/>
    <cellStyle name="Header2 3 2 2 3 2 5" xfId="30562"/>
    <cellStyle name="Header2 3 2 2 3 2 5 2" xfId="39316"/>
    <cellStyle name="Header2 3 2 2 3 2 6" xfId="30963"/>
    <cellStyle name="Header2 3 2 2 3 2 6 2" xfId="39717"/>
    <cellStyle name="Header2 3 2 2 3 2 7" xfId="31349"/>
    <cellStyle name="Header2 3 2 2 3 2 7 2" xfId="40103"/>
    <cellStyle name="Header2 3 2 2 3 2 8" xfId="31725"/>
    <cellStyle name="Header2 3 2 2 3 2 8 2" xfId="40479"/>
    <cellStyle name="Header2 3 2 2 3 2 9" xfId="32091"/>
    <cellStyle name="Header2 3 2 2 3 2 9 2" xfId="40845"/>
    <cellStyle name="Header2 3 2 2 3 3" xfId="28812"/>
    <cellStyle name="Header2 3 2 2 3 3 2" xfId="37568"/>
    <cellStyle name="Header2 3 2 2 3 4" xfId="25052"/>
    <cellStyle name="Header2 3 2 2 3 4 2" xfId="33826"/>
    <cellStyle name="Header2 3 2 2 3 5" xfId="27546"/>
    <cellStyle name="Header2 3 2 2 3 5 2" xfId="36306"/>
    <cellStyle name="Header2 3 2 2 3 6" xfId="24824"/>
    <cellStyle name="Header2 3 2 2 3 6 2" xfId="33599"/>
    <cellStyle name="Header2 3 2 2 3 7" xfId="28383"/>
    <cellStyle name="Header2 3 2 2 3 7 2" xfId="37141"/>
    <cellStyle name="Header2 3 2 2 3 8" xfId="26378"/>
    <cellStyle name="Header2 3 2 2 3 8 2" xfId="35144"/>
    <cellStyle name="Header2 3 2 2 3 9" xfId="27179"/>
    <cellStyle name="Header2 3 2 2 3 9 2" xfId="35939"/>
    <cellStyle name="Header2 3 2 2 4" xfId="26618"/>
    <cellStyle name="Header2 3 2 2 4 2" xfId="35383"/>
    <cellStyle name="Header2 3 2 2 5" xfId="28201"/>
    <cellStyle name="Header2 3 2 2 5 2" xfId="36960"/>
    <cellStyle name="Header2 3 2 2 6" xfId="27010"/>
    <cellStyle name="Header2 3 2 2 6 2" xfId="35770"/>
    <cellStyle name="Header2 3 2 2 7" xfId="27826"/>
    <cellStyle name="Header2 3 2 2 7 2" xfId="36586"/>
    <cellStyle name="Header2 3 2 2 8" xfId="25805"/>
    <cellStyle name="Header2 3 2 2 8 2" xfId="34572"/>
    <cellStyle name="Header2 3 2 2 9" xfId="27845"/>
    <cellStyle name="Header2 3 2 2 9 2" xfId="36605"/>
    <cellStyle name="Header2 3 2 3" xfId="24963"/>
    <cellStyle name="Header2 3 2 3 2" xfId="33737"/>
    <cellStyle name="Header2 3 2 4" xfId="28237"/>
    <cellStyle name="Header2 3 2 4 2" xfId="36996"/>
    <cellStyle name="Header2 3 2 5" xfId="28396"/>
    <cellStyle name="Header2 3 2 5 2" xfId="37153"/>
    <cellStyle name="Header2 3 2 6" xfId="25802"/>
    <cellStyle name="Header2 3 2 6 2" xfId="34569"/>
    <cellStyle name="Header2 3 2 7" xfId="27475"/>
    <cellStyle name="Header2 3 2 7 2" xfId="36235"/>
    <cellStyle name="Header2 3 2 8" xfId="27359"/>
    <cellStyle name="Header2 3 2 8 2" xfId="36119"/>
    <cellStyle name="Header2 3 2 9" xfId="24905"/>
    <cellStyle name="Header2 3 2 9 2" xfId="33679"/>
    <cellStyle name="Header2 3 3" xfId="9446"/>
    <cellStyle name="Header2 3 3 10" xfId="26973"/>
    <cellStyle name="Header2 3 3 10 2" xfId="35733"/>
    <cellStyle name="Header2 3 3 11" xfId="26938"/>
    <cellStyle name="Header2 3 3 11 2" xfId="35698"/>
    <cellStyle name="Header2 3 3 12" xfId="32797"/>
    <cellStyle name="Header2 3 3 13" xfId="43297"/>
    <cellStyle name="Header2 3 3 2" xfId="18278"/>
    <cellStyle name="Header2 3 3 2 10" xfId="28423"/>
    <cellStyle name="Header2 3 3 2 10 2" xfId="37180"/>
    <cellStyle name="Header2 3 3 2 11" xfId="25958"/>
    <cellStyle name="Header2 3 3 2 11 2" xfId="34724"/>
    <cellStyle name="Header2 3 3 2 12" xfId="33022"/>
    <cellStyle name="Header2 3 3 2 13" xfId="43246"/>
    <cellStyle name="Header2 3 3 2 14" xfId="43298"/>
    <cellStyle name="Header2 3 3 2 2" xfId="24548"/>
    <cellStyle name="Header2 3 3 2 2 10" xfId="32301"/>
    <cellStyle name="Header2 3 3 2 2 10 2" xfId="41055"/>
    <cellStyle name="Header2 3 3 2 2 11" xfId="33376"/>
    <cellStyle name="Header2 3 3 2 2 2" xfId="29156"/>
    <cellStyle name="Header2 3 3 2 2 2 2" xfId="37910"/>
    <cellStyle name="Header2 3 3 2 2 3" xfId="29569"/>
    <cellStyle name="Header2 3 3 2 2 3 2" xfId="38323"/>
    <cellStyle name="Header2 3 3 2 2 4" xfId="29989"/>
    <cellStyle name="Header2 3 3 2 2 4 2" xfId="38743"/>
    <cellStyle name="Header2 3 3 2 2 5" xfId="30408"/>
    <cellStyle name="Header2 3 3 2 2 5 2" xfId="39162"/>
    <cellStyle name="Header2 3 3 2 2 6" xfId="30809"/>
    <cellStyle name="Header2 3 3 2 2 6 2" xfId="39563"/>
    <cellStyle name="Header2 3 3 2 2 7" xfId="31195"/>
    <cellStyle name="Header2 3 3 2 2 7 2" xfId="39949"/>
    <cellStyle name="Header2 3 3 2 2 8" xfId="31573"/>
    <cellStyle name="Header2 3 3 2 2 8 2" xfId="40327"/>
    <cellStyle name="Header2 3 3 2 2 9" xfId="31939"/>
    <cellStyle name="Header2 3 3 2 2 9 2" xfId="40693"/>
    <cellStyle name="Header2 3 3 2 3" xfId="27768"/>
    <cellStyle name="Header2 3 3 2 3 2" xfId="36528"/>
    <cellStyle name="Header2 3 3 2 4" xfId="26270"/>
    <cellStyle name="Header2 3 3 2 4 2" xfId="35036"/>
    <cellStyle name="Header2 3 3 2 5" xfId="27469"/>
    <cellStyle name="Header2 3 3 2 5 2" xfId="36229"/>
    <cellStyle name="Header2 3 3 2 6" xfId="28925"/>
    <cellStyle name="Header2 3 3 2 6 2" xfId="37680"/>
    <cellStyle name="Header2 3 3 2 7" xfId="1770"/>
    <cellStyle name="Header2 3 3 2 7 2" xfId="32578"/>
    <cellStyle name="Header2 3 3 2 8" xfId="25159"/>
    <cellStyle name="Header2 3 3 2 8 2" xfId="33930"/>
    <cellStyle name="Header2 3 3 2 9" xfId="26071"/>
    <cellStyle name="Header2 3 3 2 9 2" xfId="34837"/>
    <cellStyle name="Header2 3 3 3" xfId="23689"/>
    <cellStyle name="Header2 3 3 3 10" xfId="28675"/>
    <cellStyle name="Header2 3 3 3 10 2" xfId="37431"/>
    <cellStyle name="Header2 3 3 3 11" xfId="27406"/>
    <cellStyle name="Header2 3 3 3 11 2" xfId="36166"/>
    <cellStyle name="Header2 3 3 3 12" xfId="33159"/>
    <cellStyle name="Header2 3 3 3 2" xfId="24744"/>
    <cellStyle name="Header2 3 3 3 2 10" xfId="32445"/>
    <cellStyle name="Header2 3 3 3 2 10 2" xfId="41199"/>
    <cellStyle name="Header2 3 3 3 2 11" xfId="33520"/>
    <cellStyle name="Header2 3 3 3 2 2" xfId="29309"/>
    <cellStyle name="Header2 3 3 3 2 2 2" xfId="38063"/>
    <cellStyle name="Header2 3 3 3 2 3" xfId="29719"/>
    <cellStyle name="Header2 3 3 3 2 3 2" xfId="38473"/>
    <cellStyle name="Header2 3 3 3 2 4" xfId="30139"/>
    <cellStyle name="Header2 3 3 3 2 4 2" xfId="38893"/>
    <cellStyle name="Header2 3 3 3 2 5" xfId="30555"/>
    <cellStyle name="Header2 3 3 3 2 5 2" xfId="39309"/>
    <cellStyle name="Header2 3 3 3 2 6" xfId="30956"/>
    <cellStyle name="Header2 3 3 3 2 6 2" xfId="39710"/>
    <cellStyle name="Header2 3 3 3 2 7" xfId="31342"/>
    <cellStyle name="Header2 3 3 3 2 7 2" xfId="40096"/>
    <cellStyle name="Header2 3 3 3 2 8" xfId="31718"/>
    <cellStyle name="Header2 3 3 3 2 8 2" xfId="40472"/>
    <cellStyle name="Header2 3 3 3 2 9" xfId="32084"/>
    <cellStyle name="Header2 3 3 3 2 9 2" xfId="40838"/>
    <cellStyle name="Header2 3 3 3 3" xfId="28805"/>
    <cellStyle name="Header2 3 3 3 3 2" xfId="37561"/>
    <cellStyle name="Header2 3 3 3 4" xfId="25056"/>
    <cellStyle name="Header2 3 3 3 4 2" xfId="33830"/>
    <cellStyle name="Header2 3 3 3 5" xfId="25352"/>
    <cellStyle name="Header2 3 3 3 5 2" xfId="34121"/>
    <cellStyle name="Header2 3 3 3 6" xfId="27889"/>
    <cellStyle name="Header2 3 3 3 6 2" xfId="36649"/>
    <cellStyle name="Header2 3 3 3 7" xfId="26327"/>
    <cellStyle name="Header2 3 3 3 7 2" xfId="35093"/>
    <cellStyle name="Header2 3 3 3 8" xfId="24953"/>
    <cellStyle name="Header2 3 3 3 8 2" xfId="33727"/>
    <cellStyle name="Header2 3 3 3 9" xfId="1713"/>
    <cellStyle name="Header2 3 3 3 9 2" xfId="32525"/>
    <cellStyle name="Header2 3 3 4" xfId="28548"/>
    <cellStyle name="Header2 3 3 4 2" xfId="37304"/>
    <cellStyle name="Header2 3 3 5" xfId="25729"/>
    <cellStyle name="Header2 3 3 5 2" xfId="34496"/>
    <cellStyle name="Header2 3 3 6" xfId="26465"/>
    <cellStyle name="Header2 3 3 6 2" xfId="35230"/>
    <cellStyle name="Header2 3 3 7" xfId="25751"/>
    <cellStyle name="Header2 3 3 7 2" xfId="34518"/>
    <cellStyle name="Header2 3 3 8" xfId="27907"/>
    <cellStyle name="Header2 3 3 8 2" xfId="36667"/>
    <cellStyle name="Header2 3 3 9" xfId="29777"/>
    <cellStyle name="Header2 3 3 9 2" xfId="38531"/>
    <cellStyle name="Header2 3 4" xfId="24925"/>
    <cellStyle name="Header2 3 4 2" xfId="33699"/>
    <cellStyle name="Header2 3 5" xfId="27093"/>
    <cellStyle name="Header2 3 5 2" xfId="35853"/>
    <cellStyle name="Header2 3 6" xfId="28272"/>
    <cellStyle name="Header2 3 6 2" xfId="37031"/>
    <cellStyle name="Header2 3 7" xfId="26790"/>
    <cellStyle name="Header2 3 7 2" xfId="35552"/>
    <cellStyle name="Header2 3 8" xfId="25403"/>
    <cellStyle name="Header2 3 8 2" xfId="34172"/>
    <cellStyle name="Header2 3 9" xfId="26717"/>
    <cellStyle name="Header2 3 9 2" xfId="35480"/>
    <cellStyle name="Header2 4" xfId="6049"/>
    <cellStyle name="Header2 4 2" xfId="18181"/>
    <cellStyle name="Header2 4 2 10" xfId="25956"/>
    <cellStyle name="Header2 4 2 10 2" xfId="34722"/>
    <cellStyle name="Header2 4 2 11" xfId="26769"/>
    <cellStyle name="Header2 4 2 11 2" xfId="35531"/>
    <cellStyle name="Header2 4 2 12" xfId="32925"/>
    <cellStyle name="Header2 4 2 13" xfId="43247"/>
    <cellStyle name="Header2 4 2 14" xfId="43299"/>
    <cellStyle name="Header2 4 2 2" xfId="24451"/>
    <cellStyle name="Header2 4 2 2 10" xfId="32204"/>
    <cellStyle name="Header2 4 2 2 10 2" xfId="40958"/>
    <cellStyle name="Header2 4 2 2 11" xfId="33279"/>
    <cellStyle name="Header2 4 2 2 2" xfId="29059"/>
    <cellStyle name="Header2 4 2 2 2 2" xfId="37813"/>
    <cellStyle name="Header2 4 2 2 3" xfId="29472"/>
    <cellStyle name="Header2 4 2 2 3 2" xfId="38226"/>
    <cellStyle name="Header2 4 2 2 4" xfId="29892"/>
    <cellStyle name="Header2 4 2 2 4 2" xfId="38646"/>
    <cellStyle name="Header2 4 2 2 5" xfId="30311"/>
    <cellStyle name="Header2 4 2 2 5 2" xfId="39065"/>
    <cellStyle name="Header2 4 2 2 6" xfId="30712"/>
    <cellStyle name="Header2 4 2 2 6 2" xfId="39466"/>
    <cellStyle name="Header2 4 2 2 7" xfId="31098"/>
    <cellStyle name="Header2 4 2 2 7 2" xfId="39852"/>
    <cellStyle name="Header2 4 2 2 8" xfId="31476"/>
    <cellStyle name="Header2 4 2 2 8 2" xfId="40230"/>
    <cellStyle name="Header2 4 2 2 9" xfId="31842"/>
    <cellStyle name="Header2 4 2 2 9 2" xfId="40596"/>
    <cellStyle name="Header2 4 2 3" xfId="27671"/>
    <cellStyle name="Header2 4 2 3 2" xfId="36431"/>
    <cellStyle name="Header2 4 2 4" xfId="27930"/>
    <cellStyle name="Header2 4 2 4 2" xfId="36690"/>
    <cellStyle name="Header2 4 2 5" xfId="28010"/>
    <cellStyle name="Header2 4 2 5 2" xfId="36769"/>
    <cellStyle name="Header2 4 2 6" xfId="27893"/>
    <cellStyle name="Header2 4 2 6 2" xfId="36653"/>
    <cellStyle name="Header2 4 2 7" xfId="27152"/>
    <cellStyle name="Header2 4 2 7 2" xfId="35912"/>
    <cellStyle name="Header2 4 2 8" xfId="26647"/>
    <cellStyle name="Header2 4 2 8 2" xfId="35412"/>
    <cellStyle name="Header2 4 2 9" xfId="26534"/>
    <cellStyle name="Header2 4 2 9 2" xfId="35299"/>
    <cellStyle name="Header2 4 3" xfId="23623"/>
    <cellStyle name="Header2 4 3 10" xfId="28248"/>
    <cellStyle name="Header2 4 3 10 2" xfId="37007"/>
    <cellStyle name="Header2 4 3 11" xfId="28477"/>
    <cellStyle name="Header2 4 3 11 2" xfId="37234"/>
    <cellStyle name="Header2 4 3 12" xfId="33093"/>
    <cellStyle name="Header2 4 3 2" xfId="24678"/>
    <cellStyle name="Header2 4 3 2 10" xfId="32379"/>
    <cellStyle name="Header2 4 3 2 10 2" xfId="41133"/>
    <cellStyle name="Header2 4 3 2 11" xfId="33454"/>
    <cellStyle name="Header2 4 3 2 2" xfId="29243"/>
    <cellStyle name="Header2 4 3 2 2 2" xfId="37997"/>
    <cellStyle name="Header2 4 3 2 3" xfId="29653"/>
    <cellStyle name="Header2 4 3 2 3 2" xfId="38407"/>
    <cellStyle name="Header2 4 3 2 4" xfId="30073"/>
    <cellStyle name="Header2 4 3 2 4 2" xfId="38827"/>
    <cellStyle name="Header2 4 3 2 5" xfId="30489"/>
    <cellStyle name="Header2 4 3 2 5 2" xfId="39243"/>
    <cellStyle name="Header2 4 3 2 6" xfId="30890"/>
    <cellStyle name="Header2 4 3 2 6 2" xfId="39644"/>
    <cellStyle name="Header2 4 3 2 7" xfId="31276"/>
    <cellStyle name="Header2 4 3 2 7 2" xfId="40030"/>
    <cellStyle name="Header2 4 3 2 8" xfId="31652"/>
    <cellStyle name="Header2 4 3 2 8 2" xfId="40406"/>
    <cellStyle name="Header2 4 3 2 9" xfId="32018"/>
    <cellStyle name="Header2 4 3 2 9 2" xfId="40772"/>
    <cellStyle name="Header2 4 3 3" xfId="28739"/>
    <cellStyle name="Header2 4 3 3 2" xfId="37495"/>
    <cellStyle name="Header2 4 3 4" xfId="24912"/>
    <cellStyle name="Header2 4 3 4 2" xfId="33686"/>
    <cellStyle name="Header2 4 3 5" xfId="28439"/>
    <cellStyle name="Header2 4 3 5 2" xfId="37196"/>
    <cellStyle name="Header2 4 3 6" xfId="25018"/>
    <cellStyle name="Header2 4 3 6 2" xfId="33792"/>
    <cellStyle name="Header2 4 3 7" xfId="26782"/>
    <cellStyle name="Header2 4 3 7 2" xfId="35544"/>
    <cellStyle name="Header2 4 3 8" xfId="28067"/>
    <cellStyle name="Header2 4 3 8 2" xfId="36826"/>
    <cellStyle name="Header2 4 3 9" xfId="26163"/>
    <cellStyle name="Header2 4 3 9 2" xfId="34929"/>
    <cellStyle name="Header2 4 4" xfId="24373"/>
    <cellStyle name="Header2 4 4 10" xfId="32152"/>
    <cellStyle name="Header2 4 4 10 2" xfId="40906"/>
    <cellStyle name="Header2 4 4 11" xfId="33227"/>
    <cellStyle name="Header2 4 4 2" xfId="29004"/>
    <cellStyle name="Header2 4 4 2 2" xfId="37758"/>
    <cellStyle name="Header2 4 4 3" xfId="29417"/>
    <cellStyle name="Header2 4 4 3 2" xfId="38171"/>
    <cellStyle name="Header2 4 4 4" xfId="29840"/>
    <cellStyle name="Header2 4 4 4 2" xfId="38594"/>
    <cellStyle name="Header2 4 4 5" xfId="30255"/>
    <cellStyle name="Header2 4 4 5 2" xfId="39009"/>
    <cellStyle name="Header2 4 4 6" xfId="30656"/>
    <cellStyle name="Header2 4 4 6 2" xfId="39410"/>
    <cellStyle name="Header2 4 4 7" xfId="31043"/>
    <cellStyle name="Header2 4 4 7 2" xfId="39797"/>
    <cellStyle name="Header2 4 4 8" xfId="31422"/>
    <cellStyle name="Header2 4 4 8 2" xfId="40176"/>
    <cellStyle name="Header2 4 4 9" xfId="31790"/>
    <cellStyle name="Header2 4 4 9 2" xfId="40544"/>
    <cellStyle name="Header2 4 5" xfId="32721"/>
    <cellStyle name="Header2 5" xfId="41630"/>
    <cellStyle name="Header2 5 2" xfId="43248"/>
    <cellStyle name="Header2 5 3" xfId="43300"/>
    <cellStyle name="Header2 5 4" xfId="43385"/>
    <cellStyle name="Header2 5 5" xfId="43822"/>
    <cellStyle name="Heading" xfId="399"/>
    <cellStyle name="Heading 1" xfId="19" builtinId="16" customBuiltin="1"/>
    <cellStyle name="Heading 1 2" xfId="82"/>
    <cellStyle name="Heading 1 2 2" xfId="907"/>
    <cellStyle name="Heading 1 2 2 2" xfId="41631"/>
    <cellStyle name="Heading 1 2 2 3" xfId="41632"/>
    <cellStyle name="Heading 1 2 3" xfId="976"/>
    <cellStyle name="Heading 1 2 4" xfId="1288"/>
    <cellStyle name="Heading 1 2 5" xfId="43089"/>
    <cellStyle name="Heading 1 2 6" xfId="44203"/>
    <cellStyle name="Heading 1 2 7" xfId="400"/>
    <cellStyle name="Heading 1 3" xfId="275"/>
    <cellStyle name="Heading 1 3 2" xfId="906"/>
    <cellStyle name="Heading 1 3 2 2" xfId="2807"/>
    <cellStyle name="Heading 1 3 2 3" xfId="23819"/>
    <cellStyle name="Heading 1 3 2 4" xfId="2105"/>
    <cellStyle name="Heading 1 3 3" xfId="4450"/>
    <cellStyle name="Heading 1 3 4" xfId="44141"/>
    <cellStyle name="Heading 1 4" xfId="1093"/>
    <cellStyle name="Heading 1 4 2" xfId="1136"/>
    <cellStyle name="Heading 1 4 3" xfId="4451"/>
    <cellStyle name="Heading 1 4 3 2" xfId="41633"/>
    <cellStyle name="Heading 1 4 4" xfId="6050"/>
    <cellStyle name="Heading 1 5" xfId="1185"/>
    <cellStyle name="Heading 1 6" xfId="9596"/>
    <cellStyle name="Heading 1 7" xfId="42966"/>
    <cellStyle name="Heading 2" xfId="20" builtinId="17" customBuiltin="1"/>
    <cellStyle name="Heading 2 2" xfId="83"/>
    <cellStyle name="Heading 2 2 2" xfId="909"/>
    <cellStyle name="Heading 2 2 2 2" xfId="41634"/>
    <cellStyle name="Heading 2 2 2 3" xfId="41635"/>
    <cellStyle name="Heading 2 2 3" xfId="977"/>
    <cellStyle name="Heading 2 2 4" xfId="1289"/>
    <cellStyle name="Heading 2 2 5" xfId="43088"/>
    <cellStyle name="Heading 2 2 6" xfId="44204"/>
    <cellStyle name="Heading 2 2 7" xfId="401"/>
    <cellStyle name="Heading 2 3" xfId="276"/>
    <cellStyle name="Heading 2 3 2" xfId="908"/>
    <cellStyle name="Heading 2 3 2 2" xfId="2808"/>
    <cellStyle name="Heading 2 3 2 3" xfId="23820"/>
    <cellStyle name="Heading 2 3 2 4" xfId="2106"/>
    <cellStyle name="Heading 2 3 3" xfId="4452"/>
    <cellStyle name="Heading 2 3 4" xfId="44142"/>
    <cellStyle name="Heading 2 4" xfId="1094"/>
    <cellStyle name="Heading 2 4 2" xfId="1137"/>
    <cellStyle name="Heading 2 4 3" xfId="4453"/>
    <cellStyle name="Heading 2 4 3 2" xfId="41636"/>
    <cellStyle name="Heading 2 4 4" xfId="6051"/>
    <cellStyle name="Heading 2 5" xfId="1186"/>
    <cellStyle name="Heading 2 6" xfId="9597"/>
    <cellStyle name="Heading 2 7" xfId="42967"/>
    <cellStyle name="Heading 3" xfId="21" builtinId="18" customBuiltin="1"/>
    <cellStyle name="Heading 3 2" xfId="84"/>
    <cellStyle name="Heading 3 2 2" xfId="978"/>
    <cellStyle name="Heading 3 2 2 2" xfId="41637"/>
    <cellStyle name="Heading 3 2 3" xfId="41638"/>
    <cellStyle name="Heading 3 2 4" xfId="43087"/>
    <cellStyle name="Heading 3 2 5" xfId="44205"/>
    <cellStyle name="Heading 3 2 6" xfId="277"/>
    <cellStyle name="Heading 3 3" xfId="910"/>
    <cellStyle name="Heading 3 3 2" xfId="4454"/>
    <cellStyle name="Heading 3 3 2 2" xfId="41640"/>
    <cellStyle name="Heading 3 3 2 3" xfId="41639"/>
    <cellStyle name="Heading 3 3 3" xfId="6052"/>
    <cellStyle name="Heading 3 3 4" xfId="44143"/>
    <cellStyle name="Heading 3 4" xfId="9598"/>
    <cellStyle name="Heading 3 5" xfId="41641"/>
    <cellStyle name="Heading 3 6" xfId="42968"/>
    <cellStyle name="Heading 4" xfId="22" builtinId="19" customBuiltin="1"/>
    <cellStyle name="Heading 4 2" xfId="85"/>
    <cellStyle name="Heading 4 2 2" xfId="979"/>
    <cellStyle name="Heading 4 2 3" xfId="43086"/>
    <cellStyle name="Heading 4 2 4" xfId="44206"/>
    <cellStyle name="Heading 4 2 5" xfId="278"/>
    <cellStyle name="Heading 4 3" xfId="911"/>
    <cellStyle name="Heading 4 3 2" xfId="4455"/>
    <cellStyle name="Heading 4 3 2 2" xfId="41642"/>
    <cellStyle name="Heading 4 3 3" xfId="6053"/>
    <cellStyle name="Heading 4 3 4" xfId="44144"/>
    <cellStyle name="Heading 4 4" xfId="9599"/>
    <cellStyle name="Heading 4 5" xfId="42969"/>
    <cellStyle name="Heading 5" xfId="402"/>
    <cellStyle name="Heading 5 2" xfId="1028"/>
    <cellStyle name="Heading 5 2 2" xfId="3108"/>
    <cellStyle name="Heading 5 2 2 2" xfId="4456"/>
    <cellStyle name="Heading 5 2 2 2 2" xfId="41644"/>
    <cellStyle name="Heading 5 2 2 2 3" xfId="41643"/>
    <cellStyle name="Heading 5 2 2 3" xfId="12920"/>
    <cellStyle name="Heading 6" xfId="403"/>
    <cellStyle name="Heading 6 2" xfId="1029"/>
    <cellStyle name="Heading 6 2 2" xfId="3107"/>
    <cellStyle name="Heading 6 2 2 2" xfId="4457"/>
    <cellStyle name="Heading 6 2 2 2 2" xfId="41646"/>
    <cellStyle name="Heading 6 2 2 2 3" xfId="41645"/>
    <cellStyle name="Heading 6 2 2 3" xfId="12919"/>
    <cellStyle name="Heading 6 2 3" xfId="4458"/>
    <cellStyle name="Heading 6 2 4" xfId="6159"/>
    <cellStyle name="Heading 6 2 4 2" xfId="15075"/>
    <cellStyle name="Heading 6 2 5" xfId="9547"/>
    <cellStyle name="Heading 6 3" xfId="41647"/>
    <cellStyle name="Heading 6 3 2" xfId="41648"/>
    <cellStyle name="Heading 6 4" xfId="41649"/>
    <cellStyle name="Heading 7" xfId="719"/>
    <cellStyle name="Heading 7 2" xfId="1027"/>
    <cellStyle name="Heading 7 2 2" xfId="3105"/>
    <cellStyle name="Heading 7 2 2 2" xfId="4459"/>
    <cellStyle name="Heading 7 2 2 2 2" xfId="41651"/>
    <cellStyle name="Heading 7 2 2 2 3" xfId="41650"/>
    <cellStyle name="Heading 7 2 2 3" xfId="12917"/>
    <cellStyle name="Heading 7 3" xfId="3106"/>
    <cellStyle name="Heading 7 3 2" xfId="4460"/>
    <cellStyle name="Heading 7 3 2 2" xfId="41653"/>
    <cellStyle name="Heading 7 3 2 3" xfId="41652"/>
    <cellStyle name="Heading 7 3 3" xfId="12918"/>
    <cellStyle name="Heading 7 4" xfId="4461"/>
    <cellStyle name="Heading 8" xfId="656"/>
    <cellStyle name="Heading 8 2" xfId="1138"/>
    <cellStyle name="Heading 8 2 2" xfId="41655"/>
    <cellStyle name="Heading 8 2 3" xfId="41654"/>
    <cellStyle name="Heading 8 3" xfId="4462"/>
    <cellStyle name="Heading 8 3 2" xfId="41656"/>
    <cellStyle name="Heading 8 4" xfId="6106"/>
    <cellStyle name="Heading 8 4 2" xfId="15059"/>
    <cellStyle name="Heading 9" xfId="41657"/>
    <cellStyle name="Heading 9 2" xfId="41658"/>
    <cellStyle name="Heading 9 2 2" xfId="41659"/>
    <cellStyle name="Heading No Underline" xfId="404"/>
    <cellStyle name="Heading No Underline 2" xfId="405"/>
    <cellStyle name="Heading No Underline 3" xfId="406"/>
    <cellStyle name="Heading No Underline 3 2" xfId="4463"/>
    <cellStyle name="Heading No Underline 4" xfId="720"/>
    <cellStyle name="Heading No Underline 5" xfId="657"/>
    <cellStyle name="Heading No Underline 6" xfId="41660"/>
    <cellStyle name="Heading With Underline" xfId="407"/>
    <cellStyle name="Heading With Underline 2" xfId="408"/>
    <cellStyle name="Heading With Underline 2 2" xfId="1030"/>
    <cellStyle name="Heading With Underline 2 2 2" xfId="1483"/>
    <cellStyle name="Heading With Underline 2 2 2 2" xfId="1615"/>
    <cellStyle name="Heading With Underline 2 2 2 2 2" xfId="4464"/>
    <cellStyle name="Heading With Underline 2 2 2 3" xfId="41661"/>
    <cellStyle name="Heading With Underline 2 2 3" xfId="1304"/>
    <cellStyle name="Heading With Underline 2 2 3 2" xfId="1609"/>
    <cellStyle name="Heading With Underline 2 2 3 2 2" xfId="4465"/>
    <cellStyle name="Heading With Underline 2 2 3 3" xfId="41662"/>
    <cellStyle name="Heading With Underline 2 2 4" xfId="3030"/>
    <cellStyle name="Heading With Underline 2 2 4 2" xfId="4466"/>
    <cellStyle name="Heading With Underline 2 2 5" xfId="4467"/>
    <cellStyle name="Heading With Underline 2 3" xfId="1290"/>
    <cellStyle name="Heading With Underline 2 3 2" xfId="1603"/>
    <cellStyle name="Heading With Underline 2 4" xfId="722"/>
    <cellStyle name="Heading With Underline 2 4 2" xfId="4468"/>
    <cellStyle name="Heading With Underline 2 5" xfId="41663"/>
    <cellStyle name="Heading With Underline 3" xfId="409"/>
    <cellStyle name="Heading With Underline 3 2" xfId="1031"/>
    <cellStyle name="Heading With Underline 3 2 2" xfId="1484"/>
    <cellStyle name="Heading With Underline 3 2 2 2" xfId="1616"/>
    <cellStyle name="Heading With Underline 3 2 2 2 2" xfId="4469"/>
    <cellStyle name="Heading With Underline 3 2 2 3" xfId="41664"/>
    <cellStyle name="Heading With Underline 3 2 3" xfId="1305"/>
    <cellStyle name="Heading With Underline 3 2 3 2" xfId="1610"/>
    <cellStyle name="Heading With Underline 3 2 3 2 2" xfId="4470"/>
    <cellStyle name="Heading With Underline 3 2 3 3" xfId="41665"/>
    <cellStyle name="Heading With Underline 3 2 4" xfId="3031"/>
    <cellStyle name="Heading With Underline 3 2 4 2" xfId="4471"/>
    <cellStyle name="Heading With Underline 3 2 5" xfId="4472"/>
    <cellStyle name="Heading With Underline 3 2 6" xfId="4473"/>
    <cellStyle name="Heading With Underline 3 2 7" xfId="6160"/>
    <cellStyle name="Heading With Underline 3 3" xfId="1291"/>
    <cellStyle name="Heading With Underline 3 3 2" xfId="1604"/>
    <cellStyle name="Heading With Underline 3 4" xfId="723"/>
    <cellStyle name="Heading With Underline 3 4 2" xfId="4474"/>
    <cellStyle name="Heading With Underline 3 5" xfId="41666"/>
    <cellStyle name="Heading With Underline 4" xfId="721"/>
    <cellStyle name="Heading With Underline 4 2" xfId="1482"/>
    <cellStyle name="Heading With Underline 4 2 2" xfId="1614"/>
    <cellStyle name="Heading With Underline 4 2 2 2" xfId="4475"/>
    <cellStyle name="Heading With Underline 4 2 3" xfId="41667"/>
    <cellStyle name="Heading With Underline 4 3" xfId="1303"/>
    <cellStyle name="Heading With Underline 4 3 2" xfId="1608"/>
    <cellStyle name="Heading With Underline 4 3 2 2" xfId="4476"/>
    <cellStyle name="Heading With Underline 4 3 3" xfId="41668"/>
    <cellStyle name="Heading With Underline 4 4" xfId="2799"/>
    <cellStyle name="Heading With Underline 4 4 2" xfId="4477"/>
    <cellStyle name="Heading With Underline 4 5" xfId="4478"/>
    <cellStyle name="Heading With Underline 5" xfId="658"/>
    <cellStyle name="Heading With Underline 5 2" xfId="2782"/>
    <cellStyle name="Heading With Underline 5 2 2" xfId="4479"/>
    <cellStyle name="Heading With Underline 5 3" xfId="4480"/>
    <cellStyle name="Heading With Underline 6" xfId="41669"/>
    <cellStyle name="Heading1" xfId="410"/>
    <cellStyle name="Heading1 10" xfId="9684"/>
    <cellStyle name="Heading1 10 10" xfId="28517"/>
    <cellStyle name="Heading1 10 10 2" xfId="37273"/>
    <cellStyle name="Heading1 10 11" xfId="32815"/>
    <cellStyle name="Heading1 10 12" xfId="41671"/>
    <cellStyle name="Heading1 10 13" xfId="43301"/>
    <cellStyle name="Heading1 10 14" xfId="43384"/>
    <cellStyle name="Heading1 10 15" xfId="43829"/>
    <cellStyle name="Heading1 10 2" xfId="26167"/>
    <cellStyle name="Heading1 10 2 2" xfId="34933"/>
    <cellStyle name="Heading1 10 3" xfId="28051"/>
    <cellStyle name="Heading1 10 3 2" xfId="36810"/>
    <cellStyle name="Heading1 10 4" xfId="25362"/>
    <cellStyle name="Heading1 10 4 2" xfId="34131"/>
    <cellStyle name="Heading1 10 5" xfId="27169"/>
    <cellStyle name="Heading1 10 5 2" xfId="35929"/>
    <cellStyle name="Heading1 10 6" xfId="2404"/>
    <cellStyle name="Heading1 10 6 2" xfId="32645"/>
    <cellStyle name="Heading1 10 7" xfId="28432"/>
    <cellStyle name="Heading1 10 7 2" xfId="37189"/>
    <cellStyle name="Heading1 10 8" xfId="26893"/>
    <cellStyle name="Heading1 10 8 2" xfId="35653"/>
    <cellStyle name="Heading1 10 9" xfId="28631"/>
    <cellStyle name="Heading1 10 9 2" xfId="37387"/>
    <cellStyle name="Heading1 11" xfId="11527"/>
    <cellStyle name="Heading1 11 10" xfId="27246"/>
    <cellStyle name="Heading1 11 10 2" xfId="36006"/>
    <cellStyle name="Heading1 11 11" xfId="32825"/>
    <cellStyle name="Heading1 11 2" xfId="26490"/>
    <cellStyle name="Heading1 11 2 2" xfId="35255"/>
    <cellStyle name="Heading1 11 3" xfId="26666"/>
    <cellStyle name="Heading1 11 3 2" xfId="35430"/>
    <cellStyle name="Heading1 11 4" xfId="25372"/>
    <cellStyle name="Heading1 11 4 2" xfId="34141"/>
    <cellStyle name="Heading1 11 5" xfId="26316"/>
    <cellStyle name="Heading1 11 5 2" xfId="35082"/>
    <cellStyle name="Heading1 11 6" xfId="27894"/>
    <cellStyle name="Heading1 11 6 2" xfId="36654"/>
    <cellStyle name="Heading1 11 7" xfId="1796"/>
    <cellStyle name="Heading1 11 7 2" xfId="32604"/>
    <cellStyle name="Heading1 11 8" xfId="24958"/>
    <cellStyle name="Heading1 11 8 2" xfId="33732"/>
    <cellStyle name="Heading1 11 9" xfId="26719"/>
    <cellStyle name="Heading1 11 9 2" xfId="35482"/>
    <cellStyle name="Heading1 12" xfId="32460"/>
    <cellStyle name="Heading1 13" xfId="41670"/>
    <cellStyle name="HEADING1 14" xfId="44126"/>
    <cellStyle name="Heading1 2" xfId="724"/>
    <cellStyle name="HEADING1 2 2" xfId="980"/>
    <cellStyle name="Heading1 2 3" xfId="2794"/>
    <cellStyle name="Heading1 2 3 2" xfId="6766"/>
    <cellStyle name="Heading1 2 3 2 10" xfId="1674"/>
    <cellStyle name="Heading1 2 3 2 10 2" xfId="32487"/>
    <cellStyle name="Heading1 2 3 2 11" xfId="26117"/>
    <cellStyle name="Heading1 2 3 2 11 2" xfId="34883"/>
    <cellStyle name="Heading1 2 3 2 12" xfId="32761"/>
    <cellStyle name="Heading1 2 3 2 13" xfId="41673"/>
    <cellStyle name="Heading1 2 3 2 2" xfId="18242"/>
    <cellStyle name="Heading1 2 3 2 2 10" xfId="30009"/>
    <cellStyle name="Heading1 2 3 2 2 10 2" xfId="38763"/>
    <cellStyle name="Heading1 2 3 2 2 11" xfId="29736"/>
    <cellStyle name="Heading1 2 3 2 2 11 2" xfId="38490"/>
    <cellStyle name="Heading1 2 3 2 2 12" xfId="32986"/>
    <cellStyle name="Heading1 2 3 2 2 13" xfId="41674"/>
    <cellStyle name="Heading1 2 3 2 2 14" xfId="43302"/>
    <cellStyle name="Heading1 2 3 2 2 15" xfId="43383"/>
    <cellStyle name="Heading1 2 3 2 2 16" xfId="43830"/>
    <cellStyle name="Heading1 2 3 2 2 2" xfId="24512"/>
    <cellStyle name="Heading1 2 3 2 2 2 10" xfId="32265"/>
    <cellStyle name="Heading1 2 3 2 2 2 10 2" xfId="41019"/>
    <cellStyle name="Heading1 2 3 2 2 2 11" xfId="33340"/>
    <cellStyle name="Heading1 2 3 2 2 2 2" xfId="29120"/>
    <cellStyle name="Heading1 2 3 2 2 2 2 2" xfId="37874"/>
    <cellStyle name="Heading1 2 3 2 2 2 3" xfId="29533"/>
    <cellStyle name="Heading1 2 3 2 2 2 3 2" xfId="38287"/>
    <cellStyle name="Heading1 2 3 2 2 2 4" xfId="29953"/>
    <cellStyle name="Heading1 2 3 2 2 2 4 2" xfId="38707"/>
    <cellStyle name="Heading1 2 3 2 2 2 5" xfId="30372"/>
    <cellStyle name="Heading1 2 3 2 2 2 5 2" xfId="39126"/>
    <cellStyle name="Heading1 2 3 2 2 2 6" xfId="30773"/>
    <cellStyle name="Heading1 2 3 2 2 2 6 2" xfId="39527"/>
    <cellStyle name="Heading1 2 3 2 2 2 7" xfId="31159"/>
    <cellStyle name="Heading1 2 3 2 2 2 7 2" xfId="39913"/>
    <cellStyle name="Heading1 2 3 2 2 2 8" xfId="31537"/>
    <cellStyle name="Heading1 2 3 2 2 2 8 2" xfId="40291"/>
    <cellStyle name="Heading1 2 3 2 2 2 9" xfId="31903"/>
    <cellStyle name="Heading1 2 3 2 2 2 9 2" xfId="40657"/>
    <cellStyle name="Heading1 2 3 2 2 3" xfId="27732"/>
    <cellStyle name="Heading1 2 3 2 2 3 2" xfId="36492"/>
    <cellStyle name="Heading1 2 3 2 2 4" xfId="25181"/>
    <cellStyle name="Heading1 2 3 2 2 4 2" xfId="33952"/>
    <cellStyle name="Heading1 2 3 2 2 5" xfId="25162"/>
    <cellStyle name="Heading1 2 3 2 2 5 2" xfId="33933"/>
    <cellStyle name="Heading1 2 3 2 2 6" xfId="25316"/>
    <cellStyle name="Heading1 2 3 2 2 6 2" xfId="34085"/>
    <cellStyle name="Heading1 2 3 2 2 7" xfId="28324"/>
    <cellStyle name="Heading1 2 3 2 2 7 2" xfId="37083"/>
    <cellStyle name="Heading1 2 3 2 2 8" xfId="27816"/>
    <cellStyle name="Heading1 2 3 2 2 8 2" xfId="36576"/>
    <cellStyle name="Heading1 2 3 2 2 9" xfId="25322"/>
    <cellStyle name="Heading1 2 3 2 2 9 2" xfId="34091"/>
    <cellStyle name="Heading1 2 3 2 3" xfId="23654"/>
    <cellStyle name="Heading1 2 3 2 3 10" xfId="25169"/>
    <cellStyle name="Heading1 2 3 2 3 10 2" xfId="33940"/>
    <cellStyle name="Heading1 2 3 2 3 11" xfId="1657"/>
    <cellStyle name="Heading1 2 3 2 3 11 2" xfId="32471"/>
    <cellStyle name="Heading1 2 3 2 3 12" xfId="33124"/>
    <cellStyle name="Heading1 2 3 2 3 2" xfId="24709"/>
    <cellStyle name="Heading1 2 3 2 3 2 10" xfId="32410"/>
    <cellStyle name="Heading1 2 3 2 3 2 10 2" xfId="41164"/>
    <cellStyle name="Heading1 2 3 2 3 2 11" xfId="33485"/>
    <cellStyle name="Heading1 2 3 2 3 2 2" xfId="29274"/>
    <cellStyle name="Heading1 2 3 2 3 2 2 2" xfId="38028"/>
    <cellStyle name="Heading1 2 3 2 3 2 3" xfId="29684"/>
    <cellStyle name="Heading1 2 3 2 3 2 3 2" xfId="38438"/>
    <cellStyle name="Heading1 2 3 2 3 2 4" xfId="30104"/>
    <cellStyle name="Heading1 2 3 2 3 2 4 2" xfId="38858"/>
    <cellStyle name="Heading1 2 3 2 3 2 5" xfId="30520"/>
    <cellStyle name="Heading1 2 3 2 3 2 5 2" xfId="39274"/>
    <cellStyle name="Heading1 2 3 2 3 2 6" xfId="30921"/>
    <cellStyle name="Heading1 2 3 2 3 2 6 2" xfId="39675"/>
    <cellStyle name="Heading1 2 3 2 3 2 7" xfId="31307"/>
    <cellStyle name="Heading1 2 3 2 3 2 7 2" xfId="40061"/>
    <cellStyle name="Heading1 2 3 2 3 2 8" xfId="31683"/>
    <cellStyle name="Heading1 2 3 2 3 2 8 2" xfId="40437"/>
    <cellStyle name="Heading1 2 3 2 3 2 9" xfId="32049"/>
    <cellStyle name="Heading1 2 3 2 3 2 9 2" xfId="40803"/>
    <cellStyle name="Heading1 2 3 2 3 3" xfId="28770"/>
    <cellStyle name="Heading1 2 3 2 3 3 2" xfId="37526"/>
    <cellStyle name="Heading1 2 3 2 3 4" xfId="25063"/>
    <cellStyle name="Heading1 2 3 2 3 4 2" xfId="33837"/>
    <cellStyle name="Heading1 2 3 2 3 5" xfId="24848"/>
    <cellStyle name="Heading1 2 3 2 3 5 2" xfId="33622"/>
    <cellStyle name="Heading1 2 3 2 3 6" xfId="27249"/>
    <cellStyle name="Heading1 2 3 2 3 6 2" xfId="36009"/>
    <cellStyle name="Heading1 2 3 2 3 7" xfId="25441"/>
    <cellStyle name="Heading1 2 3 2 3 7 2" xfId="34210"/>
    <cellStyle name="Heading1 2 3 2 3 8" xfId="27331"/>
    <cellStyle name="Heading1 2 3 2 3 8 2" xfId="36091"/>
    <cellStyle name="Heading1 2 3 2 3 9" xfId="26649"/>
    <cellStyle name="Heading1 2 3 2 3 9 2" xfId="35414"/>
    <cellStyle name="Heading1 2 3 2 4" xfId="26268"/>
    <cellStyle name="Heading1 2 3 2 4 2" xfId="35034"/>
    <cellStyle name="Heading1 2 3 2 5" xfId="25094"/>
    <cellStyle name="Heading1 2 3 2 5 2" xfId="33866"/>
    <cellStyle name="Heading1 2 3 2 6" xfId="28615"/>
    <cellStyle name="Heading1 2 3 2 6 2" xfId="37371"/>
    <cellStyle name="Heading1 2 3 2 7" xfId="2353"/>
    <cellStyle name="Heading1 2 3 2 7 2" xfId="32638"/>
    <cellStyle name="Heading1 2 3 2 8" xfId="29348"/>
    <cellStyle name="Heading1 2 3 2 8 2" xfId="38102"/>
    <cellStyle name="Heading1 2 3 2 9" xfId="26140"/>
    <cellStyle name="Heading1 2 3 2 9 2" xfId="34906"/>
    <cellStyle name="Heading1 2 3 3" xfId="32657"/>
    <cellStyle name="Heading1 2 3 3 2" xfId="41675"/>
    <cellStyle name="Heading1 2 3 3 3" xfId="43303"/>
    <cellStyle name="Heading1 2 3 3 4" xfId="43382"/>
    <cellStyle name="Heading1 2 3 3 5" xfId="43831"/>
    <cellStyle name="Heading1 2 3 4" xfId="41672"/>
    <cellStyle name="Heading1 2 4" xfId="10062"/>
    <cellStyle name="Heading1 2 4 10" xfId="29757"/>
    <cellStyle name="Heading1 2 4 10 2" xfId="38511"/>
    <cellStyle name="Heading1 2 4 11" xfId="27436"/>
    <cellStyle name="Heading1 2 4 11 2" xfId="36196"/>
    <cellStyle name="Heading1 2 4 12" xfId="32821"/>
    <cellStyle name="Heading1 2 4 13" xfId="41676"/>
    <cellStyle name="Heading1 2 4 14" xfId="43304"/>
    <cellStyle name="Heading1 2 4 2" xfId="10071"/>
    <cellStyle name="Heading1 2 4 2 10" xfId="26310"/>
    <cellStyle name="Heading1 2 4 2 10 2" xfId="35076"/>
    <cellStyle name="Heading1 2 4 2 11" xfId="32822"/>
    <cellStyle name="Heading1 2 4 2 12" xfId="41677"/>
    <cellStyle name="Heading1 2 4 2 13" xfId="43305"/>
    <cellStyle name="Heading1 2 4 2 2" xfId="26224"/>
    <cellStyle name="Heading1 2 4 2 2 2" xfId="34990"/>
    <cellStyle name="Heading1 2 4 2 3" xfId="28483"/>
    <cellStyle name="Heading1 2 4 2 3 2" xfId="37240"/>
    <cellStyle name="Heading1 2 4 2 4" xfId="25028"/>
    <cellStyle name="Heading1 2 4 2 4 2" xfId="33802"/>
    <cellStyle name="Heading1 2 4 2 5" xfId="25027"/>
    <cellStyle name="Heading1 2 4 2 5 2" xfId="33801"/>
    <cellStyle name="Heading1 2 4 2 6" xfId="25128"/>
    <cellStyle name="Heading1 2 4 2 6 2" xfId="33900"/>
    <cellStyle name="Heading1 2 4 2 7" xfId="25295"/>
    <cellStyle name="Heading1 2 4 2 7 2" xfId="34065"/>
    <cellStyle name="Heading1 2 4 2 8" xfId="27317"/>
    <cellStyle name="Heading1 2 4 2 8 2" xfId="36077"/>
    <cellStyle name="Heading1 2 4 2 9" xfId="25451"/>
    <cellStyle name="Heading1 2 4 2 9 2" xfId="34220"/>
    <cellStyle name="Heading1 2 4 3" xfId="26223"/>
    <cellStyle name="Heading1 2 4 3 2" xfId="34989"/>
    <cellStyle name="Heading1 2 4 4" xfId="26252"/>
    <cellStyle name="Heading1 2 4 4 2" xfId="35018"/>
    <cellStyle name="Heading1 2 4 5" xfId="28429"/>
    <cellStyle name="Heading1 2 4 5 2" xfId="37186"/>
    <cellStyle name="Heading1 2 4 6" xfId="28878"/>
    <cellStyle name="Heading1 2 4 6 2" xfId="37634"/>
    <cellStyle name="Heading1 2 4 7" xfId="29588"/>
    <cellStyle name="Heading1 2 4 7 2" xfId="38342"/>
    <cellStyle name="Heading1 2 4 8" xfId="29748"/>
    <cellStyle name="Heading1 2 4 8 2" xfId="38502"/>
    <cellStyle name="Heading1 2 4 9" xfId="26944"/>
    <cellStyle name="Heading1 2 4 9 2" xfId="35704"/>
    <cellStyle name="Heading1 2 5" xfId="23703"/>
    <cellStyle name="Heading1 2 5 10" xfId="25493"/>
    <cellStyle name="Heading1 2 5 10 2" xfId="34262"/>
    <cellStyle name="Heading1 2 5 11" xfId="25038"/>
    <cellStyle name="Heading1 2 5 11 2" xfId="33812"/>
    <cellStyle name="Heading1 2 5 12" xfId="33172"/>
    <cellStyle name="Heading1 2 5 2" xfId="24757"/>
    <cellStyle name="Heading1 2 5 2 10" xfId="32458"/>
    <cellStyle name="Heading1 2 5 2 10 2" xfId="41212"/>
    <cellStyle name="Heading1 2 5 2 11" xfId="33533"/>
    <cellStyle name="Heading1 2 5 2 2" xfId="29322"/>
    <cellStyle name="Heading1 2 5 2 2 2" xfId="38076"/>
    <cellStyle name="Heading1 2 5 2 3" xfId="29732"/>
    <cellStyle name="Heading1 2 5 2 3 2" xfId="38486"/>
    <cellStyle name="Heading1 2 5 2 4" xfId="30152"/>
    <cellStyle name="Heading1 2 5 2 4 2" xfId="38906"/>
    <cellStyle name="Heading1 2 5 2 5" xfId="30568"/>
    <cellStyle name="Heading1 2 5 2 5 2" xfId="39322"/>
    <cellStyle name="Heading1 2 5 2 6" xfId="30969"/>
    <cellStyle name="Heading1 2 5 2 6 2" xfId="39723"/>
    <cellStyle name="Heading1 2 5 2 7" xfId="31355"/>
    <cellStyle name="Heading1 2 5 2 7 2" xfId="40109"/>
    <cellStyle name="Heading1 2 5 2 8" xfId="31731"/>
    <cellStyle name="Heading1 2 5 2 8 2" xfId="40485"/>
    <cellStyle name="Heading1 2 5 2 9" xfId="32097"/>
    <cellStyle name="Heading1 2 5 2 9 2" xfId="40851"/>
    <cellStyle name="Heading1 2 5 3" xfId="28819"/>
    <cellStyle name="Heading1 2 5 3 2" xfId="37575"/>
    <cellStyle name="Heading1 2 5 4" xfId="25049"/>
    <cellStyle name="Heading1 2 5 4 2" xfId="33823"/>
    <cellStyle name="Heading1 2 5 5" xfId="25866"/>
    <cellStyle name="Heading1 2 5 5 2" xfId="34632"/>
    <cellStyle name="Heading1 2 5 6" xfId="25333"/>
    <cellStyle name="Heading1 2 5 6 2" xfId="34102"/>
    <cellStyle name="Heading1 2 5 7" xfId="26350"/>
    <cellStyle name="Heading1 2 5 7 2" xfId="35116"/>
    <cellStyle name="Heading1 2 5 8" xfId="25461"/>
    <cellStyle name="Heading1 2 5 8 2" xfId="34230"/>
    <cellStyle name="Heading1 2 5 9" xfId="30008"/>
    <cellStyle name="Heading1 2 5 9 2" xfId="38762"/>
    <cellStyle name="Heading1 2 6" xfId="32461"/>
    <cellStyle name="Heading1 3" xfId="6054"/>
    <cellStyle name="Heading1 3 10" xfId="31357"/>
    <cellStyle name="Heading1 3 10 2" xfId="40111"/>
    <cellStyle name="Heading1 3 11" xfId="31733"/>
    <cellStyle name="Heading1 3 11 2" xfId="40487"/>
    <cellStyle name="Heading1 3 12" xfId="32722"/>
    <cellStyle name="Heading1 3 13" xfId="41678"/>
    <cellStyle name="Heading1 3 2" xfId="18182"/>
    <cellStyle name="Heading1 3 2 10" xfId="1779"/>
    <cellStyle name="Heading1 3 2 10 2" xfId="32587"/>
    <cellStyle name="Heading1 3 2 11" xfId="27003"/>
    <cellStyle name="Heading1 3 2 11 2" xfId="35763"/>
    <cellStyle name="Heading1 3 2 12" xfId="32926"/>
    <cellStyle name="Heading1 3 2 13" xfId="41679"/>
    <cellStyle name="Heading1 3 2 14" xfId="43306"/>
    <cellStyle name="Heading1 3 2 15" xfId="43381"/>
    <cellStyle name="Heading1 3 2 16" xfId="43832"/>
    <cellStyle name="Heading1 3 2 2" xfId="24452"/>
    <cellStyle name="Heading1 3 2 2 10" xfId="32205"/>
    <cellStyle name="Heading1 3 2 2 10 2" xfId="40959"/>
    <cellStyle name="Heading1 3 2 2 11" xfId="33280"/>
    <cellStyle name="Heading1 3 2 2 12" xfId="41680"/>
    <cellStyle name="Heading1 3 2 2 13" xfId="43307"/>
    <cellStyle name="Heading1 3 2 2 14" xfId="43380"/>
    <cellStyle name="Heading1 3 2 2 15" xfId="43833"/>
    <cellStyle name="Heading1 3 2 2 2" xfId="29060"/>
    <cellStyle name="Heading1 3 2 2 2 2" xfId="37814"/>
    <cellStyle name="Heading1 3 2 2 3" xfId="29473"/>
    <cellStyle name="Heading1 3 2 2 3 2" xfId="38227"/>
    <cellStyle name="Heading1 3 2 2 4" xfId="29893"/>
    <cellStyle name="Heading1 3 2 2 4 2" xfId="38647"/>
    <cellStyle name="Heading1 3 2 2 5" xfId="30312"/>
    <cellStyle name="Heading1 3 2 2 5 2" xfId="39066"/>
    <cellStyle name="Heading1 3 2 2 6" xfId="30713"/>
    <cellStyle name="Heading1 3 2 2 6 2" xfId="39467"/>
    <cellStyle name="Heading1 3 2 2 7" xfId="31099"/>
    <cellStyle name="Heading1 3 2 2 7 2" xfId="39853"/>
    <cellStyle name="Heading1 3 2 2 8" xfId="31477"/>
    <cellStyle name="Heading1 3 2 2 8 2" xfId="40231"/>
    <cellStyle name="Heading1 3 2 2 9" xfId="31843"/>
    <cellStyle name="Heading1 3 2 2 9 2" xfId="40597"/>
    <cellStyle name="Heading1 3 2 3" xfId="27672"/>
    <cellStyle name="Heading1 3 2 3 2" xfId="36432"/>
    <cellStyle name="Heading1 3 2 4" xfId="26824"/>
    <cellStyle name="Heading1 3 2 4 2" xfId="35585"/>
    <cellStyle name="Heading1 3 2 5" xfId="27360"/>
    <cellStyle name="Heading1 3 2 5 2" xfId="36120"/>
    <cellStyle name="Heading1 3 2 6" xfId="27896"/>
    <cellStyle name="Heading1 3 2 6 2" xfId="36656"/>
    <cellStyle name="Heading1 3 2 7" xfId="28080"/>
    <cellStyle name="Heading1 3 2 7 2" xfId="36839"/>
    <cellStyle name="Heading1 3 2 8" xfId="26135"/>
    <cellStyle name="Heading1 3 2 8 2" xfId="34901"/>
    <cellStyle name="Heading1 3 2 9" xfId="24801"/>
    <cellStyle name="Heading1 3 2 9 2" xfId="33577"/>
    <cellStyle name="Heading1 3 3" xfId="23624"/>
    <cellStyle name="Heading1 3 3 10" xfId="25913"/>
    <cellStyle name="Heading1 3 3 10 2" xfId="34679"/>
    <cellStyle name="Heading1 3 3 11" xfId="26983"/>
    <cellStyle name="Heading1 3 3 11 2" xfId="35743"/>
    <cellStyle name="Heading1 3 3 12" xfId="33094"/>
    <cellStyle name="Heading1 3 3 2" xfId="24679"/>
    <cellStyle name="Heading1 3 3 2 10" xfId="32380"/>
    <cellStyle name="Heading1 3 3 2 10 2" xfId="41134"/>
    <cellStyle name="Heading1 3 3 2 11" xfId="33455"/>
    <cellStyle name="Heading1 3 3 2 2" xfId="29244"/>
    <cellStyle name="Heading1 3 3 2 2 2" xfId="37998"/>
    <cellStyle name="Heading1 3 3 2 3" xfId="29654"/>
    <cellStyle name="Heading1 3 3 2 3 2" xfId="38408"/>
    <cellStyle name="Heading1 3 3 2 4" xfId="30074"/>
    <cellStyle name="Heading1 3 3 2 4 2" xfId="38828"/>
    <cellStyle name="Heading1 3 3 2 5" xfId="30490"/>
    <cellStyle name="Heading1 3 3 2 5 2" xfId="39244"/>
    <cellStyle name="Heading1 3 3 2 6" xfId="30891"/>
    <cellStyle name="Heading1 3 3 2 6 2" xfId="39645"/>
    <cellStyle name="Heading1 3 3 2 7" xfId="31277"/>
    <cellStyle name="Heading1 3 3 2 7 2" xfId="40031"/>
    <cellStyle name="Heading1 3 3 2 8" xfId="31653"/>
    <cellStyle name="Heading1 3 3 2 8 2" xfId="40407"/>
    <cellStyle name="Heading1 3 3 2 9" xfId="32019"/>
    <cellStyle name="Heading1 3 3 2 9 2" xfId="40773"/>
    <cellStyle name="Heading1 3 3 3" xfId="28740"/>
    <cellStyle name="Heading1 3 3 3 2" xfId="37496"/>
    <cellStyle name="Heading1 3 3 4" xfId="24865"/>
    <cellStyle name="Heading1 3 3 4 2" xfId="33639"/>
    <cellStyle name="Heading1 3 3 5" xfId="25542"/>
    <cellStyle name="Heading1 3 3 5 2" xfId="34309"/>
    <cellStyle name="Heading1 3 3 6" xfId="1649"/>
    <cellStyle name="Heading1 3 3 6 2" xfId="32464"/>
    <cellStyle name="Heading1 3 3 7" xfId="26811"/>
    <cellStyle name="Heading1 3 3 7 2" xfId="35572"/>
    <cellStyle name="Heading1 3 3 8" xfId="25286"/>
    <cellStyle name="Heading1 3 3 8 2" xfId="34056"/>
    <cellStyle name="Heading1 3 3 9" xfId="28435"/>
    <cellStyle name="Heading1 3 3 9 2" xfId="37192"/>
    <cellStyle name="Heading1 3 4" xfId="26245"/>
    <cellStyle name="Heading1 3 4 2" xfId="35011"/>
    <cellStyle name="Heading1 3 5" xfId="26706"/>
    <cellStyle name="Heading1 3 5 2" xfId="35469"/>
    <cellStyle name="Heading1 3 6" xfId="25074"/>
    <cellStyle name="Heading1 3 6 2" xfId="33848"/>
    <cellStyle name="Heading1 3 7" xfId="30154"/>
    <cellStyle name="Heading1 3 7 2" xfId="38908"/>
    <cellStyle name="Heading1 3 8" xfId="30570"/>
    <cellStyle name="Heading1 3 8 2" xfId="39324"/>
    <cellStyle name="Heading1 3 9" xfId="30971"/>
    <cellStyle name="Heading1 3 9 2" xfId="39725"/>
    <cellStyle name="Heading1 4" xfId="6073"/>
    <cellStyle name="Heading1 4 10" xfId="26941"/>
    <cellStyle name="Heading1 4 10 2" xfId="35701"/>
    <cellStyle name="Heading1 4 11" xfId="28594"/>
    <cellStyle name="Heading1 4 11 2" xfId="37350"/>
    <cellStyle name="Heading1 4 12" xfId="32738"/>
    <cellStyle name="Heading1 4 13" xfId="41681"/>
    <cellStyle name="Heading1 4 2" xfId="18198"/>
    <cellStyle name="Heading1 4 2 10" xfId="25653"/>
    <cellStyle name="Heading1 4 2 10 2" xfId="34420"/>
    <cellStyle name="Heading1 4 2 11" xfId="25236"/>
    <cellStyle name="Heading1 4 2 11 2" xfId="34006"/>
    <cellStyle name="Heading1 4 2 12" xfId="32942"/>
    <cellStyle name="Heading1 4 2 13" xfId="41682"/>
    <cellStyle name="Heading1 4 2 14" xfId="43308"/>
    <cellStyle name="Heading1 4 2 15" xfId="43379"/>
    <cellStyle name="Heading1 4 2 16" xfId="43834"/>
    <cellStyle name="Heading1 4 2 2" xfId="24468"/>
    <cellStyle name="Heading1 4 2 2 10" xfId="32221"/>
    <cellStyle name="Heading1 4 2 2 10 2" xfId="40975"/>
    <cellStyle name="Heading1 4 2 2 11" xfId="33296"/>
    <cellStyle name="Heading1 4 2 2 2" xfId="29076"/>
    <cellStyle name="Heading1 4 2 2 2 2" xfId="37830"/>
    <cellStyle name="Heading1 4 2 2 3" xfId="29489"/>
    <cellStyle name="Heading1 4 2 2 3 2" xfId="38243"/>
    <cellStyle name="Heading1 4 2 2 4" xfId="29909"/>
    <cellStyle name="Heading1 4 2 2 4 2" xfId="38663"/>
    <cellStyle name="Heading1 4 2 2 5" xfId="30328"/>
    <cellStyle name="Heading1 4 2 2 5 2" xfId="39082"/>
    <cellStyle name="Heading1 4 2 2 6" xfId="30729"/>
    <cellStyle name="Heading1 4 2 2 6 2" xfId="39483"/>
    <cellStyle name="Heading1 4 2 2 7" xfId="31115"/>
    <cellStyle name="Heading1 4 2 2 7 2" xfId="39869"/>
    <cellStyle name="Heading1 4 2 2 8" xfId="31493"/>
    <cellStyle name="Heading1 4 2 2 8 2" xfId="40247"/>
    <cellStyle name="Heading1 4 2 2 9" xfId="31859"/>
    <cellStyle name="Heading1 4 2 2 9 2" xfId="40613"/>
    <cellStyle name="Heading1 4 2 3" xfId="27688"/>
    <cellStyle name="Heading1 4 2 3 2" xfId="36448"/>
    <cellStyle name="Heading1 4 2 4" xfId="27374"/>
    <cellStyle name="Heading1 4 2 4 2" xfId="36134"/>
    <cellStyle name="Heading1 4 2 5" xfId="25800"/>
    <cellStyle name="Heading1 4 2 5 2" xfId="34567"/>
    <cellStyle name="Heading1 4 2 6" xfId="28327"/>
    <cellStyle name="Heading1 4 2 6 2" xfId="37086"/>
    <cellStyle name="Heading1 4 2 7" xfId="26524"/>
    <cellStyle name="Heading1 4 2 7 2" xfId="35289"/>
    <cellStyle name="Heading1 4 2 8" xfId="25146"/>
    <cellStyle name="Heading1 4 2 8 2" xfId="33917"/>
    <cellStyle name="Heading1 4 2 9" xfId="25736"/>
    <cellStyle name="Heading1 4 2 9 2" xfId="34503"/>
    <cellStyle name="Heading1 4 3" xfId="23640"/>
    <cellStyle name="Heading1 4 3 10" xfId="28607"/>
    <cellStyle name="Heading1 4 3 10 2" xfId="37363"/>
    <cellStyle name="Heading1 4 3 11" xfId="26386"/>
    <cellStyle name="Heading1 4 3 11 2" xfId="35152"/>
    <cellStyle name="Heading1 4 3 12" xfId="33110"/>
    <cellStyle name="Heading1 4 3 2" xfId="24695"/>
    <cellStyle name="Heading1 4 3 2 10" xfId="32396"/>
    <cellStyle name="Heading1 4 3 2 10 2" xfId="41150"/>
    <cellStyle name="Heading1 4 3 2 11" xfId="33471"/>
    <cellStyle name="Heading1 4 3 2 2" xfId="29260"/>
    <cellStyle name="Heading1 4 3 2 2 2" xfId="38014"/>
    <cellStyle name="Heading1 4 3 2 3" xfId="29670"/>
    <cellStyle name="Heading1 4 3 2 3 2" xfId="38424"/>
    <cellStyle name="Heading1 4 3 2 4" xfId="30090"/>
    <cellStyle name="Heading1 4 3 2 4 2" xfId="38844"/>
    <cellStyle name="Heading1 4 3 2 5" xfId="30506"/>
    <cellStyle name="Heading1 4 3 2 5 2" xfId="39260"/>
    <cellStyle name="Heading1 4 3 2 6" xfId="30907"/>
    <cellStyle name="Heading1 4 3 2 6 2" xfId="39661"/>
    <cellStyle name="Heading1 4 3 2 7" xfId="31293"/>
    <cellStyle name="Heading1 4 3 2 7 2" xfId="40047"/>
    <cellStyle name="Heading1 4 3 2 8" xfId="31669"/>
    <cellStyle name="Heading1 4 3 2 8 2" xfId="40423"/>
    <cellStyle name="Heading1 4 3 2 9" xfId="32035"/>
    <cellStyle name="Heading1 4 3 2 9 2" xfId="40789"/>
    <cellStyle name="Heading1 4 3 3" xfId="28756"/>
    <cellStyle name="Heading1 4 3 3 2" xfId="37512"/>
    <cellStyle name="Heading1 4 3 4" xfId="27635"/>
    <cellStyle name="Heading1 4 3 4 2" xfId="36395"/>
    <cellStyle name="Heading1 4 3 5" xfId="24834"/>
    <cellStyle name="Heading1 4 3 5 2" xfId="33608"/>
    <cellStyle name="Heading1 4 3 6" xfId="27102"/>
    <cellStyle name="Heading1 4 3 6 2" xfId="35862"/>
    <cellStyle name="Heading1 4 3 7" xfId="1710"/>
    <cellStyle name="Heading1 4 3 7 2" xfId="32522"/>
    <cellStyle name="Heading1 4 3 8" xfId="26264"/>
    <cellStyle name="Heading1 4 3 8 2" xfId="35030"/>
    <cellStyle name="Heading1 4 3 9" xfId="26901"/>
    <cellStyle name="Heading1 4 3 9 2" xfId="35661"/>
    <cellStyle name="Heading1 4 4" xfId="28228"/>
    <cellStyle name="Heading1 4 4 2" xfId="36987"/>
    <cellStyle name="Heading1 4 5" xfId="27189"/>
    <cellStyle name="Heading1 4 5 2" xfId="35949"/>
    <cellStyle name="Heading1 4 6" xfId="27850"/>
    <cellStyle name="Heading1 4 6 2" xfId="36610"/>
    <cellStyle name="Heading1 4 7" xfId="26898"/>
    <cellStyle name="Heading1 4 7 2" xfId="35658"/>
    <cellStyle name="Heading1 4 8" xfId="26860"/>
    <cellStyle name="Heading1 4 8 2" xfId="35621"/>
    <cellStyle name="Heading1 4 9" xfId="28334"/>
    <cellStyle name="Heading1 4 9 2" xfId="37093"/>
    <cellStyle name="Heading1 5" xfId="6108"/>
    <cellStyle name="Heading1 5 10" xfId="28600"/>
    <cellStyle name="Heading1 5 10 2" xfId="37356"/>
    <cellStyle name="Heading1 5 11" xfId="28428"/>
    <cellStyle name="Heading1 5 11 2" xfId="37185"/>
    <cellStyle name="Heading1 5 12" xfId="32752"/>
    <cellStyle name="Heading1 5 13" xfId="41683"/>
    <cellStyle name="Heading1 5 2" xfId="18213"/>
    <cellStyle name="Heading1 5 2 10" xfId="27960"/>
    <cellStyle name="Heading1 5 2 10 2" xfId="36720"/>
    <cellStyle name="Heading1 5 2 11" xfId="28513"/>
    <cellStyle name="Heading1 5 2 11 2" xfId="37269"/>
    <cellStyle name="Heading1 5 2 12" xfId="32957"/>
    <cellStyle name="Heading1 5 2 2" xfId="24483"/>
    <cellStyle name="Heading1 5 2 2 10" xfId="32236"/>
    <cellStyle name="Heading1 5 2 2 10 2" xfId="40990"/>
    <cellStyle name="Heading1 5 2 2 11" xfId="33311"/>
    <cellStyle name="Heading1 5 2 2 2" xfId="29091"/>
    <cellStyle name="Heading1 5 2 2 2 2" xfId="37845"/>
    <cellStyle name="Heading1 5 2 2 3" xfId="29504"/>
    <cellStyle name="Heading1 5 2 2 3 2" xfId="38258"/>
    <cellStyle name="Heading1 5 2 2 4" xfId="29924"/>
    <cellStyle name="Heading1 5 2 2 4 2" xfId="38678"/>
    <cellStyle name="Heading1 5 2 2 5" xfId="30343"/>
    <cellStyle name="Heading1 5 2 2 5 2" xfId="39097"/>
    <cellStyle name="Heading1 5 2 2 6" xfId="30744"/>
    <cellStyle name="Heading1 5 2 2 6 2" xfId="39498"/>
    <cellStyle name="Heading1 5 2 2 7" xfId="31130"/>
    <cellStyle name="Heading1 5 2 2 7 2" xfId="39884"/>
    <cellStyle name="Heading1 5 2 2 8" xfId="31508"/>
    <cellStyle name="Heading1 5 2 2 8 2" xfId="40262"/>
    <cellStyle name="Heading1 5 2 2 9" xfId="31874"/>
    <cellStyle name="Heading1 5 2 2 9 2" xfId="40628"/>
    <cellStyle name="Heading1 5 2 3" xfId="27703"/>
    <cellStyle name="Heading1 5 2 3 2" xfId="36463"/>
    <cellStyle name="Heading1 5 2 4" xfId="27799"/>
    <cellStyle name="Heading1 5 2 4 2" xfId="36559"/>
    <cellStyle name="Heading1 5 2 5" xfId="28212"/>
    <cellStyle name="Heading1 5 2 5 2" xfId="36971"/>
    <cellStyle name="Heading1 5 2 6" xfId="28314"/>
    <cellStyle name="Heading1 5 2 6 2" xfId="37073"/>
    <cellStyle name="Heading1 5 2 7" xfId="24982"/>
    <cellStyle name="Heading1 5 2 7 2" xfId="33756"/>
    <cellStyle name="Heading1 5 2 8" xfId="1798"/>
    <cellStyle name="Heading1 5 2 8 2" xfId="32606"/>
    <cellStyle name="Heading1 5 2 9" xfId="26940"/>
    <cellStyle name="Heading1 5 2 9 2" xfId="35700"/>
    <cellStyle name="Heading1 5 3" xfId="23653"/>
    <cellStyle name="Heading1 5 3 10" xfId="27064"/>
    <cellStyle name="Heading1 5 3 10 2" xfId="35824"/>
    <cellStyle name="Heading1 5 3 11" xfId="26069"/>
    <cellStyle name="Heading1 5 3 11 2" xfId="34835"/>
    <cellStyle name="Heading1 5 3 12" xfId="33123"/>
    <cellStyle name="Heading1 5 3 2" xfId="24708"/>
    <cellStyle name="Heading1 5 3 2 10" xfId="32409"/>
    <cellStyle name="Heading1 5 3 2 10 2" xfId="41163"/>
    <cellStyle name="Heading1 5 3 2 11" xfId="33484"/>
    <cellStyle name="Heading1 5 3 2 2" xfId="29273"/>
    <cellStyle name="Heading1 5 3 2 2 2" xfId="38027"/>
    <cellStyle name="Heading1 5 3 2 3" xfId="29683"/>
    <cellStyle name="Heading1 5 3 2 3 2" xfId="38437"/>
    <cellStyle name="Heading1 5 3 2 4" xfId="30103"/>
    <cellStyle name="Heading1 5 3 2 4 2" xfId="38857"/>
    <cellStyle name="Heading1 5 3 2 5" xfId="30519"/>
    <cellStyle name="Heading1 5 3 2 5 2" xfId="39273"/>
    <cellStyle name="Heading1 5 3 2 6" xfId="30920"/>
    <cellStyle name="Heading1 5 3 2 6 2" xfId="39674"/>
    <cellStyle name="Heading1 5 3 2 7" xfId="31306"/>
    <cellStyle name="Heading1 5 3 2 7 2" xfId="40060"/>
    <cellStyle name="Heading1 5 3 2 8" xfId="31682"/>
    <cellStyle name="Heading1 5 3 2 8 2" xfId="40436"/>
    <cellStyle name="Heading1 5 3 2 9" xfId="32048"/>
    <cellStyle name="Heading1 5 3 2 9 2" xfId="40802"/>
    <cellStyle name="Heading1 5 3 3" xfId="28769"/>
    <cellStyle name="Heading1 5 3 3 2" xfId="37525"/>
    <cellStyle name="Heading1 5 3 4" xfId="28856"/>
    <cellStyle name="Heading1 5 3 4 2" xfId="37612"/>
    <cellStyle name="Heading1 5 3 5" xfId="24850"/>
    <cellStyle name="Heading1 5 3 5 2" xfId="33624"/>
    <cellStyle name="Heading1 5 3 6" xfId="28181"/>
    <cellStyle name="Heading1 5 3 6 2" xfId="36940"/>
    <cellStyle name="Heading1 5 3 7" xfId="26751"/>
    <cellStyle name="Heading1 5 3 7 2" xfId="35513"/>
    <cellStyle name="Heading1 5 3 8" xfId="26658"/>
    <cellStyle name="Heading1 5 3 8 2" xfId="35423"/>
    <cellStyle name="Heading1 5 3 9" xfId="26635"/>
    <cellStyle name="Heading1 5 3 9 2" xfId="35400"/>
    <cellStyle name="Heading1 5 4" xfId="26481"/>
    <cellStyle name="Heading1 5 4 2" xfId="35246"/>
    <cellStyle name="Heading1 5 5" xfId="26711"/>
    <cellStyle name="Heading1 5 5 2" xfId="35474"/>
    <cellStyle name="Heading1 5 6" xfId="26996"/>
    <cellStyle name="Heading1 5 6 2" xfId="35756"/>
    <cellStyle name="Heading1 5 7" xfId="26930"/>
    <cellStyle name="Heading1 5 7 2" xfId="35690"/>
    <cellStyle name="Heading1 5 8" xfId="26809"/>
    <cellStyle name="Heading1 5 8 2" xfId="35570"/>
    <cellStyle name="Heading1 5 9" xfId="28843"/>
    <cellStyle name="Heading1 5 9 2" xfId="37599"/>
    <cellStyle name="Heading1 6" xfId="9719"/>
    <cellStyle name="Heading1 6 10" xfId="25147"/>
    <cellStyle name="Heading1 6 10 2" xfId="33918"/>
    <cellStyle name="Heading1 6 11" xfId="27233"/>
    <cellStyle name="Heading1 6 11 2" xfId="35993"/>
    <cellStyle name="Heading1 6 12" xfId="32818"/>
    <cellStyle name="Heading1 6 13" xfId="41684"/>
    <cellStyle name="Heading1 6 14" xfId="43309"/>
    <cellStyle name="Heading1 6 15" xfId="43378"/>
    <cellStyle name="Heading1 6 16" xfId="43835"/>
    <cellStyle name="Heading1 6 2" xfId="24296"/>
    <cellStyle name="Heading1 6 2 10" xfId="32101"/>
    <cellStyle name="Heading1 6 2 10 2" xfId="40855"/>
    <cellStyle name="Heading1 6 2 11" xfId="33176"/>
    <cellStyle name="Heading1 6 2 2" xfId="28948"/>
    <cellStyle name="Heading1 6 2 2 2" xfId="37703"/>
    <cellStyle name="Heading1 6 2 3" xfId="29362"/>
    <cellStyle name="Heading1 6 2 3 2" xfId="38116"/>
    <cellStyle name="Heading1 6 2 4" xfId="29787"/>
    <cellStyle name="Heading1 6 2 4 2" xfId="38541"/>
    <cellStyle name="Heading1 6 2 5" xfId="30202"/>
    <cellStyle name="Heading1 6 2 5 2" xfId="38956"/>
    <cellStyle name="Heading1 6 2 6" xfId="30603"/>
    <cellStyle name="Heading1 6 2 6 2" xfId="39357"/>
    <cellStyle name="Heading1 6 2 7" xfId="30990"/>
    <cellStyle name="Heading1 6 2 7 2" xfId="39744"/>
    <cellStyle name="Heading1 6 2 8" xfId="31370"/>
    <cellStyle name="Heading1 6 2 8 2" xfId="40124"/>
    <cellStyle name="Heading1 6 2 9" xfId="31738"/>
    <cellStyle name="Heading1 6 2 9 2" xfId="40492"/>
    <cellStyle name="Heading1 6 3" xfId="26176"/>
    <cellStyle name="Heading1 6 3 2" xfId="34942"/>
    <cellStyle name="Heading1 6 4" xfId="28050"/>
    <cellStyle name="Heading1 6 4 2" xfId="36809"/>
    <cellStyle name="Heading1 6 5" xfId="26734"/>
    <cellStyle name="Heading1 6 5 2" xfId="35497"/>
    <cellStyle name="Heading1 6 6" xfId="27168"/>
    <cellStyle name="Heading1 6 6 2" xfId="35928"/>
    <cellStyle name="Heading1 6 7" xfId="1786"/>
    <cellStyle name="Heading1 6 7 2" xfId="32594"/>
    <cellStyle name="Heading1 6 8" xfId="25981"/>
    <cellStyle name="Heading1 6 8 2" xfId="34747"/>
    <cellStyle name="Heading1 6 9" xfId="27818"/>
    <cellStyle name="Heading1 6 9 2" xfId="36578"/>
    <cellStyle name="Heading1 7" xfId="9759"/>
    <cellStyle name="Heading1 7 10" xfId="25448"/>
    <cellStyle name="Heading1 7 10 2" xfId="34217"/>
    <cellStyle name="Heading1 7 11" xfId="32819"/>
    <cellStyle name="Heading1 7 12" xfId="41685"/>
    <cellStyle name="Heading1 7 13" xfId="43310"/>
    <cellStyle name="Heading1 7 14" xfId="43377"/>
    <cellStyle name="Heading1 7 15" xfId="43836"/>
    <cellStyle name="Heading1 7 2" xfId="26185"/>
    <cellStyle name="Heading1 7 2 2" xfId="34951"/>
    <cellStyle name="Heading1 7 3" xfId="26041"/>
    <cellStyle name="Heading1 7 3 2" xfId="34807"/>
    <cellStyle name="Heading1 7 4" xfId="1754"/>
    <cellStyle name="Heading1 7 4 2" xfId="32562"/>
    <cellStyle name="Heading1 7 5" xfId="25668"/>
    <cellStyle name="Heading1 7 5 2" xfId="34435"/>
    <cellStyle name="Heading1 7 6" xfId="29773"/>
    <cellStyle name="Heading1 7 6 2" xfId="38527"/>
    <cellStyle name="Heading1 7 7" xfId="28496"/>
    <cellStyle name="Heading1 7 7 2" xfId="37252"/>
    <cellStyle name="Heading1 7 8" xfId="26596"/>
    <cellStyle name="Heading1 7 8 2" xfId="35361"/>
    <cellStyle name="Heading1 7 9" xfId="27607"/>
    <cellStyle name="Heading1 7 9 2" xfId="36367"/>
    <cellStyle name="Heading1 8" xfId="9713"/>
    <cellStyle name="Heading1 8 10" xfId="25694"/>
    <cellStyle name="Heading1 8 10 2" xfId="34461"/>
    <cellStyle name="Heading1 8 11" xfId="32816"/>
    <cellStyle name="Heading1 8 12" xfId="41686"/>
    <cellStyle name="Heading1 8 13" xfId="43311"/>
    <cellStyle name="Heading1 8 14" xfId="43376"/>
    <cellStyle name="Heading1 8 15" xfId="43837"/>
    <cellStyle name="Heading1 8 2" xfId="26174"/>
    <cellStyle name="Heading1 8 2 2" xfId="34940"/>
    <cellStyle name="Heading1 8 3" xfId="28049"/>
    <cellStyle name="Heading1 8 3 2" xfId="36808"/>
    <cellStyle name="Heading1 8 4" xfId="25112"/>
    <cellStyle name="Heading1 8 4 2" xfId="33884"/>
    <cellStyle name="Heading1 8 5" xfId="28851"/>
    <cellStyle name="Heading1 8 5 2" xfId="37607"/>
    <cellStyle name="Heading1 8 6" xfId="25926"/>
    <cellStyle name="Heading1 8 6 2" xfId="34692"/>
    <cellStyle name="Heading1 8 7" xfId="27043"/>
    <cellStyle name="Heading1 8 7 2" xfId="35803"/>
    <cellStyle name="Heading1 8 8" xfId="26170"/>
    <cellStyle name="Heading1 8 8 2" xfId="34936"/>
    <cellStyle name="Heading1 8 9" xfId="28829"/>
    <cellStyle name="Heading1 8 9 2" xfId="37585"/>
    <cellStyle name="Heading1 9" xfId="9716"/>
    <cellStyle name="Heading1 9 10" xfId="25283"/>
    <cellStyle name="Heading1 9 10 2" xfId="34053"/>
    <cellStyle name="Heading1 9 11" xfId="32817"/>
    <cellStyle name="Heading1 9 12" xfId="41687"/>
    <cellStyle name="Heading1 9 13" xfId="43312"/>
    <cellStyle name="Heading1 9 14" xfId="43375"/>
    <cellStyle name="Heading1 9 15" xfId="43838"/>
    <cellStyle name="Heading1 9 2" xfId="26175"/>
    <cellStyle name="Heading1 9 2 2" xfId="34941"/>
    <cellStyle name="Heading1 9 3" xfId="28382"/>
    <cellStyle name="Heading1 9 3 2" xfId="37140"/>
    <cellStyle name="Heading1 9 4" xfId="27351"/>
    <cellStyle name="Heading1 9 4 2" xfId="36111"/>
    <cellStyle name="Heading1 9 5" xfId="26660"/>
    <cellStyle name="Heading1 9 5 2" xfId="35425"/>
    <cellStyle name="Heading1 9 6" xfId="28033"/>
    <cellStyle name="Heading1 9 6 2" xfId="36792"/>
    <cellStyle name="Heading1 9 7" xfId="25450"/>
    <cellStyle name="Heading1 9 7 2" xfId="34219"/>
    <cellStyle name="Heading1 9 8" xfId="26502"/>
    <cellStyle name="Heading1 9 8 2" xfId="35267"/>
    <cellStyle name="Heading1 9 9" xfId="28602"/>
    <cellStyle name="Heading1 9 9 2" xfId="37358"/>
    <cellStyle name="HEADING2" xfId="981"/>
    <cellStyle name="Hyperlink" xfId="2" builtinId="8"/>
    <cellStyle name="Hyperlink 2" xfId="15"/>
    <cellStyle name="Hyperlink 2 2" xfId="43064"/>
    <cellStyle name="Hyperlink 2 3" xfId="43072"/>
    <cellStyle name="Hyperlink 2 4" xfId="66"/>
    <cellStyle name="Hyperlink 3" xfId="154"/>
    <cellStyle name="Hyperlink 3 2" xfId="44274"/>
    <cellStyle name="Hyperlink 3 3" xfId="43050"/>
    <cellStyle name="In 000s (Convert to 000s)" xfId="982"/>
    <cellStyle name="Input" xfId="25" builtinId="20" customBuiltin="1"/>
    <cellStyle name="Input [yellow]" xfId="411"/>
    <cellStyle name="Input [yellow] 2" xfId="412"/>
    <cellStyle name="Input [yellow] 2 2" xfId="1063"/>
    <cellStyle name="Input [yellow] 2 2 2" xfId="41688"/>
    <cellStyle name="Input [yellow] 2 2 2 2" xfId="41689"/>
    <cellStyle name="Input [yellow] 2 3" xfId="41690"/>
    <cellStyle name="Input [yellow] 2 3 2" xfId="41691"/>
    <cellStyle name="Input [yellow] 2 4" xfId="41692"/>
    <cellStyle name="Input [yellow] 3" xfId="725"/>
    <cellStyle name="Input [yellow] 3 2" xfId="1139"/>
    <cellStyle name="Input [yellow] 3 3" xfId="41693"/>
    <cellStyle name="Input [yellow] 3 3 2" xfId="41694"/>
    <cellStyle name="Input [yellow] 4" xfId="1062"/>
    <cellStyle name="Input [yellow] 5" xfId="41695"/>
    <cellStyle name="Input [yellow] 5 2" xfId="41696"/>
    <cellStyle name="Input [yellow] 6" xfId="41697"/>
    <cellStyle name="Input 10" xfId="646"/>
    <cellStyle name="Input 10 10" xfId="28021"/>
    <cellStyle name="Input 10 10 2" xfId="36780"/>
    <cellStyle name="Input 10 11" xfId="26397"/>
    <cellStyle name="Input 10 11 2" xfId="35163"/>
    <cellStyle name="Input 10 12" xfId="41698"/>
    <cellStyle name="Input 10 2" xfId="6055"/>
    <cellStyle name="Input 10 2 10" xfId="26129"/>
    <cellStyle name="Input 10 2 10 2" xfId="34895"/>
    <cellStyle name="Input 10 2 11" xfId="1676"/>
    <cellStyle name="Input 10 2 11 2" xfId="32489"/>
    <cellStyle name="Input 10 2 12" xfId="32723"/>
    <cellStyle name="Input 10 2 13" xfId="41699"/>
    <cellStyle name="Input 10 2 2" xfId="18183"/>
    <cellStyle name="Input 10 2 2 10" xfId="26266"/>
    <cellStyle name="Input 10 2 2 10 2" xfId="35032"/>
    <cellStyle name="Input 10 2 2 11" xfId="25514"/>
    <cellStyle name="Input 10 2 2 11 2" xfId="34283"/>
    <cellStyle name="Input 10 2 2 12" xfId="32927"/>
    <cellStyle name="Input 10 2 2 13" xfId="41700"/>
    <cellStyle name="Input 10 2 2 14" xfId="43374"/>
    <cellStyle name="Input 10 2 2 15" xfId="43839"/>
    <cellStyle name="Input 10 2 2 2" xfId="24453"/>
    <cellStyle name="Input 10 2 2 2 10" xfId="32206"/>
    <cellStyle name="Input 10 2 2 2 10 2" xfId="40960"/>
    <cellStyle name="Input 10 2 2 2 11" xfId="33281"/>
    <cellStyle name="Input 10 2 2 2 12" xfId="41701"/>
    <cellStyle name="Input 10 2 2 2 13" xfId="43373"/>
    <cellStyle name="Input 10 2 2 2 14" xfId="43840"/>
    <cellStyle name="Input 10 2 2 2 2" xfId="29061"/>
    <cellStyle name="Input 10 2 2 2 2 2" xfId="37815"/>
    <cellStyle name="Input 10 2 2 2 3" xfId="29474"/>
    <cellStyle name="Input 10 2 2 2 3 2" xfId="38228"/>
    <cellStyle name="Input 10 2 2 2 4" xfId="29894"/>
    <cellStyle name="Input 10 2 2 2 4 2" xfId="38648"/>
    <cellStyle name="Input 10 2 2 2 5" xfId="30313"/>
    <cellStyle name="Input 10 2 2 2 5 2" xfId="39067"/>
    <cellStyle name="Input 10 2 2 2 6" xfId="30714"/>
    <cellStyle name="Input 10 2 2 2 6 2" xfId="39468"/>
    <cellStyle name="Input 10 2 2 2 7" xfId="31100"/>
    <cellStyle name="Input 10 2 2 2 7 2" xfId="39854"/>
    <cellStyle name="Input 10 2 2 2 8" xfId="31478"/>
    <cellStyle name="Input 10 2 2 2 8 2" xfId="40232"/>
    <cellStyle name="Input 10 2 2 2 9" xfId="31844"/>
    <cellStyle name="Input 10 2 2 2 9 2" xfId="40598"/>
    <cellStyle name="Input 10 2 2 3" xfId="27673"/>
    <cellStyle name="Input 10 2 2 3 2" xfId="36433"/>
    <cellStyle name="Input 10 2 2 4" xfId="27333"/>
    <cellStyle name="Input 10 2 2 4 2" xfId="36093"/>
    <cellStyle name="Input 10 2 2 5" xfId="26741"/>
    <cellStyle name="Input 10 2 2 5 2" xfId="35503"/>
    <cellStyle name="Input 10 2 2 6" xfId="25889"/>
    <cellStyle name="Input 10 2 2 6 2" xfId="34655"/>
    <cellStyle name="Input 10 2 2 7" xfId="28376"/>
    <cellStyle name="Input 10 2 2 7 2" xfId="37134"/>
    <cellStyle name="Input 10 2 2 8" xfId="26603"/>
    <cellStyle name="Input 10 2 2 8 2" xfId="35368"/>
    <cellStyle name="Input 10 2 2 9" xfId="27854"/>
    <cellStyle name="Input 10 2 2 9 2" xfId="36614"/>
    <cellStyle name="Input 10 2 3" xfId="23625"/>
    <cellStyle name="Input 10 2 3 10" xfId="26643"/>
    <cellStyle name="Input 10 2 3 10 2" xfId="35408"/>
    <cellStyle name="Input 10 2 3 11" xfId="28373"/>
    <cellStyle name="Input 10 2 3 11 2" xfId="37131"/>
    <cellStyle name="Input 10 2 3 12" xfId="33095"/>
    <cellStyle name="Input 10 2 3 2" xfId="24680"/>
    <cellStyle name="Input 10 2 3 2 10" xfId="32381"/>
    <cellStyle name="Input 10 2 3 2 10 2" xfId="41135"/>
    <cellStyle name="Input 10 2 3 2 11" xfId="33456"/>
    <cellStyle name="Input 10 2 3 2 2" xfId="29245"/>
    <cellStyle name="Input 10 2 3 2 2 2" xfId="37999"/>
    <cellStyle name="Input 10 2 3 2 3" xfId="29655"/>
    <cellStyle name="Input 10 2 3 2 3 2" xfId="38409"/>
    <cellStyle name="Input 10 2 3 2 4" xfId="30075"/>
    <cellStyle name="Input 10 2 3 2 4 2" xfId="38829"/>
    <cellStyle name="Input 10 2 3 2 5" xfId="30491"/>
    <cellStyle name="Input 10 2 3 2 5 2" xfId="39245"/>
    <cellStyle name="Input 10 2 3 2 6" xfId="30892"/>
    <cellStyle name="Input 10 2 3 2 6 2" xfId="39646"/>
    <cellStyle name="Input 10 2 3 2 7" xfId="31278"/>
    <cellStyle name="Input 10 2 3 2 7 2" xfId="40032"/>
    <cellStyle name="Input 10 2 3 2 8" xfId="31654"/>
    <cellStyle name="Input 10 2 3 2 8 2" xfId="40408"/>
    <cellStyle name="Input 10 2 3 2 9" xfId="32020"/>
    <cellStyle name="Input 10 2 3 2 9 2" xfId="40774"/>
    <cellStyle name="Input 10 2 3 3" xfId="28741"/>
    <cellStyle name="Input 10 2 3 3 2" xfId="37497"/>
    <cellStyle name="Input 10 2 3 4" xfId="28873"/>
    <cellStyle name="Input 10 2 3 4 2" xfId="37629"/>
    <cellStyle name="Input 10 2 3 5" xfId="28555"/>
    <cellStyle name="Input 10 2 3 5 2" xfId="37311"/>
    <cellStyle name="Input 10 2 3 6" xfId="27214"/>
    <cellStyle name="Input 10 2 3 6 2" xfId="35974"/>
    <cellStyle name="Input 10 2 3 7" xfId="25394"/>
    <cellStyle name="Input 10 2 3 7 2" xfId="34163"/>
    <cellStyle name="Input 10 2 3 8" xfId="28070"/>
    <cellStyle name="Input 10 2 3 8 2" xfId="36829"/>
    <cellStyle name="Input 10 2 3 9" xfId="27824"/>
    <cellStyle name="Input 10 2 3 9 2" xfId="36584"/>
    <cellStyle name="Input 10 2 4" xfId="27219"/>
    <cellStyle name="Input 10 2 4 2" xfId="35979"/>
    <cellStyle name="Input 10 2 5" xfId="25820"/>
    <cellStyle name="Input 10 2 5 2" xfId="34586"/>
    <cellStyle name="Input 10 2 6" xfId="26323"/>
    <cellStyle name="Input 10 2 6 2" xfId="35089"/>
    <cellStyle name="Input 10 2 7" xfId="28400"/>
    <cellStyle name="Input 10 2 7 2" xfId="37157"/>
    <cellStyle name="Input 10 2 8" xfId="25282"/>
    <cellStyle name="Input 10 2 8 2" xfId="34052"/>
    <cellStyle name="Input 10 2 9" xfId="28306"/>
    <cellStyle name="Input 10 2 9 2" xfId="37065"/>
    <cellStyle name="Input 10 3" xfId="24990"/>
    <cellStyle name="Input 10 3 2" xfId="33764"/>
    <cellStyle name="Input 10 4" xfId="25511"/>
    <cellStyle name="Input 10 4 2" xfId="34280"/>
    <cellStyle name="Input 10 5" xfId="26370"/>
    <cellStyle name="Input 10 5 2" xfId="35136"/>
    <cellStyle name="Input 10 6" xfId="27595"/>
    <cellStyle name="Input 10 6 2" xfId="36355"/>
    <cellStyle name="Input 10 7" xfId="27478"/>
    <cellStyle name="Input 10 7 2" xfId="36238"/>
    <cellStyle name="Input 10 8" xfId="25221"/>
    <cellStyle name="Input 10 8 2" xfId="33992"/>
    <cellStyle name="Input 10 9" xfId="26976"/>
    <cellStyle name="Input 10 9 2" xfId="35736"/>
    <cellStyle name="Input 11" xfId="633"/>
    <cellStyle name="Input 11 10" xfId="1734"/>
    <cellStyle name="Input 11 10 2" xfId="32545"/>
    <cellStyle name="Input 11 11" xfId="26216"/>
    <cellStyle name="Input 11 11 2" xfId="34982"/>
    <cellStyle name="Input 11 12" xfId="41702"/>
    <cellStyle name="Input 11 2" xfId="6056"/>
    <cellStyle name="Input 11 2 10" xfId="29352"/>
    <cellStyle name="Input 11 2 10 2" xfId="38106"/>
    <cellStyle name="Input 11 2 11" xfId="24881"/>
    <cellStyle name="Input 11 2 11 2" xfId="33655"/>
    <cellStyle name="Input 11 2 12" xfId="32724"/>
    <cellStyle name="Input 11 2 13" xfId="41703"/>
    <cellStyle name="Input 11 2 2" xfId="18184"/>
    <cellStyle name="Input 11 2 2 10" xfId="27265"/>
    <cellStyle name="Input 11 2 2 10 2" xfId="36025"/>
    <cellStyle name="Input 11 2 2 11" xfId="27060"/>
    <cellStyle name="Input 11 2 2 11 2" xfId="35820"/>
    <cellStyle name="Input 11 2 2 12" xfId="32928"/>
    <cellStyle name="Input 11 2 2 13" xfId="41704"/>
    <cellStyle name="Input 11 2 2 14" xfId="43372"/>
    <cellStyle name="Input 11 2 2 15" xfId="43841"/>
    <cellStyle name="Input 11 2 2 2" xfId="24454"/>
    <cellStyle name="Input 11 2 2 2 10" xfId="32207"/>
    <cellStyle name="Input 11 2 2 2 10 2" xfId="40961"/>
    <cellStyle name="Input 11 2 2 2 11" xfId="33282"/>
    <cellStyle name="Input 11 2 2 2 12" xfId="41705"/>
    <cellStyle name="Input 11 2 2 2 13" xfId="43371"/>
    <cellStyle name="Input 11 2 2 2 14" xfId="43842"/>
    <cellStyle name="Input 11 2 2 2 2" xfId="29062"/>
    <cellStyle name="Input 11 2 2 2 2 2" xfId="37816"/>
    <cellStyle name="Input 11 2 2 2 3" xfId="29475"/>
    <cellStyle name="Input 11 2 2 2 3 2" xfId="38229"/>
    <cellStyle name="Input 11 2 2 2 4" xfId="29895"/>
    <cellStyle name="Input 11 2 2 2 4 2" xfId="38649"/>
    <cellStyle name="Input 11 2 2 2 5" xfId="30314"/>
    <cellStyle name="Input 11 2 2 2 5 2" xfId="39068"/>
    <cellStyle name="Input 11 2 2 2 6" xfId="30715"/>
    <cellStyle name="Input 11 2 2 2 6 2" xfId="39469"/>
    <cellStyle name="Input 11 2 2 2 7" xfId="31101"/>
    <cellStyle name="Input 11 2 2 2 7 2" xfId="39855"/>
    <cellStyle name="Input 11 2 2 2 8" xfId="31479"/>
    <cellStyle name="Input 11 2 2 2 8 2" xfId="40233"/>
    <cellStyle name="Input 11 2 2 2 9" xfId="31845"/>
    <cellStyle name="Input 11 2 2 2 9 2" xfId="40599"/>
    <cellStyle name="Input 11 2 2 3" xfId="27674"/>
    <cellStyle name="Input 11 2 2 3 2" xfId="36434"/>
    <cellStyle name="Input 11 2 2 4" xfId="28393"/>
    <cellStyle name="Input 11 2 2 4 2" xfId="37150"/>
    <cellStyle name="Input 11 2 2 5" xfId="26445"/>
    <cellStyle name="Input 11 2 2 5 2" xfId="35210"/>
    <cellStyle name="Input 11 2 2 6" xfId="24976"/>
    <cellStyle name="Input 11 2 2 6 2" xfId="33750"/>
    <cellStyle name="Input 11 2 2 7" xfId="1758"/>
    <cellStyle name="Input 11 2 2 7 2" xfId="32566"/>
    <cellStyle name="Input 11 2 2 8" xfId="1654"/>
    <cellStyle name="Input 11 2 2 8 2" xfId="32469"/>
    <cellStyle name="Input 11 2 2 9" xfId="26192"/>
    <cellStyle name="Input 11 2 2 9 2" xfId="34958"/>
    <cellStyle name="Input 11 2 3" xfId="23626"/>
    <cellStyle name="Input 11 2 3 10" xfId="28909"/>
    <cellStyle name="Input 11 2 3 10 2" xfId="37665"/>
    <cellStyle name="Input 11 2 3 11" xfId="25006"/>
    <cellStyle name="Input 11 2 3 11 2" xfId="33780"/>
    <cellStyle name="Input 11 2 3 12" xfId="33096"/>
    <cellStyle name="Input 11 2 3 2" xfId="24681"/>
    <cellStyle name="Input 11 2 3 2 10" xfId="32382"/>
    <cellStyle name="Input 11 2 3 2 10 2" xfId="41136"/>
    <cellStyle name="Input 11 2 3 2 11" xfId="33457"/>
    <cellStyle name="Input 11 2 3 2 2" xfId="29246"/>
    <cellStyle name="Input 11 2 3 2 2 2" xfId="38000"/>
    <cellStyle name="Input 11 2 3 2 3" xfId="29656"/>
    <cellStyle name="Input 11 2 3 2 3 2" xfId="38410"/>
    <cellStyle name="Input 11 2 3 2 4" xfId="30076"/>
    <cellStyle name="Input 11 2 3 2 4 2" xfId="38830"/>
    <cellStyle name="Input 11 2 3 2 5" xfId="30492"/>
    <cellStyle name="Input 11 2 3 2 5 2" xfId="39246"/>
    <cellStyle name="Input 11 2 3 2 6" xfId="30893"/>
    <cellStyle name="Input 11 2 3 2 6 2" xfId="39647"/>
    <cellStyle name="Input 11 2 3 2 7" xfId="31279"/>
    <cellStyle name="Input 11 2 3 2 7 2" xfId="40033"/>
    <cellStyle name="Input 11 2 3 2 8" xfId="31655"/>
    <cellStyle name="Input 11 2 3 2 8 2" xfId="40409"/>
    <cellStyle name="Input 11 2 3 2 9" xfId="32021"/>
    <cellStyle name="Input 11 2 3 2 9 2" xfId="40775"/>
    <cellStyle name="Input 11 2 3 3" xfId="28742"/>
    <cellStyle name="Input 11 2 3 3 2" xfId="37498"/>
    <cellStyle name="Input 11 2 3 4" xfId="24809"/>
    <cellStyle name="Input 11 2 3 4 2" xfId="33585"/>
    <cellStyle name="Input 11 2 3 5" xfId="28377"/>
    <cellStyle name="Input 11 2 3 5 2" xfId="37135"/>
    <cellStyle name="Input 11 2 3 6" xfId="27943"/>
    <cellStyle name="Input 11 2 3 6 2" xfId="36703"/>
    <cellStyle name="Input 11 2 3 7" xfId="25219"/>
    <cellStyle name="Input 11 2 3 7 2" xfId="33990"/>
    <cellStyle name="Input 11 2 3 8" xfId="28134"/>
    <cellStyle name="Input 11 2 3 8 2" xfId="36893"/>
    <cellStyle name="Input 11 2 3 9" xfId="25798"/>
    <cellStyle name="Input 11 2 3 9 2" xfId="34565"/>
    <cellStyle name="Input 11 2 4" xfId="28276"/>
    <cellStyle name="Input 11 2 4 2" xfId="37035"/>
    <cellStyle name="Input 11 2 5" xfId="1761"/>
    <cellStyle name="Input 11 2 5 2" xfId="32569"/>
    <cellStyle name="Input 11 2 6" xfId="29734"/>
    <cellStyle name="Input 11 2 6 2" xfId="38488"/>
    <cellStyle name="Input 11 2 7" xfId="25584"/>
    <cellStyle name="Input 11 2 7 2" xfId="34351"/>
    <cellStyle name="Input 11 2 8" xfId="26545"/>
    <cellStyle name="Input 11 2 8 2" xfId="35310"/>
    <cellStyle name="Input 11 2 9" xfId="25393"/>
    <cellStyle name="Input 11 2 9 2" xfId="34162"/>
    <cellStyle name="Input 11 3" xfId="24986"/>
    <cellStyle name="Input 11 3 2" xfId="33760"/>
    <cellStyle name="Input 11 4" xfId="25769"/>
    <cellStyle name="Input 11 4 2" xfId="34536"/>
    <cellStyle name="Input 11 5" xfId="26359"/>
    <cellStyle name="Input 11 5 2" xfId="35125"/>
    <cellStyle name="Input 11 6" xfId="25892"/>
    <cellStyle name="Input 11 6 2" xfId="34658"/>
    <cellStyle name="Input 11 7" xfId="26289"/>
    <cellStyle name="Input 11 7 2" xfId="35055"/>
    <cellStyle name="Input 11 8" xfId="27411"/>
    <cellStyle name="Input 11 8 2" xfId="36171"/>
    <cellStyle name="Input 11 9" xfId="25660"/>
    <cellStyle name="Input 11 9 2" xfId="34427"/>
    <cellStyle name="Input 12" xfId="1495"/>
    <cellStyle name="Input 12 10" xfId="28489"/>
    <cellStyle name="Input 12 10 2" xfId="37245"/>
    <cellStyle name="Input 12 11" xfId="27161"/>
    <cellStyle name="Input 12 11 2" xfId="35921"/>
    <cellStyle name="Input 12 12" xfId="41706"/>
    <cellStyle name="Input 12 2" xfId="6057"/>
    <cellStyle name="Input 12 2 10" xfId="28174"/>
    <cellStyle name="Input 12 2 10 2" xfId="36933"/>
    <cellStyle name="Input 12 2 11" xfId="28633"/>
    <cellStyle name="Input 12 2 11 2" xfId="37389"/>
    <cellStyle name="Input 12 2 12" xfId="32725"/>
    <cellStyle name="Input 12 2 13" xfId="41707"/>
    <cellStyle name="Input 12 2 2" xfId="18185"/>
    <cellStyle name="Input 12 2 2 10" xfId="24933"/>
    <cellStyle name="Input 12 2 2 10 2" xfId="33707"/>
    <cellStyle name="Input 12 2 2 11" xfId="25865"/>
    <cellStyle name="Input 12 2 2 11 2" xfId="34631"/>
    <cellStyle name="Input 12 2 2 12" xfId="32929"/>
    <cellStyle name="Input 12 2 2 13" xfId="41708"/>
    <cellStyle name="Input 12 2 2 14" xfId="43370"/>
    <cellStyle name="Input 12 2 2 15" xfId="43843"/>
    <cellStyle name="Input 12 2 2 2" xfId="24455"/>
    <cellStyle name="Input 12 2 2 2 10" xfId="32208"/>
    <cellStyle name="Input 12 2 2 2 10 2" xfId="40962"/>
    <cellStyle name="Input 12 2 2 2 11" xfId="33283"/>
    <cellStyle name="Input 12 2 2 2 12" xfId="41709"/>
    <cellStyle name="Input 12 2 2 2 13" xfId="43369"/>
    <cellStyle name="Input 12 2 2 2 14" xfId="43844"/>
    <cellStyle name="Input 12 2 2 2 2" xfId="29063"/>
    <cellStyle name="Input 12 2 2 2 2 2" xfId="37817"/>
    <cellStyle name="Input 12 2 2 2 3" xfId="29476"/>
    <cellStyle name="Input 12 2 2 2 3 2" xfId="38230"/>
    <cellStyle name="Input 12 2 2 2 4" xfId="29896"/>
    <cellStyle name="Input 12 2 2 2 4 2" xfId="38650"/>
    <cellStyle name="Input 12 2 2 2 5" xfId="30315"/>
    <cellStyle name="Input 12 2 2 2 5 2" xfId="39069"/>
    <cellStyle name="Input 12 2 2 2 6" xfId="30716"/>
    <cellStyle name="Input 12 2 2 2 6 2" xfId="39470"/>
    <cellStyle name="Input 12 2 2 2 7" xfId="31102"/>
    <cellStyle name="Input 12 2 2 2 7 2" xfId="39856"/>
    <cellStyle name="Input 12 2 2 2 8" xfId="31480"/>
    <cellStyle name="Input 12 2 2 2 8 2" xfId="40234"/>
    <cellStyle name="Input 12 2 2 2 9" xfId="31846"/>
    <cellStyle name="Input 12 2 2 2 9 2" xfId="40600"/>
    <cellStyle name="Input 12 2 2 3" xfId="27675"/>
    <cellStyle name="Input 12 2 2 3 2" xfId="36435"/>
    <cellStyle name="Input 12 2 2 4" xfId="25827"/>
    <cellStyle name="Input 12 2 2 4 2" xfId="34593"/>
    <cellStyle name="Input 12 2 2 5" xfId="28580"/>
    <cellStyle name="Input 12 2 2 5 2" xfId="37336"/>
    <cellStyle name="Input 12 2 2 6" xfId="26932"/>
    <cellStyle name="Input 12 2 2 6 2" xfId="35692"/>
    <cellStyle name="Input 12 2 2 7" xfId="25903"/>
    <cellStyle name="Input 12 2 2 7 2" xfId="34669"/>
    <cellStyle name="Input 12 2 2 8" xfId="26214"/>
    <cellStyle name="Input 12 2 2 8 2" xfId="34980"/>
    <cellStyle name="Input 12 2 2 9" xfId="26591"/>
    <cellStyle name="Input 12 2 2 9 2" xfId="35356"/>
    <cellStyle name="Input 12 2 3" xfId="23627"/>
    <cellStyle name="Input 12 2 3 10" xfId="26288"/>
    <cellStyle name="Input 12 2 3 10 2" xfId="35054"/>
    <cellStyle name="Input 12 2 3 11" xfId="25072"/>
    <cellStyle name="Input 12 2 3 11 2" xfId="33846"/>
    <cellStyle name="Input 12 2 3 12" xfId="33097"/>
    <cellStyle name="Input 12 2 3 2" xfId="24682"/>
    <cellStyle name="Input 12 2 3 2 10" xfId="32383"/>
    <cellStyle name="Input 12 2 3 2 10 2" xfId="41137"/>
    <cellStyle name="Input 12 2 3 2 11" xfId="33458"/>
    <cellStyle name="Input 12 2 3 2 2" xfId="29247"/>
    <cellStyle name="Input 12 2 3 2 2 2" xfId="38001"/>
    <cellStyle name="Input 12 2 3 2 3" xfId="29657"/>
    <cellStyle name="Input 12 2 3 2 3 2" xfId="38411"/>
    <cellStyle name="Input 12 2 3 2 4" xfId="30077"/>
    <cellStyle name="Input 12 2 3 2 4 2" xfId="38831"/>
    <cellStyle name="Input 12 2 3 2 5" xfId="30493"/>
    <cellStyle name="Input 12 2 3 2 5 2" xfId="39247"/>
    <cellStyle name="Input 12 2 3 2 6" xfId="30894"/>
    <cellStyle name="Input 12 2 3 2 6 2" xfId="39648"/>
    <cellStyle name="Input 12 2 3 2 7" xfId="31280"/>
    <cellStyle name="Input 12 2 3 2 7 2" xfId="40034"/>
    <cellStyle name="Input 12 2 3 2 8" xfId="31656"/>
    <cellStyle name="Input 12 2 3 2 8 2" xfId="40410"/>
    <cellStyle name="Input 12 2 3 2 9" xfId="32022"/>
    <cellStyle name="Input 12 2 3 2 9 2" xfId="40776"/>
    <cellStyle name="Input 12 2 3 3" xfId="28743"/>
    <cellStyle name="Input 12 2 3 3 2" xfId="37499"/>
    <cellStyle name="Input 12 2 3 4" xfId="28872"/>
    <cellStyle name="Input 12 2 3 4 2" xfId="37628"/>
    <cellStyle name="Input 12 2 3 5" xfId="25588"/>
    <cellStyle name="Input 12 2 3 5 2" xfId="34355"/>
    <cellStyle name="Input 12 2 3 6" xfId="28084"/>
    <cellStyle name="Input 12 2 3 6 2" xfId="36843"/>
    <cellStyle name="Input 12 2 3 7" xfId="28502"/>
    <cellStyle name="Input 12 2 3 7 2" xfId="37258"/>
    <cellStyle name="Input 12 2 3 8" xfId="25134"/>
    <cellStyle name="Input 12 2 3 8 2" xfId="33905"/>
    <cellStyle name="Input 12 2 3 9" xfId="26854"/>
    <cellStyle name="Input 12 2 3 9 2" xfId="35615"/>
    <cellStyle name="Input 12 2 4" xfId="25720"/>
    <cellStyle name="Input 12 2 4 2" xfId="34487"/>
    <cellStyle name="Input 12 2 5" xfId="26190"/>
    <cellStyle name="Input 12 2 5 2" xfId="34956"/>
    <cellStyle name="Input 12 2 6" xfId="27591"/>
    <cellStyle name="Input 12 2 6 2" xfId="36351"/>
    <cellStyle name="Input 12 2 7" xfId="25945"/>
    <cellStyle name="Input 12 2 7 2" xfId="34711"/>
    <cellStyle name="Input 12 2 8" xfId="26879"/>
    <cellStyle name="Input 12 2 8 2" xfId="35639"/>
    <cellStyle name="Input 12 2 9" xfId="26283"/>
    <cellStyle name="Input 12 2 9 2" xfId="35049"/>
    <cellStyle name="Input 12 3" xfId="24985"/>
    <cellStyle name="Input 12 3 2" xfId="33759"/>
    <cellStyle name="Input 12 4" xfId="27089"/>
    <cellStyle name="Input 12 4 2" xfId="35849"/>
    <cellStyle name="Input 12 5" xfId="25445"/>
    <cellStyle name="Input 12 5 2" xfId="34214"/>
    <cellStyle name="Input 12 6" xfId="26894"/>
    <cellStyle name="Input 12 6 2" xfId="35654"/>
    <cellStyle name="Input 12 7" xfId="26107"/>
    <cellStyle name="Input 12 7 2" xfId="34873"/>
    <cellStyle name="Input 12 8" xfId="1907"/>
    <cellStyle name="Input 12 8 2" xfId="32616"/>
    <cellStyle name="Input 12 9" xfId="25714"/>
    <cellStyle name="Input 12 9 2" xfId="34481"/>
    <cellStyle name="Input 13" xfId="1490"/>
    <cellStyle name="Input 13 10" xfId="24888"/>
    <cellStyle name="Input 13 10 2" xfId="33662"/>
    <cellStyle name="Input 13 11" xfId="25425"/>
    <cellStyle name="Input 13 11 2" xfId="34194"/>
    <cellStyle name="Input 13 12" xfId="41710"/>
    <cellStyle name="Input 13 2" xfId="6058"/>
    <cellStyle name="Input 13 2 10" xfId="28936"/>
    <cellStyle name="Input 13 2 10 2" xfId="37691"/>
    <cellStyle name="Input 13 2 11" xfId="27298"/>
    <cellStyle name="Input 13 2 11 2" xfId="36058"/>
    <cellStyle name="Input 13 2 12" xfId="32726"/>
    <cellStyle name="Input 13 2 13" xfId="41711"/>
    <cellStyle name="Input 13 2 2" xfId="18186"/>
    <cellStyle name="Input 13 2 2 10" xfId="27305"/>
    <cellStyle name="Input 13 2 2 10 2" xfId="36065"/>
    <cellStyle name="Input 13 2 2 11" xfId="27580"/>
    <cellStyle name="Input 13 2 2 11 2" xfId="36340"/>
    <cellStyle name="Input 13 2 2 12" xfId="32930"/>
    <cellStyle name="Input 13 2 2 13" xfId="41712"/>
    <cellStyle name="Input 13 2 2 14" xfId="43368"/>
    <cellStyle name="Input 13 2 2 15" xfId="43845"/>
    <cellStyle name="Input 13 2 2 2" xfId="24456"/>
    <cellStyle name="Input 13 2 2 2 10" xfId="32209"/>
    <cellStyle name="Input 13 2 2 2 10 2" xfId="40963"/>
    <cellStyle name="Input 13 2 2 2 11" xfId="33284"/>
    <cellStyle name="Input 13 2 2 2 12" xfId="41713"/>
    <cellStyle name="Input 13 2 2 2 13" xfId="43367"/>
    <cellStyle name="Input 13 2 2 2 14" xfId="43846"/>
    <cellStyle name="Input 13 2 2 2 2" xfId="29064"/>
    <cellStyle name="Input 13 2 2 2 2 2" xfId="37818"/>
    <cellStyle name="Input 13 2 2 2 3" xfId="29477"/>
    <cellStyle name="Input 13 2 2 2 3 2" xfId="38231"/>
    <cellStyle name="Input 13 2 2 2 4" xfId="29897"/>
    <cellStyle name="Input 13 2 2 2 4 2" xfId="38651"/>
    <cellStyle name="Input 13 2 2 2 5" xfId="30316"/>
    <cellStyle name="Input 13 2 2 2 5 2" xfId="39070"/>
    <cellStyle name="Input 13 2 2 2 6" xfId="30717"/>
    <cellStyle name="Input 13 2 2 2 6 2" xfId="39471"/>
    <cellStyle name="Input 13 2 2 2 7" xfId="31103"/>
    <cellStyle name="Input 13 2 2 2 7 2" xfId="39857"/>
    <cellStyle name="Input 13 2 2 2 8" xfId="31481"/>
    <cellStyle name="Input 13 2 2 2 8 2" xfId="40235"/>
    <cellStyle name="Input 13 2 2 2 9" xfId="31847"/>
    <cellStyle name="Input 13 2 2 2 9 2" xfId="40601"/>
    <cellStyle name="Input 13 2 2 3" xfId="27676"/>
    <cellStyle name="Input 13 2 2 3 2" xfId="36436"/>
    <cellStyle name="Input 13 2 2 4" xfId="26641"/>
    <cellStyle name="Input 13 2 2 4 2" xfId="35406"/>
    <cellStyle name="Input 13 2 2 5" xfId="27522"/>
    <cellStyle name="Input 13 2 2 5 2" xfId="36282"/>
    <cellStyle name="Input 13 2 2 6" xfId="28085"/>
    <cellStyle name="Input 13 2 2 6 2" xfId="36844"/>
    <cellStyle name="Input 13 2 2 7" xfId="25288"/>
    <cellStyle name="Input 13 2 2 7 2" xfId="34058"/>
    <cellStyle name="Input 13 2 2 8" xfId="26450"/>
    <cellStyle name="Input 13 2 2 8 2" xfId="35215"/>
    <cellStyle name="Input 13 2 2 9" xfId="25077"/>
    <cellStyle name="Input 13 2 2 9 2" xfId="33850"/>
    <cellStyle name="Input 13 2 3" xfId="23628"/>
    <cellStyle name="Input 13 2 3 10" xfId="26951"/>
    <cellStyle name="Input 13 2 3 10 2" xfId="35711"/>
    <cellStyle name="Input 13 2 3 11" xfId="25473"/>
    <cellStyle name="Input 13 2 3 11 2" xfId="34242"/>
    <cellStyle name="Input 13 2 3 12" xfId="33098"/>
    <cellStyle name="Input 13 2 3 2" xfId="24683"/>
    <cellStyle name="Input 13 2 3 2 10" xfId="32384"/>
    <cellStyle name="Input 13 2 3 2 10 2" xfId="41138"/>
    <cellStyle name="Input 13 2 3 2 11" xfId="33459"/>
    <cellStyle name="Input 13 2 3 2 2" xfId="29248"/>
    <cellStyle name="Input 13 2 3 2 2 2" xfId="38002"/>
    <cellStyle name="Input 13 2 3 2 3" xfId="29658"/>
    <cellStyle name="Input 13 2 3 2 3 2" xfId="38412"/>
    <cellStyle name="Input 13 2 3 2 4" xfId="30078"/>
    <cellStyle name="Input 13 2 3 2 4 2" xfId="38832"/>
    <cellStyle name="Input 13 2 3 2 5" xfId="30494"/>
    <cellStyle name="Input 13 2 3 2 5 2" xfId="39248"/>
    <cellStyle name="Input 13 2 3 2 6" xfId="30895"/>
    <cellStyle name="Input 13 2 3 2 6 2" xfId="39649"/>
    <cellStyle name="Input 13 2 3 2 7" xfId="31281"/>
    <cellStyle name="Input 13 2 3 2 7 2" xfId="40035"/>
    <cellStyle name="Input 13 2 3 2 8" xfId="31657"/>
    <cellStyle name="Input 13 2 3 2 8 2" xfId="40411"/>
    <cellStyle name="Input 13 2 3 2 9" xfId="32023"/>
    <cellStyle name="Input 13 2 3 2 9 2" xfId="40777"/>
    <cellStyle name="Input 13 2 3 3" xfId="28744"/>
    <cellStyle name="Input 13 2 3 3 2" xfId="37500"/>
    <cellStyle name="Input 13 2 3 4" xfId="24807"/>
    <cellStyle name="Input 13 2 3 4 2" xfId="33583"/>
    <cellStyle name="Input 13 2 3 5" xfId="26164"/>
    <cellStyle name="Input 13 2 3 5 2" xfId="34930"/>
    <cellStyle name="Input 13 2 3 6" xfId="24789"/>
    <cellStyle name="Input 13 2 3 6 2" xfId="33565"/>
    <cellStyle name="Input 13 2 3 7" xfId="25266"/>
    <cellStyle name="Input 13 2 3 7 2" xfId="34036"/>
    <cellStyle name="Input 13 2 3 8" xfId="28888"/>
    <cellStyle name="Input 13 2 3 8 2" xfId="37644"/>
    <cellStyle name="Input 13 2 3 9" xfId="26887"/>
    <cellStyle name="Input 13 2 3 9 2" xfId="35647"/>
    <cellStyle name="Input 13 2 4" xfId="25437"/>
    <cellStyle name="Input 13 2 4 2" xfId="34206"/>
    <cellStyle name="Input 13 2 5" xfId="25738"/>
    <cellStyle name="Input 13 2 5 2" xfId="34505"/>
    <cellStyle name="Input 13 2 6" xfId="27471"/>
    <cellStyle name="Input 13 2 6 2" xfId="36231"/>
    <cellStyle name="Input 13 2 7" xfId="25401"/>
    <cellStyle name="Input 13 2 7 2" xfId="34170"/>
    <cellStyle name="Input 13 2 8" xfId="26337"/>
    <cellStyle name="Input 13 2 8 2" xfId="35103"/>
    <cellStyle name="Input 13 2 9" xfId="25953"/>
    <cellStyle name="Input 13 2 9 2" xfId="34719"/>
    <cellStyle name="Input 13 3" xfId="24983"/>
    <cellStyle name="Input 13 3 2" xfId="33757"/>
    <cellStyle name="Input 13 4" xfId="27392"/>
    <cellStyle name="Input 13 4 2" xfId="36152"/>
    <cellStyle name="Input 13 5" xfId="25130"/>
    <cellStyle name="Input 13 5 2" xfId="33901"/>
    <cellStyle name="Input 13 6" xfId="28532"/>
    <cellStyle name="Input 13 6 2" xfId="37288"/>
    <cellStyle name="Input 13 7" xfId="26304"/>
    <cellStyle name="Input 13 7 2" xfId="35070"/>
    <cellStyle name="Input 13 8" xfId="26220"/>
    <cellStyle name="Input 13 8 2" xfId="34986"/>
    <cellStyle name="Input 13 9" xfId="26056"/>
    <cellStyle name="Input 13 9 2" xfId="34822"/>
    <cellStyle name="Input 14" xfId="1501"/>
    <cellStyle name="Input 14 10" xfId="26791"/>
    <cellStyle name="Input 14 10 2" xfId="35553"/>
    <cellStyle name="Input 14 11" xfId="25734"/>
    <cellStyle name="Input 14 11 2" xfId="34501"/>
    <cellStyle name="Input 14 12" xfId="41714"/>
    <cellStyle name="Input 14 2" xfId="6059"/>
    <cellStyle name="Input 14 2 10" xfId="24830"/>
    <cellStyle name="Input 14 2 10 2" xfId="33605"/>
    <cellStyle name="Input 14 2 11" xfId="27329"/>
    <cellStyle name="Input 14 2 11 2" xfId="36089"/>
    <cellStyle name="Input 14 2 12" xfId="32727"/>
    <cellStyle name="Input 14 2 13" xfId="41715"/>
    <cellStyle name="Input 14 2 2" xfId="18187"/>
    <cellStyle name="Input 14 2 2 10" xfId="26477"/>
    <cellStyle name="Input 14 2 2 10 2" xfId="35242"/>
    <cellStyle name="Input 14 2 2 11" xfId="26945"/>
    <cellStyle name="Input 14 2 2 11 2" xfId="35705"/>
    <cellStyle name="Input 14 2 2 12" xfId="32931"/>
    <cellStyle name="Input 14 2 2 13" xfId="41716"/>
    <cellStyle name="Input 14 2 2 14" xfId="43366"/>
    <cellStyle name="Input 14 2 2 15" xfId="43847"/>
    <cellStyle name="Input 14 2 2 2" xfId="24457"/>
    <cellStyle name="Input 14 2 2 2 10" xfId="32210"/>
    <cellStyle name="Input 14 2 2 2 10 2" xfId="40964"/>
    <cellStyle name="Input 14 2 2 2 11" xfId="33285"/>
    <cellStyle name="Input 14 2 2 2 12" xfId="41717"/>
    <cellStyle name="Input 14 2 2 2 13" xfId="43365"/>
    <cellStyle name="Input 14 2 2 2 14" xfId="43848"/>
    <cellStyle name="Input 14 2 2 2 2" xfId="29065"/>
    <cellStyle name="Input 14 2 2 2 2 2" xfId="37819"/>
    <cellStyle name="Input 14 2 2 2 3" xfId="29478"/>
    <cellStyle name="Input 14 2 2 2 3 2" xfId="38232"/>
    <cellStyle name="Input 14 2 2 2 4" xfId="29898"/>
    <cellStyle name="Input 14 2 2 2 4 2" xfId="38652"/>
    <cellStyle name="Input 14 2 2 2 5" xfId="30317"/>
    <cellStyle name="Input 14 2 2 2 5 2" xfId="39071"/>
    <cellStyle name="Input 14 2 2 2 6" xfId="30718"/>
    <cellStyle name="Input 14 2 2 2 6 2" xfId="39472"/>
    <cellStyle name="Input 14 2 2 2 7" xfId="31104"/>
    <cellStyle name="Input 14 2 2 2 7 2" xfId="39858"/>
    <cellStyle name="Input 14 2 2 2 8" xfId="31482"/>
    <cellStyle name="Input 14 2 2 2 8 2" xfId="40236"/>
    <cellStyle name="Input 14 2 2 2 9" xfId="31848"/>
    <cellStyle name="Input 14 2 2 2 9 2" xfId="40602"/>
    <cellStyle name="Input 14 2 2 3" xfId="27677"/>
    <cellStyle name="Input 14 2 2 3 2" xfId="36437"/>
    <cellStyle name="Input 14 2 2 4" xfId="28244"/>
    <cellStyle name="Input 14 2 2 4 2" xfId="37003"/>
    <cellStyle name="Input 14 2 2 5" xfId="25969"/>
    <cellStyle name="Input 14 2 2 5 2" xfId="34735"/>
    <cellStyle name="Input 14 2 2 6" xfId="26526"/>
    <cellStyle name="Input 14 2 2 6 2" xfId="35291"/>
    <cellStyle name="Input 14 2 2 7" xfId="25641"/>
    <cellStyle name="Input 14 2 2 7 2" xfId="34408"/>
    <cellStyle name="Input 14 2 2 8" xfId="26391"/>
    <cellStyle name="Input 14 2 2 8 2" xfId="35157"/>
    <cellStyle name="Input 14 2 2 9" xfId="24781"/>
    <cellStyle name="Input 14 2 2 9 2" xfId="33557"/>
    <cellStyle name="Input 14 2 3" xfId="23629"/>
    <cellStyle name="Input 14 2 3 10" xfId="26021"/>
    <cellStyle name="Input 14 2 3 10 2" xfId="34787"/>
    <cellStyle name="Input 14 2 3 11" xfId="28479"/>
    <cellStyle name="Input 14 2 3 11 2" xfId="37236"/>
    <cellStyle name="Input 14 2 3 12" xfId="33099"/>
    <cellStyle name="Input 14 2 3 2" xfId="24684"/>
    <cellStyle name="Input 14 2 3 2 10" xfId="32385"/>
    <cellStyle name="Input 14 2 3 2 10 2" xfId="41139"/>
    <cellStyle name="Input 14 2 3 2 11" xfId="33460"/>
    <cellStyle name="Input 14 2 3 2 2" xfId="29249"/>
    <cellStyle name="Input 14 2 3 2 2 2" xfId="38003"/>
    <cellStyle name="Input 14 2 3 2 3" xfId="29659"/>
    <cellStyle name="Input 14 2 3 2 3 2" xfId="38413"/>
    <cellStyle name="Input 14 2 3 2 4" xfId="30079"/>
    <cellStyle name="Input 14 2 3 2 4 2" xfId="38833"/>
    <cellStyle name="Input 14 2 3 2 5" xfId="30495"/>
    <cellStyle name="Input 14 2 3 2 5 2" xfId="39249"/>
    <cellStyle name="Input 14 2 3 2 6" xfId="30896"/>
    <cellStyle name="Input 14 2 3 2 6 2" xfId="39650"/>
    <cellStyle name="Input 14 2 3 2 7" xfId="31282"/>
    <cellStyle name="Input 14 2 3 2 7 2" xfId="40036"/>
    <cellStyle name="Input 14 2 3 2 8" xfId="31658"/>
    <cellStyle name="Input 14 2 3 2 8 2" xfId="40412"/>
    <cellStyle name="Input 14 2 3 2 9" xfId="32024"/>
    <cellStyle name="Input 14 2 3 2 9 2" xfId="40778"/>
    <cellStyle name="Input 14 2 3 3" xfId="28745"/>
    <cellStyle name="Input 14 2 3 3 2" xfId="37501"/>
    <cellStyle name="Input 14 2 3 4" xfId="28864"/>
    <cellStyle name="Input 14 2 3 4 2" xfId="37620"/>
    <cellStyle name="Input 14 2 3 5" xfId="24831"/>
    <cellStyle name="Input 14 2 3 5 2" xfId="33606"/>
    <cellStyle name="Input 14 2 3 6" xfId="26300"/>
    <cellStyle name="Input 14 2 3 6 2" xfId="35066"/>
    <cellStyle name="Input 14 2 3 7" xfId="27101"/>
    <cellStyle name="Input 14 2 3 7 2" xfId="35861"/>
    <cellStyle name="Input 14 2 3 8" xfId="26928"/>
    <cellStyle name="Input 14 2 3 8 2" xfId="35688"/>
    <cellStyle name="Input 14 2 3 9" xfId="27053"/>
    <cellStyle name="Input 14 2 3 9 2" xfId="35813"/>
    <cellStyle name="Input 14 2 4" xfId="26453"/>
    <cellStyle name="Input 14 2 4 2" xfId="35218"/>
    <cellStyle name="Input 14 2 5" xfId="25986"/>
    <cellStyle name="Input 14 2 5 2" xfId="34752"/>
    <cellStyle name="Input 14 2 6" xfId="27440"/>
    <cellStyle name="Input 14 2 6 2" xfId="36200"/>
    <cellStyle name="Input 14 2 7" xfId="28177"/>
    <cellStyle name="Input 14 2 7 2" xfId="36936"/>
    <cellStyle name="Input 14 2 8" xfId="28277"/>
    <cellStyle name="Input 14 2 8 2" xfId="37036"/>
    <cellStyle name="Input 14 2 9" xfId="25398"/>
    <cellStyle name="Input 14 2 9 2" xfId="34167"/>
    <cellStyle name="Input 14 3" xfId="24987"/>
    <cellStyle name="Input 14 3 2" xfId="33761"/>
    <cellStyle name="Input 14 4" xfId="27527"/>
    <cellStyle name="Input 14 4 2" xfId="36287"/>
    <cellStyle name="Input 14 5" xfId="26931"/>
    <cellStyle name="Input 14 5 2" xfId="35691"/>
    <cellStyle name="Input 14 6" xfId="26308"/>
    <cellStyle name="Input 14 6 2" xfId="35074"/>
    <cellStyle name="Input 14 7" xfId="27294"/>
    <cellStyle name="Input 14 7 2" xfId="36054"/>
    <cellStyle name="Input 14 8" xfId="28256"/>
    <cellStyle name="Input 14 8 2" xfId="37015"/>
    <cellStyle name="Input 14 9" xfId="26282"/>
    <cellStyle name="Input 14 9 2" xfId="35048"/>
    <cellStyle name="Input 15" xfId="1506"/>
    <cellStyle name="Input 15 10" xfId="28150"/>
    <cellStyle name="Input 15 10 2" xfId="36909"/>
    <cellStyle name="Input 15 11" xfId="27427"/>
    <cellStyle name="Input 15 11 2" xfId="36187"/>
    <cellStyle name="Input 15 12" xfId="41718"/>
    <cellStyle name="Input 15 2" xfId="6060"/>
    <cellStyle name="Input 15 2 10" xfId="25143"/>
    <cellStyle name="Input 15 2 10 2" xfId="33914"/>
    <cellStyle name="Input 15 2 11" xfId="2337"/>
    <cellStyle name="Input 15 2 11 2" xfId="32635"/>
    <cellStyle name="Input 15 2 12" xfId="32728"/>
    <cellStyle name="Input 15 2 13" xfId="41719"/>
    <cellStyle name="Input 15 2 2" xfId="18188"/>
    <cellStyle name="Input 15 2 2 10" xfId="30177"/>
    <cellStyle name="Input 15 2 2 10 2" xfId="38931"/>
    <cellStyle name="Input 15 2 2 11" xfId="30582"/>
    <cellStyle name="Input 15 2 2 11 2" xfId="39336"/>
    <cellStyle name="Input 15 2 2 12" xfId="32932"/>
    <cellStyle name="Input 15 2 2 13" xfId="41720"/>
    <cellStyle name="Input 15 2 2 14" xfId="43364"/>
    <cellStyle name="Input 15 2 2 15" xfId="43849"/>
    <cellStyle name="Input 15 2 2 2" xfId="24458"/>
    <cellStyle name="Input 15 2 2 2 10" xfId="32211"/>
    <cellStyle name="Input 15 2 2 2 10 2" xfId="40965"/>
    <cellStyle name="Input 15 2 2 2 11" xfId="33286"/>
    <cellStyle name="Input 15 2 2 2 12" xfId="41721"/>
    <cellStyle name="Input 15 2 2 2 13" xfId="43363"/>
    <cellStyle name="Input 15 2 2 2 14" xfId="43850"/>
    <cellStyle name="Input 15 2 2 2 2" xfId="29066"/>
    <cellStyle name="Input 15 2 2 2 2 2" xfId="37820"/>
    <cellStyle name="Input 15 2 2 2 3" xfId="29479"/>
    <cellStyle name="Input 15 2 2 2 3 2" xfId="38233"/>
    <cellStyle name="Input 15 2 2 2 4" xfId="29899"/>
    <cellStyle name="Input 15 2 2 2 4 2" xfId="38653"/>
    <cellStyle name="Input 15 2 2 2 5" xfId="30318"/>
    <cellStyle name="Input 15 2 2 2 5 2" xfId="39072"/>
    <cellStyle name="Input 15 2 2 2 6" xfId="30719"/>
    <cellStyle name="Input 15 2 2 2 6 2" xfId="39473"/>
    <cellStyle name="Input 15 2 2 2 7" xfId="31105"/>
    <cellStyle name="Input 15 2 2 2 7 2" xfId="39859"/>
    <cellStyle name="Input 15 2 2 2 8" xfId="31483"/>
    <cellStyle name="Input 15 2 2 2 8 2" xfId="40237"/>
    <cellStyle name="Input 15 2 2 2 9" xfId="31849"/>
    <cellStyle name="Input 15 2 2 2 9 2" xfId="40603"/>
    <cellStyle name="Input 15 2 2 3" xfId="27678"/>
    <cellStyle name="Input 15 2 2 3 2" xfId="36438"/>
    <cellStyle name="Input 15 2 2 4" xfId="27187"/>
    <cellStyle name="Input 15 2 2 4 2" xfId="35947"/>
    <cellStyle name="Input 15 2 2 5" xfId="28685"/>
    <cellStyle name="Input 15 2 2 5 2" xfId="37441"/>
    <cellStyle name="Input 15 2 2 6" xfId="26747"/>
    <cellStyle name="Input 15 2 2 6 2" xfId="35509"/>
    <cellStyle name="Input 15 2 2 7" xfId="26610"/>
    <cellStyle name="Input 15 2 2 7 2" xfId="35375"/>
    <cellStyle name="Input 15 2 2 8" xfId="27382"/>
    <cellStyle name="Input 15 2 2 8 2" xfId="36142"/>
    <cellStyle name="Input 15 2 2 9" xfId="25303"/>
    <cellStyle name="Input 15 2 2 9 2" xfId="34072"/>
    <cellStyle name="Input 15 2 3" xfId="23630"/>
    <cellStyle name="Input 15 2 3 10" xfId="28664"/>
    <cellStyle name="Input 15 2 3 10 2" xfId="37420"/>
    <cellStyle name="Input 15 2 3 11" xfId="27807"/>
    <cellStyle name="Input 15 2 3 11 2" xfId="36567"/>
    <cellStyle name="Input 15 2 3 12" xfId="33100"/>
    <cellStyle name="Input 15 2 3 2" xfId="24685"/>
    <cellStyle name="Input 15 2 3 2 10" xfId="32386"/>
    <cellStyle name="Input 15 2 3 2 10 2" xfId="41140"/>
    <cellStyle name="Input 15 2 3 2 11" xfId="33461"/>
    <cellStyle name="Input 15 2 3 2 2" xfId="29250"/>
    <cellStyle name="Input 15 2 3 2 2 2" xfId="38004"/>
    <cellStyle name="Input 15 2 3 2 3" xfId="29660"/>
    <cellStyle name="Input 15 2 3 2 3 2" xfId="38414"/>
    <cellStyle name="Input 15 2 3 2 4" xfId="30080"/>
    <cellStyle name="Input 15 2 3 2 4 2" xfId="38834"/>
    <cellStyle name="Input 15 2 3 2 5" xfId="30496"/>
    <cellStyle name="Input 15 2 3 2 5 2" xfId="39250"/>
    <cellStyle name="Input 15 2 3 2 6" xfId="30897"/>
    <cellStyle name="Input 15 2 3 2 6 2" xfId="39651"/>
    <cellStyle name="Input 15 2 3 2 7" xfId="31283"/>
    <cellStyle name="Input 15 2 3 2 7 2" xfId="40037"/>
    <cellStyle name="Input 15 2 3 2 8" xfId="31659"/>
    <cellStyle name="Input 15 2 3 2 8 2" xfId="40413"/>
    <cellStyle name="Input 15 2 3 2 9" xfId="32025"/>
    <cellStyle name="Input 15 2 3 2 9 2" xfId="40779"/>
    <cellStyle name="Input 15 2 3 3" xfId="28746"/>
    <cellStyle name="Input 15 2 3 3 2" xfId="37502"/>
    <cellStyle name="Input 15 2 3 4" xfId="24802"/>
    <cellStyle name="Input 15 2 3 4 2" xfId="33578"/>
    <cellStyle name="Input 15 2 3 5" xfId="25700"/>
    <cellStyle name="Input 15 2 3 5 2" xfId="34467"/>
    <cellStyle name="Input 15 2 3 6" xfId="26616"/>
    <cellStyle name="Input 15 2 3 6 2" xfId="35381"/>
    <cellStyle name="Input 15 2 3 7" xfId="28257"/>
    <cellStyle name="Input 15 2 3 7 2" xfId="37016"/>
    <cellStyle name="Input 15 2 3 8" xfId="28683"/>
    <cellStyle name="Input 15 2 3 8 2" xfId="37439"/>
    <cellStyle name="Input 15 2 3 9" xfId="28524"/>
    <cellStyle name="Input 15 2 3 9 2" xfId="37280"/>
    <cellStyle name="Input 15 2 4" xfId="28117"/>
    <cellStyle name="Input 15 2 4 2" xfId="36876"/>
    <cellStyle name="Input 15 2 5" xfId="25667"/>
    <cellStyle name="Input 15 2 5 2" xfId="34434"/>
    <cellStyle name="Input 15 2 6" xfId="26867"/>
    <cellStyle name="Input 15 2 6 2" xfId="35628"/>
    <cellStyle name="Input 15 2 7" xfId="25744"/>
    <cellStyle name="Input 15 2 7 2" xfId="34511"/>
    <cellStyle name="Input 15 2 8" xfId="26640"/>
    <cellStyle name="Input 15 2 8 2" xfId="35405"/>
    <cellStyle name="Input 15 2 9" xfId="25696"/>
    <cellStyle name="Input 15 2 9 2" xfId="34463"/>
    <cellStyle name="Input 15 3" xfId="24991"/>
    <cellStyle name="Input 15 3 2" xfId="33765"/>
    <cellStyle name="Input 15 4" xfId="26725"/>
    <cellStyle name="Input 15 4 2" xfId="35488"/>
    <cellStyle name="Input 15 5" xfId="26131"/>
    <cellStyle name="Input 15 5 2" xfId="34897"/>
    <cellStyle name="Input 15 6" xfId="26652"/>
    <cellStyle name="Input 15 6 2" xfId="35417"/>
    <cellStyle name="Input 15 7" xfId="27795"/>
    <cellStyle name="Input 15 7 2" xfId="36555"/>
    <cellStyle name="Input 15 8" xfId="28098"/>
    <cellStyle name="Input 15 8 2" xfId="36857"/>
    <cellStyle name="Input 15 9" xfId="28154"/>
    <cellStyle name="Input 15 9 2" xfId="36913"/>
    <cellStyle name="Input 16" xfId="1521"/>
    <cellStyle name="Input 16 10" xfId="2860"/>
    <cellStyle name="Input 16 10 2" xfId="32664"/>
    <cellStyle name="Input 16 11" xfId="27056"/>
    <cellStyle name="Input 16 11 2" xfId="35816"/>
    <cellStyle name="Input 16 12" xfId="41722"/>
    <cellStyle name="Input 16 2" xfId="6061"/>
    <cellStyle name="Input 16 2 10" xfId="2192"/>
    <cellStyle name="Input 16 2 10 2" xfId="32632"/>
    <cellStyle name="Input 16 2 11" xfId="29750"/>
    <cellStyle name="Input 16 2 11 2" xfId="38504"/>
    <cellStyle name="Input 16 2 12" xfId="32729"/>
    <cellStyle name="Input 16 2 13" xfId="41723"/>
    <cellStyle name="Input 16 2 2" xfId="18189"/>
    <cellStyle name="Input 16 2 2 10" xfId="26830"/>
    <cellStyle name="Input 16 2 2 10 2" xfId="35591"/>
    <cellStyle name="Input 16 2 2 11" xfId="27348"/>
    <cellStyle name="Input 16 2 2 11 2" xfId="36108"/>
    <cellStyle name="Input 16 2 2 12" xfId="32933"/>
    <cellStyle name="Input 16 2 2 13" xfId="41724"/>
    <cellStyle name="Input 16 2 2 14" xfId="43362"/>
    <cellStyle name="Input 16 2 2 15" xfId="43851"/>
    <cellStyle name="Input 16 2 2 2" xfId="24459"/>
    <cellStyle name="Input 16 2 2 2 10" xfId="32212"/>
    <cellStyle name="Input 16 2 2 2 10 2" xfId="40966"/>
    <cellStyle name="Input 16 2 2 2 11" xfId="33287"/>
    <cellStyle name="Input 16 2 2 2 12" xfId="41725"/>
    <cellStyle name="Input 16 2 2 2 13" xfId="43361"/>
    <cellStyle name="Input 16 2 2 2 14" xfId="43852"/>
    <cellStyle name="Input 16 2 2 2 2" xfId="29067"/>
    <cellStyle name="Input 16 2 2 2 2 2" xfId="37821"/>
    <cellStyle name="Input 16 2 2 2 3" xfId="29480"/>
    <cellStyle name="Input 16 2 2 2 3 2" xfId="38234"/>
    <cellStyle name="Input 16 2 2 2 4" xfId="29900"/>
    <cellStyle name="Input 16 2 2 2 4 2" xfId="38654"/>
    <cellStyle name="Input 16 2 2 2 5" xfId="30319"/>
    <cellStyle name="Input 16 2 2 2 5 2" xfId="39073"/>
    <cellStyle name="Input 16 2 2 2 6" xfId="30720"/>
    <cellStyle name="Input 16 2 2 2 6 2" xfId="39474"/>
    <cellStyle name="Input 16 2 2 2 7" xfId="31106"/>
    <cellStyle name="Input 16 2 2 2 7 2" xfId="39860"/>
    <cellStyle name="Input 16 2 2 2 8" xfId="31484"/>
    <cellStyle name="Input 16 2 2 2 8 2" xfId="40238"/>
    <cellStyle name="Input 16 2 2 2 9" xfId="31850"/>
    <cellStyle name="Input 16 2 2 2 9 2" xfId="40604"/>
    <cellStyle name="Input 16 2 2 3" xfId="27679"/>
    <cellStyle name="Input 16 2 2 3 2" xfId="36439"/>
    <cellStyle name="Input 16 2 2 4" xfId="27579"/>
    <cellStyle name="Input 16 2 2 4 2" xfId="36339"/>
    <cellStyle name="Input 16 2 2 5" xfId="26574"/>
    <cellStyle name="Input 16 2 2 5 2" xfId="35339"/>
    <cellStyle name="Input 16 2 2 6" xfId="25961"/>
    <cellStyle name="Input 16 2 2 6 2" xfId="34727"/>
    <cellStyle name="Input 16 2 2 7" xfId="26428"/>
    <cellStyle name="Input 16 2 2 7 2" xfId="35193"/>
    <cellStyle name="Input 16 2 2 8" xfId="28074"/>
    <cellStyle name="Input 16 2 2 8 2" xfId="36833"/>
    <cellStyle name="Input 16 2 2 9" xfId="28069"/>
    <cellStyle name="Input 16 2 2 9 2" xfId="36828"/>
    <cellStyle name="Input 16 2 3" xfId="23631"/>
    <cellStyle name="Input 16 2 3 10" xfId="1675"/>
    <cellStyle name="Input 16 2 3 10 2" xfId="32488"/>
    <cellStyle name="Input 16 2 3 11" xfId="25662"/>
    <cellStyle name="Input 16 2 3 11 2" xfId="34429"/>
    <cellStyle name="Input 16 2 3 12" xfId="33101"/>
    <cellStyle name="Input 16 2 3 2" xfId="24686"/>
    <cellStyle name="Input 16 2 3 2 10" xfId="32387"/>
    <cellStyle name="Input 16 2 3 2 10 2" xfId="41141"/>
    <cellStyle name="Input 16 2 3 2 11" xfId="33462"/>
    <cellStyle name="Input 16 2 3 2 2" xfId="29251"/>
    <cellStyle name="Input 16 2 3 2 2 2" xfId="38005"/>
    <cellStyle name="Input 16 2 3 2 3" xfId="29661"/>
    <cellStyle name="Input 16 2 3 2 3 2" xfId="38415"/>
    <cellStyle name="Input 16 2 3 2 4" xfId="30081"/>
    <cellStyle name="Input 16 2 3 2 4 2" xfId="38835"/>
    <cellStyle name="Input 16 2 3 2 5" xfId="30497"/>
    <cellStyle name="Input 16 2 3 2 5 2" xfId="39251"/>
    <cellStyle name="Input 16 2 3 2 6" xfId="30898"/>
    <cellStyle name="Input 16 2 3 2 6 2" xfId="39652"/>
    <cellStyle name="Input 16 2 3 2 7" xfId="31284"/>
    <cellStyle name="Input 16 2 3 2 7 2" xfId="40038"/>
    <cellStyle name="Input 16 2 3 2 8" xfId="31660"/>
    <cellStyle name="Input 16 2 3 2 8 2" xfId="40414"/>
    <cellStyle name="Input 16 2 3 2 9" xfId="32026"/>
    <cellStyle name="Input 16 2 3 2 9 2" xfId="40780"/>
    <cellStyle name="Input 16 2 3 3" xfId="28747"/>
    <cellStyle name="Input 16 2 3 3 2" xfId="37503"/>
    <cellStyle name="Input 16 2 3 4" xfId="28848"/>
    <cellStyle name="Input 16 2 3 4 2" xfId="37604"/>
    <cellStyle name="Input 16 2 3 5" xfId="1688"/>
    <cellStyle name="Input 16 2 3 5 2" xfId="32501"/>
    <cellStyle name="Input 16 2 3 6" xfId="24842"/>
    <cellStyle name="Input 16 2 3 6 2" xfId="33616"/>
    <cellStyle name="Input 16 2 3 7" xfId="26986"/>
    <cellStyle name="Input 16 2 3 7 2" xfId="35746"/>
    <cellStyle name="Input 16 2 3 8" xfId="26072"/>
    <cellStyle name="Input 16 2 3 8 2" xfId="34838"/>
    <cellStyle name="Input 16 2 3 9" xfId="24819"/>
    <cellStyle name="Input 16 2 3 9 2" xfId="33594"/>
    <cellStyle name="Input 16 2 4" xfId="27034"/>
    <cellStyle name="Input 16 2 4 2" xfId="35794"/>
    <cellStyle name="Input 16 2 5" xfId="26394"/>
    <cellStyle name="Input 16 2 5 2" xfId="35160"/>
    <cellStyle name="Input 16 2 6" xfId="24944"/>
    <cellStyle name="Input 16 2 6 2" xfId="33718"/>
    <cellStyle name="Input 16 2 7" xfId="25631"/>
    <cellStyle name="Input 16 2 7 2" xfId="34398"/>
    <cellStyle name="Input 16 2 8" xfId="27437"/>
    <cellStyle name="Input 16 2 8 2" xfId="36197"/>
    <cellStyle name="Input 16 2 9" xfId="29746"/>
    <cellStyle name="Input 16 2 9 2" xfId="38500"/>
    <cellStyle name="Input 16 3" xfId="24996"/>
    <cellStyle name="Input 16 3 2" xfId="33770"/>
    <cellStyle name="Input 16 4" xfId="28352"/>
    <cellStyle name="Input 16 4 2" xfId="37111"/>
    <cellStyle name="Input 16 5" xfId="25262"/>
    <cellStyle name="Input 16 5 2" xfId="34032"/>
    <cellStyle name="Input 16 6" xfId="26243"/>
    <cellStyle name="Input 16 6 2" xfId="35009"/>
    <cellStyle name="Input 16 7" xfId="25247"/>
    <cellStyle name="Input 16 7 2" xfId="34017"/>
    <cellStyle name="Input 16 8" xfId="25457"/>
    <cellStyle name="Input 16 8 2" xfId="34226"/>
    <cellStyle name="Input 16 9" xfId="26698"/>
    <cellStyle name="Input 16 9 2" xfId="35462"/>
    <cellStyle name="Input 17" xfId="4481"/>
    <cellStyle name="Input 17 10" xfId="28353"/>
    <cellStyle name="Input 17 10 2" xfId="37112"/>
    <cellStyle name="Input 17 11" xfId="25925"/>
    <cellStyle name="Input 17 11 2" xfId="34691"/>
    <cellStyle name="Input 17 12" xfId="25709"/>
    <cellStyle name="Input 17 12 2" xfId="34476"/>
    <cellStyle name="Input 17 13" xfId="26557"/>
    <cellStyle name="Input 17 13 2" xfId="35322"/>
    <cellStyle name="Input 17 14" xfId="32688"/>
    <cellStyle name="Input 17 15" xfId="41726"/>
    <cellStyle name="Input 17 2" xfId="6111"/>
    <cellStyle name="Input 17 2 10" xfId="25564"/>
    <cellStyle name="Input 17 2 10 2" xfId="34331"/>
    <cellStyle name="Input 17 2 11" xfId="1733"/>
    <cellStyle name="Input 17 2 11 2" xfId="32544"/>
    <cellStyle name="Input 17 2 12" xfId="26353"/>
    <cellStyle name="Input 17 2 12 2" xfId="35119"/>
    <cellStyle name="Input 17 2 13" xfId="26963"/>
    <cellStyle name="Input 17 2 13 2" xfId="35723"/>
    <cellStyle name="Input 17 2 14" xfId="26169"/>
    <cellStyle name="Input 17 2 14 2" xfId="34935"/>
    <cellStyle name="Input 17 2 15" xfId="41727"/>
    <cellStyle name="Input 17 2 16" xfId="43360"/>
    <cellStyle name="Input 17 2 17" xfId="43853"/>
    <cellStyle name="Input 17 2 2" xfId="18215"/>
    <cellStyle name="Input 17 2 2 10" xfId="26712"/>
    <cellStyle name="Input 17 2 2 10 2" xfId="35475"/>
    <cellStyle name="Input 17 2 2 11" xfId="25890"/>
    <cellStyle name="Input 17 2 2 11 2" xfId="34656"/>
    <cellStyle name="Input 17 2 2 12" xfId="32959"/>
    <cellStyle name="Input 17 2 2 2" xfId="24485"/>
    <cellStyle name="Input 17 2 2 2 10" xfId="32238"/>
    <cellStyle name="Input 17 2 2 2 10 2" xfId="40992"/>
    <cellStyle name="Input 17 2 2 2 11" xfId="33313"/>
    <cellStyle name="Input 17 2 2 2 2" xfId="29093"/>
    <cellStyle name="Input 17 2 2 2 2 2" xfId="37847"/>
    <cellStyle name="Input 17 2 2 2 3" xfId="29506"/>
    <cellStyle name="Input 17 2 2 2 3 2" xfId="38260"/>
    <cellStyle name="Input 17 2 2 2 4" xfId="29926"/>
    <cellStyle name="Input 17 2 2 2 4 2" xfId="38680"/>
    <cellStyle name="Input 17 2 2 2 5" xfId="30345"/>
    <cellStyle name="Input 17 2 2 2 5 2" xfId="39099"/>
    <cellStyle name="Input 17 2 2 2 6" xfId="30746"/>
    <cellStyle name="Input 17 2 2 2 6 2" xfId="39500"/>
    <cellStyle name="Input 17 2 2 2 7" xfId="31132"/>
    <cellStyle name="Input 17 2 2 2 7 2" xfId="39886"/>
    <cellStyle name="Input 17 2 2 2 8" xfId="31510"/>
    <cellStyle name="Input 17 2 2 2 8 2" xfId="40264"/>
    <cellStyle name="Input 17 2 2 2 9" xfId="31876"/>
    <cellStyle name="Input 17 2 2 2 9 2" xfId="40630"/>
    <cellStyle name="Input 17 2 2 3" xfId="27705"/>
    <cellStyle name="Input 17 2 2 3 2" xfId="36465"/>
    <cellStyle name="Input 17 2 2 4" xfId="24767"/>
    <cellStyle name="Input 17 2 2 4 2" xfId="33543"/>
    <cellStyle name="Input 17 2 2 5" xfId="27900"/>
    <cellStyle name="Input 17 2 2 5 2" xfId="36660"/>
    <cellStyle name="Input 17 2 2 6" xfId="27201"/>
    <cellStyle name="Input 17 2 2 6 2" xfId="35961"/>
    <cellStyle name="Input 17 2 2 7" xfId="28280"/>
    <cellStyle name="Input 17 2 2 7 2" xfId="37039"/>
    <cellStyle name="Input 17 2 2 8" xfId="29763"/>
    <cellStyle name="Input 17 2 2 8 2" xfId="38517"/>
    <cellStyle name="Input 17 2 2 9" xfId="27906"/>
    <cellStyle name="Input 17 2 2 9 2" xfId="36666"/>
    <cellStyle name="Input 17 2 3" xfId="20560"/>
    <cellStyle name="Input 17 2 3 10" xfId="27461"/>
    <cellStyle name="Input 17 2 3 10 2" xfId="36221"/>
    <cellStyle name="Input 17 2 3 11" xfId="1672"/>
    <cellStyle name="Input 17 2 3 11 2" xfId="32485"/>
    <cellStyle name="Input 17 2 3 12" xfId="33042"/>
    <cellStyle name="Input 17 2 3 2" xfId="24589"/>
    <cellStyle name="Input 17 2 3 2 10" xfId="32323"/>
    <cellStyle name="Input 17 2 3 2 10 2" xfId="41077"/>
    <cellStyle name="Input 17 2 3 2 11" xfId="33398"/>
    <cellStyle name="Input 17 2 3 2 2" xfId="29182"/>
    <cellStyle name="Input 17 2 3 2 2 2" xfId="37936"/>
    <cellStyle name="Input 17 2 3 2 3" xfId="29592"/>
    <cellStyle name="Input 17 2 3 2 3 2" xfId="38346"/>
    <cellStyle name="Input 17 2 3 2 4" xfId="30014"/>
    <cellStyle name="Input 17 2 3 2 4 2" xfId="38768"/>
    <cellStyle name="Input 17 2 3 2 5" xfId="30431"/>
    <cellStyle name="Input 17 2 3 2 5 2" xfId="39185"/>
    <cellStyle name="Input 17 2 3 2 6" xfId="30832"/>
    <cellStyle name="Input 17 2 3 2 6 2" xfId="39586"/>
    <cellStyle name="Input 17 2 3 2 7" xfId="31218"/>
    <cellStyle name="Input 17 2 3 2 7 2" xfId="39972"/>
    <cellStyle name="Input 17 2 3 2 8" xfId="31595"/>
    <cellStyle name="Input 17 2 3 2 8 2" xfId="40349"/>
    <cellStyle name="Input 17 2 3 2 9" xfId="31961"/>
    <cellStyle name="Input 17 2 3 2 9 2" xfId="40715"/>
    <cellStyle name="Input 17 2 3 3" xfId="28187"/>
    <cellStyle name="Input 17 2 3 3 2" xfId="36946"/>
    <cellStyle name="Input 17 2 3 4" xfId="27145"/>
    <cellStyle name="Input 17 2 3 4 2" xfId="35905"/>
    <cellStyle name="Input 17 2 3 5" xfId="27467"/>
    <cellStyle name="Input 17 2 3 5 2" xfId="36227"/>
    <cellStyle name="Input 17 2 3 6" xfId="26061"/>
    <cellStyle name="Input 17 2 3 6 2" xfId="34827"/>
    <cellStyle name="Input 17 2 3 7" xfId="27898"/>
    <cellStyle name="Input 17 2 3 7 2" xfId="36658"/>
    <cellStyle name="Input 17 2 3 8" xfId="28540"/>
    <cellStyle name="Input 17 2 3 8 2" xfId="37296"/>
    <cellStyle name="Input 17 2 3 9" xfId="27292"/>
    <cellStyle name="Input 17 2 3 9 2" xfId="36052"/>
    <cellStyle name="Input 17 2 4" xfId="15061"/>
    <cellStyle name="Input 17 2 4 10" xfId="27570"/>
    <cellStyle name="Input 17 2 4 10 2" xfId="36330"/>
    <cellStyle name="Input 17 2 4 11" xfId="32860"/>
    <cellStyle name="Input 17 2 4 2" xfId="27122"/>
    <cellStyle name="Input 17 2 4 2 2" xfId="35882"/>
    <cellStyle name="Input 17 2 4 3" xfId="27259"/>
    <cellStyle name="Input 17 2 4 3 2" xfId="36019"/>
    <cellStyle name="Input 17 2 4 4" xfId="27584"/>
    <cellStyle name="Input 17 2 4 4 2" xfId="36344"/>
    <cellStyle name="Input 17 2 4 5" xfId="25629"/>
    <cellStyle name="Input 17 2 4 5 2" xfId="34396"/>
    <cellStyle name="Input 17 2 4 6" xfId="25037"/>
    <cellStyle name="Input 17 2 4 6 2" xfId="33811"/>
    <cellStyle name="Input 17 2 4 7" xfId="25834"/>
    <cellStyle name="Input 17 2 4 7 2" xfId="34600"/>
    <cellStyle name="Input 17 2 4 8" xfId="27012"/>
    <cellStyle name="Input 17 2 4 8 2" xfId="35772"/>
    <cellStyle name="Input 17 2 4 9" xfId="26184"/>
    <cellStyle name="Input 17 2 4 9 2" xfId="34950"/>
    <cellStyle name="Input 17 2 5" xfId="24350"/>
    <cellStyle name="Input 17 2 5 10" xfId="32134"/>
    <cellStyle name="Input 17 2 5 10 2" xfId="40888"/>
    <cellStyle name="Input 17 2 5 11" xfId="33209"/>
    <cellStyle name="Input 17 2 5 2" xfId="28985"/>
    <cellStyle name="Input 17 2 5 2 2" xfId="37739"/>
    <cellStyle name="Input 17 2 5 3" xfId="29398"/>
    <cellStyle name="Input 17 2 5 3 2" xfId="38152"/>
    <cellStyle name="Input 17 2 5 4" xfId="29822"/>
    <cellStyle name="Input 17 2 5 4 2" xfId="38576"/>
    <cellStyle name="Input 17 2 5 5" xfId="30237"/>
    <cellStyle name="Input 17 2 5 5 2" xfId="38991"/>
    <cellStyle name="Input 17 2 5 6" xfId="30638"/>
    <cellStyle name="Input 17 2 5 6 2" xfId="39392"/>
    <cellStyle name="Input 17 2 5 7" xfId="31025"/>
    <cellStyle name="Input 17 2 5 7 2" xfId="39779"/>
    <cellStyle name="Input 17 2 5 8" xfId="31404"/>
    <cellStyle name="Input 17 2 5 8 2" xfId="40158"/>
    <cellStyle name="Input 17 2 5 9" xfId="31772"/>
    <cellStyle name="Input 17 2 5 9 2" xfId="40526"/>
    <cellStyle name="Input 17 2 6" xfId="25570"/>
    <cellStyle name="Input 17 2 6 2" xfId="34337"/>
    <cellStyle name="Input 17 2 7" xfId="27430"/>
    <cellStyle name="Input 17 2 7 2" xfId="36190"/>
    <cellStyle name="Input 17 2 8" xfId="26726"/>
    <cellStyle name="Input 17 2 8 2" xfId="35489"/>
    <cellStyle name="Input 17 2 9" xfId="28971"/>
    <cellStyle name="Input 17 2 9 2" xfId="37725"/>
    <cellStyle name="Input 17 3" xfId="14016"/>
    <cellStyle name="Input 17 3 10" xfId="25029"/>
    <cellStyle name="Input 17 3 10 2" xfId="33803"/>
    <cellStyle name="Input 17 3 11" xfId="27094"/>
    <cellStyle name="Input 17 3 11 2" xfId="35854"/>
    <cellStyle name="Input 17 3 12" xfId="32832"/>
    <cellStyle name="Input 17 3 2" xfId="24300"/>
    <cellStyle name="Input 17 3 2 10" xfId="32104"/>
    <cellStyle name="Input 17 3 2 10 2" xfId="40858"/>
    <cellStyle name="Input 17 3 2 11" xfId="33179"/>
    <cellStyle name="Input 17 3 2 2" xfId="28952"/>
    <cellStyle name="Input 17 3 2 2 2" xfId="37706"/>
    <cellStyle name="Input 17 3 2 3" xfId="29365"/>
    <cellStyle name="Input 17 3 2 3 2" xfId="38119"/>
    <cellStyle name="Input 17 3 2 4" xfId="29790"/>
    <cellStyle name="Input 17 3 2 4 2" xfId="38544"/>
    <cellStyle name="Input 17 3 2 5" xfId="30205"/>
    <cellStyle name="Input 17 3 2 5 2" xfId="38959"/>
    <cellStyle name="Input 17 3 2 6" xfId="30606"/>
    <cellStyle name="Input 17 3 2 6 2" xfId="39360"/>
    <cellStyle name="Input 17 3 2 7" xfId="30993"/>
    <cellStyle name="Input 17 3 2 7 2" xfId="39747"/>
    <cellStyle name="Input 17 3 2 8" xfId="31373"/>
    <cellStyle name="Input 17 3 2 8 2" xfId="40127"/>
    <cellStyle name="Input 17 3 2 9" xfId="31741"/>
    <cellStyle name="Input 17 3 2 9 2" xfId="40495"/>
    <cellStyle name="Input 17 3 3" xfId="26909"/>
    <cellStyle name="Input 17 3 3 2" xfId="35669"/>
    <cellStyle name="Input 17 3 4" xfId="29209"/>
    <cellStyle name="Input 17 3 4 2" xfId="37963"/>
    <cellStyle name="Input 17 3 5" xfId="26162"/>
    <cellStyle name="Input 17 3 5 2" xfId="34928"/>
    <cellStyle name="Input 17 3 6" xfId="27532"/>
    <cellStyle name="Input 17 3 6 2" xfId="36292"/>
    <cellStyle name="Input 17 3 7" xfId="1797"/>
    <cellStyle name="Input 17 3 7 2" xfId="32605"/>
    <cellStyle name="Input 17 3 8" xfId="25426"/>
    <cellStyle name="Input 17 3 8 2" xfId="34195"/>
    <cellStyle name="Input 17 3 9" xfId="26442"/>
    <cellStyle name="Input 17 3 9 2" xfId="35207"/>
    <cellStyle name="Input 17 4" xfId="18148"/>
    <cellStyle name="Input 17 4 10" xfId="25735"/>
    <cellStyle name="Input 17 4 10 2" xfId="34502"/>
    <cellStyle name="Input 17 4 11" xfId="26639"/>
    <cellStyle name="Input 17 4 11 2" xfId="35404"/>
    <cellStyle name="Input 17 4 12" xfId="32892"/>
    <cellStyle name="Input 17 4 2" xfId="24418"/>
    <cellStyle name="Input 17 4 2 10" xfId="32171"/>
    <cellStyle name="Input 17 4 2 10 2" xfId="40925"/>
    <cellStyle name="Input 17 4 2 11" xfId="33246"/>
    <cellStyle name="Input 17 4 2 2" xfId="29026"/>
    <cellStyle name="Input 17 4 2 2 2" xfId="37780"/>
    <cellStyle name="Input 17 4 2 3" xfId="29439"/>
    <cellStyle name="Input 17 4 2 3 2" xfId="38193"/>
    <cellStyle name="Input 17 4 2 4" xfId="29859"/>
    <cellStyle name="Input 17 4 2 4 2" xfId="38613"/>
    <cellStyle name="Input 17 4 2 5" xfId="30278"/>
    <cellStyle name="Input 17 4 2 5 2" xfId="39032"/>
    <cellStyle name="Input 17 4 2 6" xfId="30679"/>
    <cellStyle name="Input 17 4 2 6 2" xfId="39433"/>
    <cellStyle name="Input 17 4 2 7" xfId="31065"/>
    <cellStyle name="Input 17 4 2 7 2" xfId="39819"/>
    <cellStyle name="Input 17 4 2 8" xfId="31443"/>
    <cellStyle name="Input 17 4 2 8 2" xfId="40197"/>
    <cellStyle name="Input 17 4 2 9" xfId="31809"/>
    <cellStyle name="Input 17 4 2 9 2" xfId="40563"/>
    <cellStyle name="Input 17 4 3" xfId="27638"/>
    <cellStyle name="Input 17 4 3 2" xfId="36398"/>
    <cellStyle name="Input 17 4 4" xfId="26062"/>
    <cellStyle name="Input 17 4 4 2" xfId="34828"/>
    <cellStyle name="Input 17 4 5" xfId="26482"/>
    <cellStyle name="Input 17 4 5 2" xfId="35247"/>
    <cellStyle name="Input 17 4 6" xfId="27792"/>
    <cellStyle name="Input 17 4 6 2" xfId="36552"/>
    <cellStyle name="Input 17 4 7" xfId="26338"/>
    <cellStyle name="Input 17 4 7 2" xfId="35104"/>
    <cellStyle name="Input 17 4 8" xfId="27534"/>
    <cellStyle name="Input 17 4 8 2" xfId="36294"/>
    <cellStyle name="Input 17 4 9" xfId="25314"/>
    <cellStyle name="Input 17 4 9 2" xfId="34083"/>
    <cellStyle name="Input 17 5" xfId="23590"/>
    <cellStyle name="Input 17 5 10" xfId="28264"/>
    <cellStyle name="Input 17 5 10 2" xfId="37023"/>
    <cellStyle name="Input 17 5 11" xfId="28065"/>
    <cellStyle name="Input 17 5 11 2" xfId="36824"/>
    <cellStyle name="Input 17 5 12" xfId="33060"/>
    <cellStyle name="Input 17 5 2" xfId="24645"/>
    <cellStyle name="Input 17 5 2 10" xfId="32346"/>
    <cellStyle name="Input 17 5 2 10 2" xfId="41100"/>
    <cellStyle name="Input 17 5 2 11" xfId="33421"/>
    <cellStyle name="Input 17 5 2 2" xfId="29210"/>
    <cellStyle name="Input 17 5 2 2 2" xfId="37964"/>
    <cellStyle name="Input 17 5 2 3" xfId="29620"/>
    <cellStyle name="Input 17 5 2 3 2" xfId="38374"/>
    <cellStyle name="Input 17 5 2 4" xfId="30040"/>
    <cellStyle name="Input 17 5 2 4 2" xfId="38794"/>
    <cellStyle name="Input 17 5 2 5" xfId="30456"/>
    <cellStyle name="Input 17 5 2 5 2" xfId="39210"/>
    <cellStyle name="Input 17 5 2 6" xfId="30857"/>
    <cellStyle name="Input 17 5 2 6 2" xfId="39611"/>
    <cellStyle name="Input 17 5 2 7" xfId="31243"/>
    <cellStyle name="Input 17 5 2 7 2" xfId="39997"/>
    <cellStyle name="Input 17 5 2 8" xfId="31619"/>
    <cellStyle name="Input 17 5 2 8 2" xfId="40373"/>
    <cellStyle name="Input 17 5 2 9" xfId="31985"/>
    <cellStyle name="Input 17 5 2 9 2" xfId="40739"/>
    <cellStyle name="Input 17 5 3" xfId="28706"/>
    <cellStyle name="Input 17 5 3 2" xfId="37462"/>
    <cellStyle name="Input 17 5 4" xfId="24900"/>
    <cellStyle name="Input 17 5 4 2" xfId="33674"/>
    <cellStyle name="Input 17 5 5" xfId="1790"/>
    <cellStyle name="Input 17 5 5 2" xfId="32598"/>
    <cellStyle name="Input 17 5 6" xfId="24826"/>
    <cellStyle name="Input 17 5 6 2" xfId="33601"/>
    <cellStyle name="Input 17 5 7" xfId="24783"/>
    <cellStyle name="Input 17 5 7 2" xfId="33559"/>
    <cellStyle name="Input 17 5 8" xfId="2930"/>
    <cellStyle name="Input 17 5 8 2" xfId="32683"/>
    <cellStyle name="Input 17 5 9" xfId="26295"/>
    <cellStyle name="Input 17 5 9 2" xfId="35061"/>
    <cellStyle name="Input 17 6" xfId="25568"/>
    <cellStyle name="Input 17 6 2" xfId="34335"/>
    <cellStyle name="Input 17 7" xfId="24765"/>
    <cellStyle name="Input 17 7 2" xfId="33541"/>
    <cellStyle name="Input 17 8" xfId="25376"/>
    <cellStyle name="Input 17 8 2" xfId="34145"/>
    <cellStyle name="Input 17 9" xfId="25492"/>
    <cellStyle name="Input 17 9 2" xfId="34261"/>
    <cellStyle name="Input 18" xfId="4482"/>
    <cellStyle name="Input 18 10" xfId="25152"/>
    <cellStyle name="Input 18 10 2" xfId="33923"/>
    <cellStyle name="Input 18 11" xfId="26773"/>
    <cellStyle name="Input 18 11 2" xfId="35535"/>
    <cellStyle name="Input 18 12" xfId="26451"/>
    <cellStyle name="Input 18 12 2" xfId="35216"/>
    <cellStyle name="Input 18 13" xfId="27564"/>
    <cellStyle name="Input 18 13 2" xfId="36324"/>
    <cellStyle name="Input 18 14" xfId="32689"/>
    <cellStyle name="Input 18 15" xfId="41728"/>
    <cellStyle name="Input 18 2" xfId="6125"/>
    <cellStyle name="Input 18 2 10" xfId="25417"/>
    <cellStyle name="Input 18 2 10 2" xfId="34186"/>
    <cellStyle name="Input 18 2 11" xfId="25240"/>
    <cellStyle name="Input 18 2 11 2" xfId="34010"/>
    <cellStyle name="Input 18 2 12" xfId="30186"/>
    <cellStyle name="Input 18 2 12 2" xfId="38940"/>
    <cellStyle name="Input 18 2 13" xfId="30590"/>
    <cellStyle name="Input 18 2 13 2" xfId="39344"/>
    <cellStyle name="Input 18 2 14" xfId="30981"/>
    <cellStyle name="Input 18 2 14 2" xfId="39735"/>
    <cellStyle name="Input 18 2 15" xfId="41729"/>
    <cellStyle name="Input 18 2 16" xfId="43359"/>
    <cellStyle name="Input 18 2 17" xfId="43854"/>
    <cellStyle name="Input 18 2 2" xfId="18227"/>
    <cellStyle name="Input 18 2 2 10" xfId="27167"/>
    <cellStyle name="Input 18 2 2 10 2" xfId="35927"/>
    <cellStyle name="Input 18 2 2 11" xfId="27835"/>
    <cellStyle name="Input 18 2 2 11 2" xfId="36595"/>
    <cellStyle name="Input 18 2 2 12" xfId="32971"/>
    <cellStyle name="Input 18 2 2 2" xfId="24497"/>
    <cellStyle name="Input 18 2 2 2 10" xfId="32250"/>
    <cellStyle name="Input 18 2 2 2 10 2" xfId="41004"/>
    <cellStyle name="Input 18 2 2 2 11" xfId="33325"/>
    <cellStyle name="Input 18 2 2 2 2" xfId="29105"/>
    <cellStyle name="Input 18 2 2 2 2 2" xfId="37859"/>
    <cellStyle name="Input 18 2 2 2 3" xfId="29518"/>
    <cellStyle name="Input 18 2 2 2 3 2" xfId="38272"/>
    <cellStyle name="Input 18 2 2 2 4" xfId="29938"/>
    <cellStyle name="Input 18 2 2 2 4 2" xfId="38692"/>
    <cellStyle name="Input 18 2 2 2 5" xfId="30357"/>
    <cellStyle name="Input 18 2 2 2 5 2" xfId="39111"/>
    <cellStyle name="Input 18 2 2 2 6" xfId="30758"/>
    <cellStyle name="Input 18 2 2 2 6 2" xfId="39512"/>
    <cellStyle name="Input 18 2 2 2 7" xfId="31144"/>
    <cellStyle name="Input 18 2 2 2 7 2" xfId="39898"/>
    <cellStyle name="Input 18 2 2 2 8" xfId="31522"/>
    <cellStyle name="Input 18 2 2 2 8 2" xfId="40276"/>
    <cellStyle name="Input 18 2 2 2 9" xfId="31888"/>
    <cellStyle name="Input 18 2 2 2 9 2" xfId="40642"/>
    <cellStyle name="Input 18 2 2 3" xfId="27717"/>
    <cellStyle name="Input 18 2 2 3 2" xfId="36477"/>
    <cellStyle name="Input 18 2 2 4" xfId="25872"/>
    <cellStyle name="Input 18 2 2 4 2" xfId="34638"/>
    <cellStyle name="Input 18 2 2 5" xfId="25765"/>
    <cellStyle name="Input 18 2 2 5 2" xfId="34532"/>
    <cellStyle name="Input 18 2 2 6" xfId="26121"/>
    <cellStyle name="Input 18 2 2 6 2" xfId="34887"/>
    <cellStyle name="Input 18 2 2 7" xfId="27368"/>
    <cellStyle name="Input 18 2 2 7 2" xfId="36128"/>
    <cellStyle name="Input 18 2 2 8" xfId="27973"/>
    <cellStyle name="Input 18 2 2 8 2" xfId="36733"/>
    <cellStyle name="Input 18 2 2 9" xfId="28045"/>
    <cellStyle name="Input 18 2 2 9 2" xfId="36804"/>
    <cellStyle name="Input 18 2 3" xfId="20572"/>
    <cellStyle name="Input 18 2 3 10" xfId="28592"/>
    <cellStyle name="Input 18 2 3 10 2" xfId="37348"/>
    <cellStyle name="Input 18 2 3 11" xfId="28360"/>
    <cellStyle name="Input 18 2 3 11 2" xfId="37119"/>
    <cellStyle name="Input 18 2 3 12" xfId="33054"/>
    <cellStyle name="Input 18 2 3 2" xfId="24601"/>
    <cellStyle name="Input 18 2 3 2 10" xfId="32335"/>
    <cellStyle name="Input 18 2 3 2 10 2" xfId="41089"/>
    <cellStyle name="Input 18 2 3 2 11" xfId="33410"/>
    <cellStyle name="Input 18 2 3 2 2" xfId="29194"/>
    <cellStyle name="Input 18 2 3 2 2 2" xfId="37948"/>
    <cellStyle name="Input 18 2 3 2 3" xfId="29604"/>
    <cellStyle name="Input 18 2 3 2 3 2" xfId="38358"/>
    <cellStyle name="Input 18 2 3 2 4" xfId="30026"/>
    <cellStyle name="Input 18 2 3 2 4 2" xfId="38780"/>
    <cellStyle name="Input 18 2 3 2 5" xfId="30443"/>
    <cellStyle name="Input 18 2 3 2 5 2" xfId="39197"/>
    <cellStyle name="Input 18 2 3 2 6" xfId="30844"/>
    <cellStyle name="Input 18 2 3 2 6 2" xfId="39598"/>
    <cellStyle name="Input 18 2 3 2 7" xfId="31230"/>
    <cellStyle name="Input 18 2 3 2 7 2" xfId="39984"/>
    <cellStyle name="Input 18 2 3 2 8" xfId="31607"/>
    <cellStyle name="Input 18 2 3 2 8 2" xfId="40361"/>
    <cellStyle name="Input 18 2 3 2 9" xfId="31973"/>
    <cellStyle name="Input 18 2 3 2 9 2" xfId="40727"/>
    <cellStyle name="Input 18 2 3 3" xfId="28199"/>
    <cellStyle name="Input 18 2 3 3 2" xfId="36958"/>
    <cellStyle name="Input 18 2 3 4" xfId="26516"/>
    <cellStyle name="Input 18 2 3 4 2" xfId="35281"/>
    <cellStyle name="Input 18 2 3 5" xfId="27524"/>
    <cellStyle name="Input 18 2 3 5 2" xfId="36284"/>
    <cellStyle name="Input 18 2 3 6" xfId="28020"/>
    <cellStyle name="Input 18 2 3 6 2" xfId="36779"/>
    <cellStyle name="Input 18 2 3 7" xfId="28031"/>
    <cellStyle name="Input 18 2 3 7 2" xfId="36790"/>
    <cellStyle name="Input 18 2 3 8" xfId="2575"/>
    <cellStyle name="Input 18 2 3 8 2" xfId="32652"/>
    <cellStyle name="Input 18 2 3 9" xfId="28325"/>
    <cellStyle name="Input 18 2 3 9 2" xfId="37084"/>
    <cellStyle name="Input 18 2 4" xfId="15073"/>
    <cellStyle name="Input 18 2 4 10" xfId="25910"/>
    <cellStyle name="Input 18 2 4 10 2" xfId="34676"/>
    <cellStyle name="Input 18 2 4 11" xfId="32872"/>
    <cellStyle name="Input 18 2 4 2" xfId="27134"/>
    <cellStyle name="Input 18 2 4 2 2" xfId="35894"/>
    <cellStyle name="Input 18 2 4 3" xfId="26261"/>
    <cellStyle name="Input 18 2 4 3 2" xfId="35027"/>
    <cellStyle name="Input 18 2 4 4" xfId="26419"/>
    <cellStyle name="Input 18 2 4 4 2" xfId="35184"/>
    <cellStyle name="Input 18 2 4 5" xfId="26795"/>
    <cellStyle name="Input 18 2 4 5 2" xfId="35557"/>
    <cellStyle name="Input 18 2 4 6" xfId="28155"/>
    <cellStyle name="Input 18 2 4 6 2" xfId="36914"/>
    <cellStyle name="Input 18 2 4 7" xfId="27470"/>
    <cellStyle name="Input 18 2 4 7 2" xfId="36230"/>
    <cellStyle name="Input 18 2 4 8" xfId="25321"/>
    <cellStyle name="Input 18 2 4 8 2" xfId="34090"/>
    <cellStyle name="Input 18 2 4 9" xfId="26294"/>
    <cellStyle name="Input 18 2 4 9 2" xfId="35060"/>
    <cellStyle name="Input 18 2 5" xfId="24362"/>
    <cellStyle name="Input 18 2 5 10" xfId="32146"/>
    <cellStyle name="Input 18 2 5 10 2" xfId="40900"/>
    <cellStyle name="Input 18 2 5 11" xfId="33221"/>
    <cellStyle name="Input 18 2 5 2" xfId="28997"/>
    <cellStyle name="Input 18 2 5 2 2" xfId="37751"/>
    <cellStyle name="Input 18 2 5 3" xfId="29410"/>
    <cellStyle name="Input 18 2 5 3 2" xfId="38164"/>
    <cellStyle name="Input 18 2 5 4" xfId="29834"/>
    <cellStyle name="Input 18 2 5 4 2" xfId="38588"/>
    <cellStyle name="Input 18 2 5 5" xfId="30249"/>
    <cellStyle name="Input 18 2 5 5 2" xfId="39003"/>
    <cellStyle name="Input 18 2 5 6" xfId="30650"/>
    <cellStyle name="Input 18 2 5 6 2" xfId="39404"/>
    <cellStyle name="Input 18 2 5 7" xfId="31037"/>
    <cellStyle name="Input 18 2 5 7 2" xfId="39791"/>
    <cellStyle name="Input 18 2 5 8" xfId="31416"/>
    <cellStyle name="Input 18 2 5 8 2" xfId="40170"/>
    <cellStyle name="Input 18 2 5 9" xfId="31784"/>
    <cellStyle name="Input 18 2 5 9 2" xfId="40538"/>
    <cellStyle name="Input 18 2 6" xfId="25582"/>
    <cellStyle name="Input 18 2 6 2" xfId="34349"/>
    <cellStyle name="Input 18 2 7" xfId="28529"/>
    <cellStyle name="Input 18 2 7 2" xfId="37285"/>
    <cellStyle name="Input 18 2 8" xfId="28852"/>
    <cellStyle name="Input 18 2 8 2" xfId="37608"/>
    <cellStyle name="Input 18 2 9" xfId="26873"/>
    <cellStyle name="Input 18 2 9 2" xfId="35633"/>
    <cellStyle name="Input 18 3" xfId="14017"/>
    <cellStyle name="Input 18 3 10" xfId="30974"/>
    <cellStyle name="Input 18 3 10 2" xfId="39728"/>
    <cellStyle name="Input 18 3 11" xfId="31360"/>
    <cellStyle name="Input 18 3 11 2" xfId="40114"/>
    <cellStyle name="Input 18 3 12" xfId="32833"/>
    <cellStyle name="Input 18 3 2" xfId="24301"/>
    <cellStyle name="Input 18 3 2 10" xfId="32105"/>
    <cellStyle name="Input 18 3 2 10 2" xfId="40859"/>
    <cellStyle name="Input 18 3 2 11" xfId="33180"/>
    <cellStyle name="Input 18 3 2 2" xfId="28953"/>
    <cellStyle name="Input 18 3 2 2 2" xfId="37707"/>
    <cellStyle name="Input 18 3 2 3" xfId="29366"/>
    <cellStyle name="Input 18 3 2 3 2" xfId="38120"/>
    <cellStyle name="Input 18 3 2 4" xfId="29791"/>
    <cellStyle name="Input 18 3 2 4 2" xfId="38545"/>
    <cellStyle name="Input 18 3 2 5" xfId="30206"/>
    <cellStyle name="Input 18 3 2 5 2" xfId="38960"/>
    <cellStyle name="Input 18 3 2 6" xfId="30607"/>
    <cellStyle name="Input 18 3 2 6 2" xfId="39361"/>
    <cellStyle name="Input 18 3 2 7" xfId="30994"/>
    <cellStyle name="Input 18 3 2 7 2" xfId="39748"/>
    <cellStyle name="Input 18 3 2 8" xfId="31374"/>
    <cellStyle name="Input 18 3 2 8 2" xfId="40128"/>
    <cellStyle name="Input 18 3 2 9" xfId="31742"/>
    <cellStyle name="Input 18 3 2 9 2" xfId="40496"/>
    <cellStyle name="Input 18 3 3" xfId="26910"/>
    <cellStyle name="Input 18 3 3 2" xfId="35670"/>
    <cellStyle name="Input 18 3 4" xfId="29014"/>
    <cellStyle name="Input 18 3 4 2" xfId="37768"/>
    <cellStyle name="Input 18 3 5" xfId="1792"/>
    <cellStyle name="Input 18 3 5 2" xfId="32600"/>
    <cellStyle name="Input 18 3 6" xfId="26125"/>
    <cellStyle name="Input 18 3 6 2" xfId="34891"/>
    <cellStyle name="Input 18 3 7" xfId="29745"/>
    <cellStyle name="Input 18 3 7 2" xfId="38499"/>
    <cellStyle name="Input 18 3 8" xfId="30162"/>
    <cellStyle name="Input 18 3 8 2" xfId="38916"/>
    <cellStyle name="Input 18 3 9" xfId="30573"/>
    <cellStyle name="Input 18 3 9 2" xfId="39327"/>
    <cellStyle name="Input 18 4" xfId="18149"/>
    <cellStyle name="Input 18 4 10" xfId="25104"/>
    <cellStyle name="Input 18 4 10 2" xfId="33876"/>
    <cellStyle name="Input 18 4 11" xfId="26902"/>
    <cellStyle name="Input 18 4 11 2" xfId="35662"/>
    <cellStyle name="Input 18 4 12" xfId="32893"/>
    <cellStyle name="Input 18 4 2" xfId="24419"/>
    <cellStyle name="Input 18 4 2 10" xfId="32172"/>
    <cellStyle name="Input 18 4 2 10 2" xfId="40926"/>
    <cellStyle name="Input 18 4 2 11" xfId="33247"/>
    <cellStyle name="Input 18 4 2 2" xfId="29027"/>
    <cellStyle name="Input 18 4 2 2 2" xfId="37781"/>
    <cellStyle name="Input 18 4 2 3" xfId="29440"/>
    <cellStyle name="Input 18 4 2 3 2" xfId="38194"/>
    <cellStyle name="Input 18 4 2 4" xfId="29860"/>
    <cellStyle name="Input 18 4 2 4 2" xfId="38614"/>
    <cellStyle name="Input 18 4 2 5" xfId="30279"/>
    <cellStyle name="Input 18 4 2 5 2" xfId="39033"/>
    <cellStyle name="Input 18 4 2 6" xfId="30680"/>
    <cellStyle name="Input 18 4 2 6 2" xfId="39434"/>
    <cellStyle name="Input 18 4 2 7" xfId="31066"/>
    <cellStyle name="Input 18 4 2 7 2" xfId="39820"/>
    <cellStyle name="Input 18 4 2 8" xfId="31444"/>
    <cellStyle name="Input 18 4 2 8 2" xfId="40198"/>
    <cellStyle name="Input 18 4 2 9" xfId="31810"/>
    <cellStyle name="Input 18 4 2 9 2" xfId="40564"/>
    <cellStyle name="Input 18 4 3" xfId="27639"/>
    <cellStyle name="Input 18 4 3 2" xfId="36399"/>
    <cellStyle name="Input 18 4 4" xfId="25190"/>
    <cellStyle name="Input 18 4 4 2" xfId="33961"/>
    <cellStyle name="Input 18 4 5" xfId="25622"/>
    <cellStyle name="Input 18 4 5 2" xfId="34389"/>
    <cellStyle name="Input 18 4 6" xfId="29327"/>
    <cellStyle name="Input 18 4 6 2" xfId="38081"/>
    <cellStyle name="Input 18 4 7" xfId="25324"/>
    <cellStyle name="Input 18 4 7 2" xfId="34093"/>
    <cellStyle name="Input 18 4 8" xfId="27065"/>
    <cellStyle name="Input 18 4 8 2" xfId="35825"/>
    <cellStyle name="Input 18 4 9" xfId="29356"/>
    <cellStyle name="Input 18 4 9 2" xfId="38110"/>
    <cellStyle name="Input 18 5" xfId="23591"/>
    <cellStyle name="Input 18 5 10" xfId="27946"/>
    <cellStyle name="Input 18 5 10 2" xfId="36706"/>
    <cellStyle name="Input 18 5 11" xfId="25791"/>
    <cellStyle name="Input 18 5 11 2" xfId="34558"/>
    <cellStyle name="Input 18 5 12" xfId="33061"/>
    <cellStyle name="Input 18 5 2" xfId="24646"/>
    <cellStyle name="Input 18 5 2 10" xfId="32347"/>
    <cellStyle name="Input 18 5 2 10 2" xfId="41101"/>
    <cellStyle name="Input 18 5 2 11" xfId="33422"/>
    <cellStyle name="Input 18 5 2 2" xfId="29211"/>
    <cellStyle name="Input 18 5 2 2 2" xfId="37965"/>
    <cellStyle name="Input 18 5 2 3" xfId="29621"/>
    <cellStyle name="Input 18 5 2 3 2" xfId="38375"/>
    <cellStyle name="Input 18 5 2 4" xfId="30041"/>
    <cellStyle name="Input 18 5 2 4 2" xfId="38795"/>
    <cellStyle name="Input 18 5 2 5" xfId="30457"/>
    <cellStyle name="Input 18 5 2 5 2" xfId="39211"/>
    <cellStyle name="Input 18 5 2 6" xfId="30858"/>
    <cellStyle name="Input 18 5 2 6 2" xfId="39612"/>
    <cellStyle name="Input 18 5 2 7" xfId="31244"/>
    <cellStyle name="Input 18 5 2 7 2" xfId="39998"/>
    <cellStyle name="Input 18 5 2 8" xfId="31620"/>
    <cellStyle name="Input 18 5 2 8 2" xfId="40374"/>
    <cellStyle name="Input 18 5 2 9" xfId="31986"/>
    <cellStyle name="Input 18 5 2 9 2" xfId="40740"/>
    <cellStyle name="Input 18 5 3" xfId="28707"/>
    <cellStyle name="Input 18 5 3 2" xfId="37463"/>
    <cellStyle name="Input 18 5 4" xfId="24904"/>
    <cellStyle name="Input 18 5 4 2" xfId="33678"/>
    <cellStyle name="Input 18 5 5" xfId="1764"/>
    <cellStyle name="Input 18 5 5 2" xfId="32572"/>
    <cellStyle name="Input 18 5 6" xfId="1717"/>
    <cellStyle name="Input 18 5 6 2" xfId="32528"/>
    <cellStyle name="Input 18 5 7" xfId="29764"/>
    <cellStyle name="Input 18 5 7 2" xfId="38518"/>
    <cellStyle name="Input 18 5 8" xfId="26154"/>
    <cellStyle name="Input 18 5 8 2" xfId="34920"/>
    <cellStyle name="Input 18 5 9" xfId="25789"/>
    <cellStyle name="Input 18 5 9 2" xfId="34556"/>
    <cellStyle name="Input 18 6" xfId="25478"/>
    <cellStyle name="Input 18 6 2" xfId="34247"/>
    <cellStyle name="Input 18 7" xfId="27878"/>
    <cellStyle name="Input 18 7 2" xfId="36638"/>
    <cellStyle name="Input 18 8" xfId="28185"/>
    <cellStyle name="Input 18 8 2" xfId="36944"/>
    <cellStyle name="Input 18 9" xfId="28034"/>
    <cellStyle name="Input 18 9 2" xfId="36793"/>
    <cellStyle name="Input 19" xfId="4483"/>
    <cellStyle name="Input 19 10" xfId="28596"/>
    <cellStyle name="Input 19 10 2" xfId="37352"/>
    <cellStyle name="Input 19 11" xfId="29782"/>
    <cellStyle name="Input 19 11 2" xfId="38536"/>
    <cellStyle name="Input 19 12" xfId="2394"/>
    <cellStyle name="Input 19 12 2" xfId="32643"/>
    <cellStyle name="Input 19 13" xfId="27536"/>
    <cellStyle name="Input 19 13 2" xfId="36296"/>
    <cellStyle name="Input 19 14" xfId="32690"/>
    <cellStyle name="Input 19 15" xfId="41730"/>
    <cellStyle name="Input 19 2" xfId="6116"/>
    <cellStyle name="Input 19 2 10" xfId="29739"/>
    <cellStyle name="Input 19 2 10 2" xfId="38493"/>
    <cellStyle name="Input 19 2 11" xfId="30272"/>
    <cellStyle name="Input 19 2 11 2" xfId="39026"/>
    <cellStyle name="Input 19 2 12" xfId="30673"/>
    <cellStyle name="Input 19 2 12 2" xfId="39427"/>
    <cellStyle name="Input 19 2 13" xfId="31059"/>
    <cellStyle name="Input 19 2 13 2" xfId="39813"/>
    <cellStyle name="Input 19 2 14" xfId="31437"/>
    <cellStyle name="Input 19 2 14 2" xfId="40191"/>
    <cellStyle name="Input 19 2 15" xfId="41731"/>
    <cellStyle name="Input 19 2 16" xfId="43358"/>
    <cellStyle name="Input 19 2 17" xfId="43855"/>
    <cellStyle name="Input 19 2 2" xfId="18220"/>
    <cellStyle name="Input 19 2 2 10" xfId="1729"/>
    <cellStyle name="Input 19 2 2 10 2" xfId="32540"/>
    <cellStyle name="Input 19 2 2 11" xfId="28062"/>
    <cellStyle name="Input 19 2 2 11 2" xfId="36821"/>
    <cellStyle name="Input 19 2 2 12" xfId="32964"/>
    <cellStyle name="Input 19 2 2 2" xfId="24490"/>
    <cellStyle name="Input 19 2 2 2 10" xfId="32243"/>
    <cellStyle name="Input 19 2 2 2 10 2" xfId="40997"/>
    <cellStyle name="Input 19 2 2 2 11" xfId="33318"/>
    <cellStyle name="Input 19 2 2 2 2" xfId="29098"/>
    <cellStyle name="Input 19 2 2 2 2 2" xfId="37852"/>
    <cellStyle name="Input 19 2 2 2 3" xfId="29511"/>
    <cellStyle name="Input 19 2 2 2 3 2" xfId="38265"/>
    <cellStyle name="Input 19 2 2 2 4" xfId="29931"/>
    <cellStyle name="Input 19 2 2 2 4 2" xfId="38685"/>
    <cellStyle name="Input 19 2 2 2 5" xfId="30350"/>
    <cellStyle name="Input 19 2 2 2 5 2" xfId="39104"/>
    <cellStyle name="Input 19 2 2 2 6" xfId="30751"/>
    <cellStyle name="Input 19 2 2 2 6 2" xfId="39505"/>
    <cellStyle name="Input 19 2 2 2 7" xfId="31137"/>
    <cellStyle name="Input 19 2 2 2 7 2" xfId="39891"/>
    <cellStyle name="Input 19 2 2 2 8" xfId="31515"/>
    <cellStyle name="Input 19 2 2 2 8 2" xfId="40269"/>
    <cellStyle name="Input 19 2 2 2 9" xfId="31881"/>
    <cellStyle name="Input 19 2 2 2 9 2" xfId="40635"/>
    <cellStyle name="Input 19 2 2 3" xfId="27710"/>
    <cellStyle name="Input 19 2 2 3 2" xfId="36470"/>
    <cellStyle name="Input 19 2 2 4" xfId="25707"/>
    <cellStyle name="Input 19 2 2 4 2" xfId="34474"/>
    <cellStyle name="Input 19 2 2 5" xfId="28333"/>
    <cellStyle name="Input 19 2 2 5 2" xfId="37092"/>
    <cellStyle name="Input 19 2 2 6" xfId="2667"/>
    <cellStyle name="Input 19 2 2 6 2" xfId="32654"/>
    <cellStyle name="Input 19 2 2 7" xfId="28274"/>
    <cellStyle name="Input 19 2 2 7 2" xfId="37033"/>
    <cellStyle name="Input 19 2 2 8" xfId="26409"/>
    <cellStyle name="Input 19 2 2 8 2" xfId="35175"/>
    <cellStyle name="Input 19 2 2 9" xfId="28589"/>
    <cellStyle name="Input 19 2 2 9 2" xfId="37345"/>
    <cellStyle name="Input 19 2 3" xfId="20565"/>
    <cellStyle name="Input 19 2 3 10" xfId="27498"/>
    <cellStyle name="Input 19 2 3 10 2" xfId="36258"/>
    <cellStyle name="Input 19 2 3 11" xfId="26044"/>
    <cellStyle name="Input 19 2 3 11 2" xfId="34810"/>
    <cellStyle name="Input 19 2 3 12" xfId="33047"/>
    <cellStyle name="Input 19 2 3 2" xfId="24594"/>
    <cellStyle name="Input 19 2 3 2 10" xfId="32328"/>
    <cellStyle name="Input 19 2 3 2 10 2" xfId="41082"/>
    <cellStyle name="Input 19 2 3 2 11" xfId="33403"/>
    <cellStyle name="Input 19 2 3 2 2" xfId="29187"/>
    <cellStyle name="Input 19 2 3 2 2 2" xfId="37941"/>
    <cellStyle name="Input 19 2 3 2 3" xfId="29597"/>
    <cellStyle name="Input 19 2 3 2 3 2" xfId="38351"/>
    <cellStyle name="Input 19 2 3 2 4" xfId="30019"/>
    <cellStyle name="Input 19 2 3 2 4 2" xfId="38773"/>
    <cellStyle name="Input 19 2 3 2 5" xfId="30436"/>
    <cellStyle name="Input 19 2 3 2 5 2" xfId="39190"/>
    <cellStyle name="Input 19 2 3 2 6" xfId="30837"/>
    <cellStyle name="Input 19 2 3 2 6 2" xfId="39591"/>
    <cellStyle name="Input 19 2 3 2 7" xfId="31223"/>
    <cellStyle name="Input 19 2 3 2 7 2" xfId="39977"/>
    <cellStyle name="Input 19 2 3 2 8" xfId="31600"/>
    <cellStyle name="Input 19 2 3 2 8 2" xfId="40354"/>
    <cellStyle name="Input 19 2 3 2 9" xfId="31966"/>
    <cellStyle name="Input 19 2 3 2 9 2" xfId="40720"/>
    <cellStyle name="Input 19 2 3 3" xfId="28192"/>
    <cellStyle name="Input 19 2 3 3 2" xfId="36951"/>
    <cellStyle name="Input 19 2 3 4" xfId="25136"/>
    <cellStyle name="Input 19 2 3 4 2" xfId="33907"/>
    <cellStyle name="Input 19 2 3 5" xfId="27370"/>
    <cellStyle name="Input 19 2 3 5 2" xfId="36130"/>
    <cellStyle name="Input 19 2 3 6" xfId="27205"/>
    <cellStyle name="Input 19 2 3 6 2" xfId="35965"/>
    <cellStyle name="Input 19 2 3 7" xfId="27424"/>
    <cellStyle name="Input 19 2 3 7 2" xfId="36184"/>
    <cellStyle name="Input 19 2 3 8" xfId="28086"/>
    <cellStyle name="Input 19 2 3 8 2" xfId="36845"/>
    <cellStyle name="Input 19 2 3 9" xfId="27088"/>
    <cellStyle name="Input 19 2 3 9 2" xfId="35848"/>
    <cellStyle name="Input 19 2 4" xfId="15066"/>
    <cellStyle name="Input 19 2 4 10" xfId="26622"/>
    <cellStyle name="Input 19 2 4 10 2" xfId="35387"/>
    <cellStyle name="Input 19 2 4 11" xfId="32865"/>
    <cellStyle name="Input 19 2 4 2" xfId="27127"/>
    <cellStyle name="Input 19 2 4 2 2" xfId="35887"/>
    <cellStyle name="Input 19 2 4 3" xfId="27153"/>
    <cellStyle name="Input 19 2 4 3 2" xfId="35913"/>
    <cellStyle name="Input 19 2 4 4" xfId="25908"/>
    <cellStyle name="Input 19 2 4 4 2" xfId="34674"/>
    <cellStyle name="Input 19 2 4 5" xfId="27413"/>
    <cellStyle name="Input 19 2 4 5 2" xfId="36173"/>
    <cellStyle name="Input 19 2 4 6" xfId="25922"/>
    <cellStyle name="Input 19 2 4 6 2" xfId="34688"/>
    <cellStyle name="Input 19 2 4 7" xfId="26377"/>
    <cellStyle name="Input 19 2 4 7 2" xfId="35143"/>
    <cellStyle name="Input 19 2 4 8" xfId="26707"/>
    <cellStyle name="Input 19 2 4 8 2" xfId="35470"/>
    <cellStyle name="Input 19 2 4 9" xfId="28372"/>
    <cellStyle name="Input 19 2 4 9 2" xfId="37130"/>
    <cellStyle name="Input 19 2 5" xfId="24355"/>
    <cellStyle name="Input 19 2 5 10" xfId="32139"/>
    <cellStyle name="Input 19 2 5 10 2" xfId="40893"/>
    <cellStyle name="Input 19 2 5 11" xfId="33214"/>
    <cellStyle name="Input 19 2 5 2" xfId="28990"/>
    <cellStyle name="Input 19 2 5 2 2" xfId="37744"/>
    <cellStyle name="Input 19 2 5 3" xfId="29403"/>
    <cellStyle name="Input 19 2 5 3 2" xfId="38157"/>
    <cellStyle name="Input 19 2 5 4" xfId="29827"/>
    <cellStyle name="Input 19 2 5 4 2" xfId="38581"/>
    <cellStyle name="Input 19 2 5 5" xfId="30242"/>
    <cellStyle name="Input 19 2 5 5 2" xfId="38996"/>
    <cellStyle name="Input 19 2 5 6" xfId="30643"/>
    <cellStyle name="Input 19 2 5 6 2" xfId="39397"/>
    <cellStyle name="Input 19 2 5 7" xfId="31030"/>
    <cellStyle name="Input 19 2 5 7 2" xfId="39784"/>
    <cellStyle name="Input 19 2 5 8" xfId="31409"/>
    <cellStyle name="Input 19 2 5 8 2" xfId="40163"/>
    <cellStyle name="Input 19 2 5 9" xfId="31777"/>
    <cellStyle name="Input 19 2 5 9 2" xfId="40531"/>
    <cellStyle name="Input 19 2 6" xfId="25575"/>
    <cellStyle name="Input 19 2 6 2" xfId="34342"/>
    <cellStyle name="Input 19 2 7" xfId="26280"/>
    <cellStyle name="Input 19 2 7 2" xfId="35046"/>
    <cellStyle name="Input 19 2 8" xfId="25460"/>
    <cellStyle name="Input 19 2 8 2" xfId="34229"/>
    <cellStyle name="Input 19 2 9" xfId="27804"/>
    <cellStyle name="Input 19 2 9 2" xfId="36564"/>
    <cellStyle name="Input 19 3" xfId="14018"/>
    <cellStyle name="Input 19 3 10" xfId="30175"/>
    <cellStyle name="Input 19 3 10 2" xfId="38929"/>
    <cellStyle name="Input 19 3 11" xfId="30581"/>
    <cellStyle name="Input 19 3 11 2" xfId="39335"/>
    <cellStyle name="Input 19 3 12" xfId="32834"/>
    <cellStyle name="Input 19 3 2" xfId="24302"/>
    <cellStyle name="Input 19 3 2 10" xfId="32106"/>
    <cellStyle name="Input 19 3 2 10 2" xfId="40860"/>
    <cellStyle name="Input 19 3 2 11" xfId="33181"/>
    <cellStyle name="Input 19 3 2 2" xfId="28954"/>
    <cellStyle name="Input 19 3 2 2 2" xfId="37708"/>
    <cellStyle name="Input 19 3 2 3" xfId="29367"/>
    <cellStyle name="Input 19 3 2 3 2" xfId="38121"/>
    <cellStyle name="Input 19 3 2 4" xfId="29792"/>
    <cellStyle name="Input 19 3 2 4 2" xfId="38546"/>
    <cellStyle name="Input 19 3 2 5" xfId="30207"/>
    <cellStyle name="Input 19 3 2 5 2" xfId="38961"/>
    <cellStyle name="Input 19 3 2 6" xfId="30608"/>
    <cellStyle name="Input 19 3 2 6 2" xfId="39362"/>
    <cellStyle name="Input 19 3 2 7" xfId="30995"/>
    <cellStyle name="Input 19 3 2 7 2" xfId="39749"/>
    <cellStyle name="Input 19 3 2 8" xfId="31375"/>
    <cellStyle name="Input 19 3 2 8 2" xfId="40129"/>
    <cellStyle name="Input 19 3 2 9" xfId="31743"/>
    <cellStyle name="Input 19 3 2 9 2" xfId="40497"/>
    <cellStyle name="Input 19 3 3" xfId="26911"/>
    <cellStyle name="Input 19 3 3 2" xfId="35671"/>
    <cellStyle name="Input 19 3 4" xfId="28832"/>
    <cellStyle name="Input 19 3 4 2" xfId="37588"/>
    <cellStyle name="Input 19 3 5" xfId="28910"/>
    <cellStyle name="Input 19 3 5 2" xfId="37666"/>
    <cellStyle name="Input 19 3 6" xfId="28515"/>
    <cellStyle name="Input 19 3 6 2" xfId="37271"/>
    <cellStyle name="Input 19 3 7" xfId="25497"/>
    <cellStyle name="Input 19 3 7 2" xfId="34266"/>
    <cellStyle name="Input 19 3 8" xfId="29774"/>
    <cellStyle name="Input 19 3 8 2" xfId="38528"/>
    <cellStyle name="Input 19 3 9" xfId="25863"/>
    <cellStyle name="Input 19 3 9 2" xfId="34629"/>
    <cellStyle name="Input 19 4" xfId="18150"/>
    <cellStyle name="Input 19 4 10" xfId="27164"/>
    <cellStyle name="Input 19 4 10 2" xfId="35924"/>
    <cellStyle name="Input 19 4 11" xfId="26609"/>
    <cellStyle name="Input 19 4 11 2" xfId="35374"/>
    <cellStyle name="Input 19 4 12" xfId="32894"/>
    <cellStyle name="Input 19 4 2" xfId="24420"/>
    <cellStyle name="Input 19 4 2 10" xfId="32173"/>
    <cellStyle name="Input 19 4 2 10 2" xfId="40927"/>
    <cellStyle name="Input 19 4 2 11" xfId="33248"/>
    <cellStyle name="Input 19 4 2 2" xfId="29028"/>
    <cellStyle name="Input 19 4 2 2 2" xfId="37782"/>
    <cellStyle name="Input 19 4 2 3" xfId="29441"/>
    <cellStyle name="Input 19 4 2 3 2" xfId="38195"/>
    <cellStyle name="Input 19 4 2 4" xfId="29861"/>
    <cellStyle name="Input 19 4 2 4 2" xfId="38615"/>
    <cellStyle name="Input 19 4 2 5" xfId="30280"/>
    <cellStyle name="Input 19 4 2 5 2" xfId="39034"/>
    <cellStyle name="Input 19 4 2 6" xfId="30681"/>
    <cellStyle name="Input 19 4 2 6 2" xfId="39435"/>
    <cellStyle name="Input 19 4 2 7" xfId="31067"/>
    <cellStyle name="Input 19 4 2 7 2" xfId="39821"/>
    <cellStyle name="Input 19 4 2 8" xfId="31445"/>
    <cellStyle name="Input 19 4 2 8 2" xfId="40199"/>
    <cellStyle name="Input 19 4 2 9" xfId="31811"/>
    <cellStyle name="Input 19 4 2 9 2" xfId="40565"/>
    <cellStyle name="Input 19 4 3" xfId="27640"/>
    <cellStyle name="Input 19 4 3 2" xfId="36400"/>
    <cellStyle name="Input 19 4 4" xfId="26479"/>
    <cellStyle name="Input 19 4 4 2" xfId="35244"/>
    <cellStyle name="Input 19 4 5" xfId="25829"/>
    <cellStyle name="Input 19 4 5 2" xfId="34595"/>
    <cellStyle name="Input 19 4 6" xfId="26972"/>
    <cellStyle name="Input 19 4 6 2" xfId="35732"/>
    <cellStyle name="Input 19 4 7" xfId="28143"/>
    <cellStyle name="Input 19 4 7 2" xfId="36902"/>
    <cellStyle name="Input 19 4 8" xfId="26888"/>
    <cellStyle name="Input 19 4 8 2" xfId="35648"/>
    <cellStyle name="Input 19 4 9" xfId="27966"/>
    <cellStyle name="Input 19 4 9 2" xfId="36726"/>
    <cellStyle name="Input 19 5" xfId="23592"/>
    <cellStyle name="Input 19 5 10" xfId="27320"/>
    <cellStyle name="Input 19 5 10 2" xfId="36080"/>
    <cellStyle name="Input 19 5 11" xfId="27939"/>
    <cellStyle name="Input 19 5 11 2" xfId="36699"/>
    <cellStyle name="Input 19 5 12" xfId="33062"/>
    <cellStyle name="Input 19 5 2" xfId="24647"/>
    <cellStyle name="Input 19 5 2 10" xfId="32348"/>
    <cellStyle name="Input 19 5 2 10 2" xfId="41102"/>
    <cellStyle name="Input 19 5 2 11" xfId="33423"/>
    <cellStyle name="Input 19 5 2 2" xfId="29212"/>
    <cellStyle name="Input 19 5 2 2 2" xfId="37966"/>
    <cellStyle name="Input 19 5 2 3" xfId="29622"/>
    <cellStyle name="Input 19 5 2 3 2" xfId="38376"/>
    <cellStyle name="Input 19 5 2 4" xfId="30042"/>
    <cellStyle name="Input 19 5 2 4 2" xfId="38796"/>
    <cellStyle name="Input 19 5 2 5" xfId="30458"/>
    <cellStyle name="Input 19 5 2 5 2" xfId="39212"/>
    <cellStyle name="Input 19 5 2 6" xfId="30859"/>
    <cellStyle name="Input 19 5 2 6 2" xfId="39613"/>
    <cellStyle name="Input 19 5 2 7" xfId="31245"/>
    <cellStyle name="Input 19 5 2 7 2" xfId="39999"/>
    <cellStyle name="Input 19 5 2 8" xfId="31621"/>
    <cellStyle name="Input 19 5 2 8 2" xfId="40375"/>
    <cellStyle name="Input 19 5 2 9" xfId="31987"/>
    <cellStyle name="Input 19 5 2 9 2" xfId="40741"/>
    <cellStyle name="Input 19 5 3" xfId="28708"/>
    <cellStyle name="Input 19 5 3 2" xfId="37464"/>
    <cellStyle name="Input 19 5 4" xfId="24910"/>
    <cellStyle name="Input 19 5 4 2" xfId="33684"/>
    <cellStyle name="Input 19 5 5" xfId="26147"/>
    <cellStyle name="Input 19 5 5 2" xfId="34913"/>
    <cellStyle name="Input 19 5 6" xfId="25545"/>
    <cellStyle name="Input 19 5 6 2" xfId="34312"/>
    <cellStyle name="Input 19 5 7" xfId="29614"/>
    <cellStyle name="Input 19 5 7 2" xfId="38368"/>
    <cellStyle name="Input 19 5 8" xfId="28695"/>
    <cellStyle name="Input 19 5 8 2" xfId="37451"/>
    <cellStyle name="Input 19 5 9" xfId="24934"/>
    <cellStyle name="Input 19 5 9 2" xfId="33708"/>
    <cellStyle name="Input 19 6" xfId="26431"/>
    <cellStyle name="Input 19 6 2" xfId="35196"/>
    <cellStyle name="Input 19 7" xfId="26626"/>
    <cellStyle name="Input 19 7 2" xfId="35391"/>
    <cellStyle name="Input 19 8" xfId="24874"/>
    <cellStyle name="Input 19 8 2" xfId="33648"/>
    <cellStyle name="Input 19 9" xfId="28078"/>
    <cellStyle name="Input 19 9 2" xfId="36837"/>
    <cellStyle name="Input 2" xfId="89"/>
    <cellStyle name="Input 2 10" xfId="28841"/>
    <cellStyle name="Input 2 10 2" xfId="37597"/>
    <cellStyle name="Input 2 11" xfId="26679"/>
    <cellStyle name="Input 2 11 2" xfId="35443"/>
    <cellStyle name="Input 2 12" xfId="26750"/>
    <cellStyle name="Input 2 12 2" xfId="35512"/>
    <cellStyle name="Input 2 13" xfId="41732"/>
    <cellStyle name="Input 2 14" xfId="44210"/>
    <cellStyle name="Input 2 15" xfId="279"/>
    <cellStyle name="Input 2 2" xfId="983"/>
    <cellStyle name="Input 2 2 10" xfId="26775"/>
    <cellStyle name="Input 2 2 10 2" xfId="35537"/>
    <cellStyle name="Input 2 2 11" xfId="25836"/>
    <cellStyle name="Input 2 2 11 2" xfId="34602"/>
    <cellStyle name="Input 2 2 12" xfId="41733"/>
    <cellStyle name="Input 2 2 2" xfId="9311"/>
    <cellStyle name="Input 2 2 2 10" xfId="27354"/>
    <cellStyle name="Input 2 2 2 10 2" xfId="36114"/>
    <cellStyle name="Input 2 2 2 11" xfId="27822"/>
    <cellStyle name="Input 2 2 2 11 2" xfId="36582"/>
    <cellStyle name="Input 2 2 2 12" xfId="32782"/>
    <cellStyle name="Input 2 2 2 13" xfId="41734"/>
    <cellStyle name="Input 2 2 2 2" xfId="18263"/>
    <cellStyle name="Input 2 2 2 2 10" xfId="25546"/>
    <cellStyle name="Input 2 2 2 2 10 2" xfId="34313"/>
    <cellStyle name="Input 2 2 2 2 11" xfId="25654"/>
    <cellStyle name="Input 2 2 2 2 11 2" xfId="34421"/>
    <cellStyle name="Input 2 2 2 2 12" xfId="33007"/>
    <cellStyle name="Input 2 2 2 2 13" xfId="41735"/>
    <cellStyle name="Input 2 2 2 2 14" xfId="43357"/>
    <cellStyle name="Input 2 2 2 2 15" xfId="43856"/>
    <cellStyle name="Input 2 2 2 2 2" xfId="24533"/>
    <cellStyle name="Input 2 2 2 2 2 10" xfId="32286"/>
    <cellStyle name="Input 2 2 2 2 2 10 2" xfId="41040"/>
    <cellStyle name="Input 2 2 2 2 2 11" xfId="33361"/>
    <cellStyle name="Input 2 2 2 2 2 12" xfId="41736"/>
    <cellStyle name="Input 2 2 2 2 2 13" xfId="43356"/>
    <cellStyle name="Input 2 2 2 2 2 14" xfId="43857"/>
    <cellStyle name="Input 2 2 2 2 2 2" xfId="29141"/>
    <cellStyle name="Input 2 2 2 2 2 2 2" xfId="37895"/>
    <cellStyle name="Input 2 2 2 2 2 3" xfId="29554"/>
    <cellStyle name="Input 2 2 2 2 2 3 2" xfId="38308"/>
    <cellStyle name="Input 2 2 2 2 2 4" xfId="29974"/>
    <cellStyle name="Input 2 2 2 2 2 4 2" xfId="38728"/>
    <cellStyle name="Input 2 2 2 2 2 5" xfId="30393"/>
    <cellStyle name="Input 2 2 2 2 2 5 2" xfId="39147"/>
    <cellStyle name="Input 2 2 2 2 2 6" xfId="30794"/>
    <cellStyle name="Input 2 2 2 2 2 6 2" xfId="39548"/>
    <cellStyle name="Input 2 2 2 2 2 7" xfId="31180"/>
    <cellStyle name="Input 2 2 2 2 2 7 2" xfId="39934"/>
    <cellStyle name="Input 2 2 2 2 2 8" xfId="31558"/>
    <cellStyle name="Input 2 2 2 2 2 8 2" xfId="40312"/>
    <cellStyle name="Input 2 2 2 2 2 9" xfId="31924"/>
    <cellStyle name="Input 2 2 2 2 2 9 2" xfId="40678"/>
    <cellStyle name="Input 2 2 2 2 3" xfId="27753"/>
    <cellStyle name="Input 2 2 2 2 3 2" xfId="36513"/>
    <cellStyle name="Input 2 2 2 2 4" xfId="26606"/>
    <cellStyle name="Input 2 2 2 2 4 2" xfId="35371"/>
    <cellStyle name="Input 2 2 2 2 5" xfId="26296"/>
    <cellStyle name="Input 2 2 2 2 5 2" xfId="35062"/>
    <cellStyle name="Input 2 2 2 2 6" xfId="26732"/>
    <cellStyle name="Input 2 2 2 2 6 2" xfId="35495"/>
    <cellStyle name="Input 2 2 2 2 7" xfId="28242"/>
    <cellStyle name="Input 2 2 2 2 7 2" xfId="37001"/>
    <cellStyle name="Input 2 2 2 2 8" xfId="25351"/>
    <cellStyle name="Input 2 2 2 2 8 2" xfId="34120"/>
    <cellStyle name="Input 2 2 2 2 9" xfId="27494"/>
    <cellStyle name="Input 2 2 2 2 9 2" xfId="36254"/>
    <cellStyle name="Input 2 2 2 3" xfId="23674"/>
    <cellStyle name="Input 2 2 2 3 10" xfId="27785"/>
    <cellStyle name="Input 2 2 2 3 10 2" xfId="36545"/>
    <cellStyle name="Input 2 2 2 3 11" xfId="28259"/>
    <cellStyle name="Input 2 2 2 3 11 2" xfId="37018"/>
    <cellStyle name="Input 2 2 2 3 12" xfId="33144"/>
    <cellStyle name="Input 2 2 2 3 2" xfId="24729"/>
    <cellStyle name="Input 2 2 2 3 2 10" xfId="32430"/>
    <cellStyle name="Input 2 2 2 3 2 10 2" xfId="41184"/>
    <cellStyle name="Input 2 2 2 3 2 11" xfId="33505"/>
    <cellStyle name="Input 2 2 2 3 2 2" xfId="29294"/>
    <cellStyle name="Input 2 2 2 3 2 2 2" xfId="38048"/>
    <cellStyle name="Input 2 2 2 3 2 3" xfId="29704"/>
    <cellStyle name="Input 2 2 2 3 2 3 2" xfId="38458"/>
    <cellStyle name="Input 2 2 2 3 2 4" xfId="30124"/>
    <cellStyle name="Input 2 2 2 3 2 4 2" xfId="38878"/>
    <cellStyle name="Input 2 2 2 3 2 5" xfId="30540"/>
    <cellStyle name="Input 2 2 2 3 2 5 2" xfId="39294"/>
    <cellStyle name="Input 2 2 2 3 2 6" xfId="30941"/>
    <cellStyle name="Input 2 2 2 3 2 6 2" xfId="39695"/>
    <cellStyle name="Input 2 2 2 3 2 7" xfId="31327"/>
    <cellStyle name="Input 2 2 2 3 2 7 2" xfId="40081"/>
    <cellStyle name="Input 2 2 2 3 2 8" xfId="31703"/>
    <cellStyle name="Input 2 2 2 3 2 8 2" xfId="40457"/>
    <cellStyle name="Input 2 2 2 3 2 9" xfId="32069"/>
    <cellStyle name="Input 2 2 2 3 2 9 2" xfId="40823"/>
    <cellStyle name="Input 2 2 2 3 3" xfId="28790"/>
    <cellStyle name="Input 2 2 2 3 3 2" xfId="37546"/>
    <cellStyle name="Input 2 2 2 3 4" xfId="1783"/>
    <cellStyle name="Input 2 2 2 3 4 2" xfId="32591"/>
    <cellStyle name="Input 2 2 2 3 5" xfId="28160"/>
    <cellStyle name="Input 2 2 2 3 5 2" xfId="36919"/>
    <cellStyle name="Input 2 2 2 3 6" xfId="25399"/>
    <cellStyle name="Input 2 2 2 3 6 2" xfId="34168"/>
    <cellStyle name="Input 2 2 2 3 7" xfId="24857"/>
    <cellStyle name="Input 2 2 2 3 7 2" xfId="33631"/>
    <cellStyle name="Input 2 2 2 3 8" xfId="25521"/>
    <cellStyle name="Input 2 2 2 3 8 2" xfId="34290"/>
    <cellStyle name="Input 2 2 2 3 9" xfId="27421"/>
    <cellStyle name="Input 2 2 2 3 9 2" xfId="36181"/>
    <cellStyle name="Input 2 2 2 4" xfId="28537"/>
    <cellStyle name="Input 2 2 2 4 2" xfId="37293"/>
    <cellStyle name="Input 2 2 2 5" xfId="27141"/>
    <cellStyle name="Input 2 2 2 5 2" xfId="35901"/>
    <cellStyle name="Input 2 2 2 6" xfId="27942"/>
    <cellStyle name="Input 2 2 2 6 2" xfId="36702"/>
    <cellStyle name="Input 2 2 2 7" xfId="26851"/>
    <cellStyle name="Input 2 2 2 7 2" xfId="35612"/>
    <cellStyle name="Input 2 2 2 8" xfId="28430"/>
    <cellStyle name="Input 2 2 2 8 2" xfId="37187"/>
    <cellStyle name="Input 2 2 2 9" xfId="26881"/>
    <cellStyle name="Input 2 2 2 9 2" xfId="35641"/>
    <cellStyle name="Input 2 2 3" xfId="2877"/>
    <cellStyle name="Input 2 2 3 2" xfId="32672"/>
    <cellStyle name="Input 2 2 4" xfId="2491"/>
    <cellStyle name="Input 2 2 4 2" xfId="32650"/>
    <cellStyle name="Input 2 2 5" xfId="24843"/>
    <cellStyle name="Input 2 2 5 2" xfId="33617"/>
    <cellStyle name="Input 2 2 6" xfId="25949"/>
    <cellStyle name="Input 2 2 6 2" xfId="34715"/>
    <cellStyle name="Input 2 2 7" xfId="25845"/>
    <cellStyle name="Input 2 2 7 2" xfId="34611"/>
    <cellStyle name="Input 2 2 8" xfId="2873"/>
    <cellStyle name="Input 2 2 8 2" xfId="32668"/>
    <cellStyle name="Input 2 2 9" xfId="29760"/>
    <cellStyle name="Input 2 2 9 2" xfId="38514"/>
    <cellStyle name="Input 2 3" xfId="6062"/>
    <cellStyle name="Input 2 3 10" xfId="26672"/>
    <cellStyle name="Input 2 3 10 2" xfId="35436"/>
    <cellStyle name="Input 2 3 11" xfId="25947"/>
    <cellStyle name="Input 2 3 11 2" xfId="34713"/>
    <cellStyle name="Input 2 3 12" xfId="32730"/>
    <cellStyle name="Input 2 3 13" xfId="41737"/>
    <cellStyle name="Input 2 3 2" xfId="18190"/>
    <cellStyle name="Input 2 3 2 10" xfId="28587"/>
    <cellStyle name="Input 2 3 2 10 2" xfId="37343"/>
    <cellStyle name="Input 2 3 2 11" xfId="30172"/>
    <cellStyle name="Input 2 3 2 11 2" xfId="38926"/>
    <cellStyle name="Input 2 3 2 12" xfId="32934"/>
    <cellStyle name="Input 2 3 2 13" xfId="41738"/>
    <cellStyle name="Input 2 3 2 14" xfId="43355"/>
    <cellStyle name="Input 2 3 2 15" xfId="43858"/>
    <cellStyle name="Input 2 3 2 2" xfId="24460"/>
    <cellStyle name="Input 2 3 2 2 10" xfId="32213"/>
    <cellStyle name="Input 2 3 2 2 10 2" xfId="40967"/>
    <cellStyle name="Input 2 3 2 2 11" xfId="33288"/>
    <cellStyle name="Input 2 3 2 2 12" xfId="41739"/>
    <cellStyle name="Input 2 3 2 2 13" xfId="43354"/>
    <cellStyle name="Input 2 3 2 2 14" xfId="43859"/>
    <cellStyle name="Input 2 3 2 2 2" xfId="29068"/>
    <cellStyle name="Input 2 3 2 2 2 2" xfId="37822"/>
    <cellStyle name="Input 2 3 2 2 3" xfId="29481"/>
    <cellStyle name="Input 2 3 2 2 3 2" xfId="38235"/>
    <cellStyle name="Input 2 3 2 2 4" xfId="29901"/>
    <cellStyle name="Input 2 3 2 2 4 2" xfId="38655"/>
    <cellStyle name="Input 2 3 2 2 5" xfId="30320"/>
    <cellStyle name="Input 2 3 2 2 5 2" xfId="39074"/>
    <cellStyle name="Input 2 3 2 2 6" xfId="30721"/>
    <cellStyle name="Input 2 3 2 2 6 2" xfId="39475"/>
    <cellStyle name="Input 2 3 2 2 7" xfId="31107"/>
    <cellStyle name="Input 2 3 2 2 7 2" xfId="39861"/>
    <cellStyle name="Input 2 3 2 2 8" xfId="31485"/>
    <cellStyle name="Input 2 3 2 2 8 2" xfId="40239"/>
    <cellStyle name="Input 2 3 2 2 9" xfId="31851"/>
    <cellStyle name="Input 2 3 2 2 9 2" xfId="40605"/>
    <cellStyle name="Input 2 3 2 3" xfId="27680"/>
    <cellStyle name="Input 2 3 2 3 2" xfId="36440"/>
    <cellStyle name="Input 2 3 2 4" xfId="28658"/>
    <cellStyle name="Input 2 3 2 4 2" xfId="37414"/>
    <cellStyle name="Input 2 3 2 5" xfId="25882"/>
    <cellStyle name="Input 2 3 2 5 2" xfId="34648"/>
    <cellStyle name="Input 2 3 2 6" xfId="28003"/>
    <cellStyle name="Input 2 3 2 6 2" xfId="36762"/>
    <cellStyle name="Input 2 3 2 7" xfId="28414"/>
    <cellStyle name="Input 2 3 2 7 2" xfId="37171"/>
    <cellStyle name="Input 2 3 2 8" xfId="25149"/>
    <cellStyle name="Input 2 3 2 8 2" xfId="33920"/>
    <cellStyle name="Input 2 3 2 9" xfId="27831"/>
    <cellStyle name="Input 2 3 2 9 2" xfId="36591"/>
    <cellStyle name="Input 2 3 3" xfId="23632"/>
    <cellStyle name="Input 2 3 3 10" xfId="28825"/>
    <cellStyle name="Input 2 3 3 10 2" xfId="37581"/>
    <cellStyle name="Input 2 3 3 11" xfId="26158"/>
    <cellStyle name="Input 2 3 3 11 2" xfId="34924"/>
    <cellStyle name="Input 2 3 3 12" xfId="33102"/>
    <cellStyle name="Input 2 3 3 2" xfId="24687"/>
    <cellStyle name="Input 2 3 3 2 10" xfId="32388"/>
    <cellStyle name="Input 2 3 3 2 10 2" xfId="41142"/>
    <cellStyle name="Input 2 3 3 2 11" xfId="33463"/>
    <cellStyle name="Input 2 3 3 2 2" xfId="29252"/>
    <cellStyle name="Input 2 3 3 2 2 2" xfId="38006"/>
    <cellStyle name="Input 2 3 3 2 3" xfId="29662"/>
    <cellStyle name="Input 2 3 3 2 3 2" xfId="38416"/>
    <cellStyle name="Input 2 3 3 2 4" xfId="30082"/>
    <cellStyle name="Input 2 3 3 2 4 2" xfId="38836"/>
    <cellStyle name="Input 2 3 3 2 5" xfId="30498"/>
    <cellStyle name="Input 2 3 3 2 5 2" xfId="39252"/>
    <cellStyle name="Input 2 3 3 2 6" xfId="30899"/>
    <cellStyle name="Input 2 3 3 2 6 2" xfId="39653"/>
    <cellStyle name="Input 2 3 3 2 7" xfId="31285"/>
    <cellStyle name="Input 2 3 3 2 7 2" xfId="40039"/>
    <cellStyle name="Input 2 3 3 2 8" xfId="31661"/>
    <cellStyle name="Input 2 3 3 2 8 2" xfId="40415"/>
    <cellStyle name="Input 2 3 3 2 9" xfId="32027"/>
    <cellStyle name="Input 2 3 3 2 9 2" xfId="40781"/>
    <cellStyle name="Input 2 3 3 3" xfId="28748"/>
    <cellStyle name="Input 2 3 3 3 2" xfId="37504"/>
    <cellStyle name="Input 2 3 3 4" xfId="24779"/>
    <cellStyle name="Input 2 3 3 4 2" xfId="33555"/>
    <cellStyle name="Input 2 3 3 5" xfId="27486"/>
    <cellStyle name="Input 2 3 3 5 2" xfId="36246"/>
    <cellStyle name="Input 2 3 3 6" xfId="27395"/>
    <cellStyle name="Input 2 3 3 6 2" xfId="36155"/>
    <cellStyle name="Input 2 3 3 7" xfId="27420"/>
    <cellStyle name="Input 2 3 3 7 2" xfId="36180"/>
    <cellStyle name="Input 2 3 3 8" xfId="26325"/>
    <cellStyle name="Input 2 3 3 8 2" xfId="35091"/>
    <cellStyle name="Input 2 3 3 9" xfId="25400"/>
    <cellStyle name="Input 2 3 3 9 2" xfId="34169"/>
    <cellStyle name="Input 2 3 4" xfId="27408"/>
    <cellStyle name="Input 2 3 4 2" xfId="36168"/>
    <cellStyle name="Input 2 3 5" xfId="25309"/>
    <cellStyle name="Input 2 3 5 2" xfId="34078"/>
    <cellStyle name="Input 2 3 6" xfId="28131"/>
    <cellStyle name="Input 2 3 6 2" xfId="36890"/>
    <cellStyle name="Input 2 3 7" xfId="26806"/>
    <cellStyle name="Input 2 3 7 2" xfId="35568"/>
    <cellStyle name="Input 2 3 8" xfId="27079"/>
    <cellStyle name="Input 2 3 8 2" xfId="35839"/>
    <cellStyle name="Input 2 3 9" xfId="27036"/>
    <cellStyle name="Input 2 3 9 2" xfId="35796"/>
    <cellStyle name="Input 2 4" xfId="1678"/>
    <cellStyle name="Input 2 4 2" xfId="32491"/>
    <cellStyle name="Input 2 4 3" xfId="43085"/>
    <cellStyle name="Input 2 5" xfId="1682"/>
    <cellStyle name="Input 2 5 2" xfId="32495"/>
    <cellStyle name="Input 2 6" xfId="2844"/>
    <cellStyle name="Input 2 6 2" xfId="32663"/>
    <cellStyle name="Input 2 7" xfId="1806"/>
    <cellStyle name="Input 2 7 2" xfId="32614"/>
    <cellStyle name="Input 2 8" xfId="25967"/>
    <cellStyle name="Input 2 8 2" xfId="34733"/>
    <cellStyle name="Input 2 9" xfId="26788"/>
    <cellStyle name="Input 2 9 2" xfId="35550"/>
    <cellStyle name="Input 20" xfId="4484"/>
    <cellStyle name="Input 20 10" xfId="25210"/>
    <cellStyle name="Input 20 10 2" xfId="33981"/>
    <cellStyle name="Input 20 11" xfId="25455"/>
    <cellStyle name="Input 20 11 2" xfId="34224"/>
    <cellStyle name="Input 20 12" xfId="30191"/>
    <cellStyle name="Input 20 12 2" xfId="38945"/>
    <cellStyle name="Input 20 13" xfId="30594"/>
    <cellStyle name="Input 20 13 2" xfId="39348"/>
    <cellStyle name="Input 20 14" xfId="32691"/>
    <cellStyle name="Input 20 15" xfId="41740"/>
    <cellStyle name="Input 20 2" xfId="6123"/>
    <cellStyle name="Input 20 2 10" xfId="26597"/>
    <cellStyle name="Input 20 2 10 2" xfId="35362"/>
    <cellStyle name="Input 20 2 11" xfId="25488"/>
    <cellStyle name="Input 20 2 11 2" xfId="34257"/>
    <cellStyle name="Input 20 2 12" xfId="28008"/>
    <cellStyle name="Input 20 2 12 2" xfId="36767"/>
    <cellStyle name="Input 20 2 13" xfId="28456"/>
    <cellStyle name="Input 20 2 13 2" xfId="37213"/>
    <cellStyle name="Input 20 2 14" xfId="28395"/>
    <cellStyle name="Input 20 2 14 2" xfId="37152"/>
    <cellStyle name="Input 20 2 15" xfId="41741"/>
    <cellStyle name="Input 20 2 16" xfId="43353"/>
    <cellStyle name="Input 20 2 17" xfId="43860"/>
    <cellStyle name="Input 20 2 2" xfId="18225"/>
    <cellStyle name="Input 20 2 2 10" xfId="25885"/>
    <cellStyle name="Input 20 2 2 10 2" xfId="34651"/>
    <cellStyle name="Input 20 2 2 11" xfId="28380"/>
    <cellStyle name="Input 20 2 2 11 2" xfId="37138"/>
    <cellStyle name="Input 20 2 2 12" xfId="32969"/>
    <cellStyle name="Input 20 2 2 2" xfId="24495"/>
    <cellStyle name="Input 20 2 2 2 10" xfId="32248"/>
    <cellStyle name="Input 20 2 2 2 10 2" xfId="41002"/>
    <cellStyle name="Input 20 2 2 2 11" xfId="33323"/>
    <cellStyle name="Input 20 2 2 2 2" xfId="29103"/>
    <cellStyle name="Input 20 2 2 2 2 2" xfId="37857"/>
    <cellStyle name="Input 20 2 2 2 3" xfId="29516"/>
    <cellStyle name="Input 20 2 2 2 3 2" xfId="38270"/>
    <cellStyle name="Input 20 2 2 2 4" xfId="29936"/>
    <cellStyle name="Input 20 2 2 2 4 2" xfId="38690"/>
    <cellStyle name="Input 20 2 2 2 5" xfId="30355"/>
    <cellStyle name="Input 20 2 2 2 5 2" xfId="39109"/>
    <cellStyle name="Input 20 2 2 2 6" xfId="30756"/>
    <cellStyle name="Input 20 2 2 2 6 2" xfId="39510"/>
    <cellStyle name="Input 20 2 2 2 7" xfId="31142"/>
    <cellStyle name="Input 20 2 2 2 7 2" xfId="39896"/>
    <cellStyle name="Input 20 2 2 2 8" xfId="31520"/>
    <cellStyle name="Input 20 2 2 2 8 2" xfId="40274"/>
    <cellStyle name="Input 20 2 2 2 9" xfId="31886"/>
    <cellStyle name="Input 20 2 2 2 9 2" xfId="40640"/>
    <cellStyle name="Input 20 2 2 3" xfId="27715"/>
    <cellStyle name="Input 20 2 2 3 2" xfId="36475"/>
    <cellStyle name="Input 20 2 2 4" xfId="27378"/>
    <cellStyle name="Input 20 2 2 4 2" xfId="36138"/>
    <cellStyle name="Input 20 2 2 5" xfId="2893"/>
    <cellStyle name="Input 20 2 2 5 2" xfId="32679"/>
    <cellStyle name="Input 20 2 2 6" xfId="27148"/>
    <cellStyle name="Input 20 2 2 6 2" xfId="35908"/>
    <cellStyle name="Input 20 2 2 7" xfId="28494"/>
    <cellStyle name="Input 20 2 2 7 2" xfId="37250"/>
    <cellStyle name="Input 20 2 2 8" xfId="26019"/>
    <cellStyle name="Input 20 2 2 8 2" xfId="34785"/>
    <cellStyle name="Input 20 2 2 9" xfId="25920"/>
    <cellStyle name="Input 20 2 2 9 2" xfId="34686"/>
    <cellStyle name="Input 20 2 3" xfId="20570"/>
    <cellStyle name="Input 20 2 3 10" xfId="27252"/>
    <cellStyle name="Input 20 2 3 10 2" xfId="36012"/>
    <cellStyle name="Input 20 2 3 11" xfId="28823"/>
    <cellStyle name="Input 20 2 3 11 2" xfId="37579"/>
    <cellStyle name="Input 20 2 3 12" xfId="33052"/>
    <cellStyle name="Input 20 2 3 2" xfId="24599"/>
    <cellStyle name="Input 20 2 3 2 10" xfId="32333"/>
    <cellStyle name="Input 20 2 3 2 10 2" xfId="41087"/>
    <cellStyle name="Input 20 2 3 2 11" xfId="33408"/>
    <cellStyle name="Input 20 2 3 2 2" xfId="29192"/>
    <cellStyle name="Input 20 2 3 2 2 2" xfId="37946"/>
    <cellStyle name="Input 20 2 3 2 3" xfId="29602"/>
    <cellStyle name="Input 20 2 3 2 3 2" xfId="38356"/>
    <cellStyle name="Input 20 2 3 2 4" xfId="30024"/>
    <cellStyle name="Input 20 2 3 2 4 2" xfId="38778"/>
    <cellStyle name="Input 20 2 3 2 5" xfId="30441"/>
    <cellStyle name="Input 20 2 3 2 5 2" xfId="39195"/>
    <cellStyle name="Input 20 2 3 2 6" xfId="30842"/>
    <cellStyle name="Input 20 2 3 2 6 2" xfId="39596"/>
    <cellStyle name="Input 20 2 3 2 7" xfId="31228"/>
    <cellStyle name="Input 20 2 3 2 7 2" xfId="39982"/>
    <cellStyle name="Input 20 2 3 2 8" xfId="31605"/>
    <cellStyle name="Input 20 2 3 2 8 2" xfId="40359"/>
    <cellStyle name="Input 20 2 3 2 9" xfId="31971"/>
    <cellStyle name="Input 20 2 3 2 9 2" xfId="40725"/>
    <cellStyle name="Input 20 2 3 3" xfId="28197"/>
    <cellStyle name="Input 20 2 3 3 2" xfId="36956"/>
    <cellStyle name="Input 20 2 3 4" xfId="28408"/>
    <cellStyle name="Input 20 2 3 4 2" xfId="37165"/>
    <cellStyle name="Input 20 2 3 5" xfId="26022"/>
    <cellStyle name="Input 20 2 3 5 2" xfId="34788"/>
    <cellStyle name="Input 20 2 3 6" xfId="28647"/>
    <cellStyle name="Input 20 2 3 6 2" xfId="37403"/>
    <cellStyle name="Input 20 2 3 7" xfId="25603"/>
    <cellStyle name="Input 20 2 3 7 2" xfId="34370"/>
    <cellStyle name="Input 20 2 3 8" xfId="27114"/>
    <cellStyle name="Input 20 2 3 8 2" xfId="35874"/>
    <cellStyle name="Input 20 2 3 9" xfId="27011"/>
    <cellStyle name="Input 20 2 3 9 2" xfId="35771"/>
    <cellStyle name="Input 20 2 4" xfId="15071"/>
    <cellStyle name="Input 20 2 4 10" xfId="27373"/>
    <cellStyle name="Input 20 2 4 10 2" xfId="36133"/>
    <cellStyle name="Input 20 2 4 11" xfId="32870"/>
    <cellStyle name="Input 20 2 4 2" xfId="27132"/>
    <cellStyle name="Input 20 2 4 2 2" xfId="35892"/>
    <cellStyle name="Input 20 2 4 3" xfId="25255"/>
    <cellStyle name="Input 20 2 4 3 2" xfId="34025"/>
    <cellStyle name="Input 20 2 4 4" xfId="27504"/>
    <cellStyle name="Input 20 2 4 4 2" xfId="36264"/>
    <cellStyle name="Input 20 2 4 5" xfId="26055"/>
    <cellStyle name="Input 20 2 4 5 2" xfId="34821"/>
    <cellStyle name="Input 20 2 4 6" xfId="26767"/>
    <cellStyle name="Input 20 2 4 6 2" xfId="35529"/>
    <cellStyle name="Input 20 2 4 7" xfId="25733"/>
    <cellStyle name="Input 20 2 4 7 2" xfId="34500"/>
    <cellStyle name="Input 20 2 4 8" xfId="26016"/>
    <cellStyle name="Input 20 2 4 8 2" xfId="34782"/>
    <cellStyle name="Input 20 2 4 9" xfId="27236"/>
    <cellStyle name="Input 20 2 4 9 2" xfId="35996"/>
    <cellStyle name="Input 20 2 5" xfId="24360"/>
    <cellStyle name="Input 20 2 5 10" xfId="32144"/>
    <cellStyle name="Input 20 2 5 10 2" xfId="40898"/>
    <cellStyle name="Input 20 2 5 11" xfId="33219"/>
    <cellStyle name="Input 20 2 5 2" xfId="28995"/>
    <cellStyle name="Input 20 2 5 2 2" xfId="37749"/>
    <cellStyle name="Input 20 2 5 3" xfId="29408"/>
    <cellStyle name="Input 20 2 5 3 2" xfId="38162"/>
    <cellStyle name="Input 20 2 5 4" xfId="29832"/>
    <cellStyle name="Input 20 2 5 4 2" xfId="38586"/>
    <cellStyle name="Input 20 2 5 5" xfId="30247"/>
    <cellStyle name="Input 20 2 5 5 2" xfId="39001"/>
    <cellStyle name="Input 20 2 5 6" xfId="30648"/>
    <cellStyle name="Input 20 2 5 6 2" xfId="39402"/>
    <cellStyle name="Input 20 2 5 7" xfId="31035"/>
    <cellStyle name="Input 20 2 5 7 2" xfId="39789"/>
    <cellStyle name="Input 20 2 5 8" xfId="31414"/>
    <cellStyle name="Input 20 2 5 8 2" xfId="40168"/>
    <cellStyle name="Input 20 2 5 9" xfId="31782"/>
    <cellStyle name="Input 20 2 5 9 2" xfId="40536"/>
    <cellStyle name="Input 20 2 6" xfId="25580"/>
    <cellStyle name="Input 20 2 6 2" xfId="34347"/>
    <cellStyle name="Input 20 2 7" xfId="27029"/>
    <cellStyle name="Input 20 2 7 2" xfId="35789"/>
    <cellStyle name="Input 20 2 8" xfId="29339"/>
    <cellStyle name="Input 20 2 8 2" xfId="38093"/>
    <cellStyle name="Input 20 2 9" xfId="29765"/>
    <cellStyle name="Input 20 2 9 2" xfId="38519"/>
    <cellStyle name="Input 20 3" xfId="14019"/>
    <cellStyle name="Input 20 3 10" xfId="26007"/>
    <cellStyle name="Input 20 3 10 2" xfId="34773"/>
    <cellStyle name="Input 20 3 11" xfId="28584"/>
    <cellStyle name="Input 20 3 11 2" xfId="37340"/>
    <cellStyle name="Input 20 3 12" xfId="32835"/>
    <cellStyle name="Input 20 3 2" xfId="24303"/>
    <cellStyle name="Input 20 3 2 10" xfId="32107"/>
    <cellStyle name="Input 20 3 2 10 2" xfId="40861"/>
    <cellStyle name="Input 20 3 2 11" xfId="33182"/>
    <cellStyle name="Input 20 3 2 2" xfId="28955"/>
    <cellStyle name="Input 20 3 2 2 2" xfId="37709"/>
    <cellStyle name="Input 20 3 2 3" xfId="29368"/>
    <cellStyle name="Input 20 3 2 3 2" xfId="38122"/>
    <cellStyle name="Input 20 3 2 4" xfId="29793"/>
    <cellStyle name="Input 20 3 2 4 2" xfId="38547"/>
    <cellStyle name="Input 20 3 2 5" xfId="30208"/>
    <cellStyle name="Input 20 3 2 5 2" xfId="38962"/>
    <cellStyle name="Input 20 3 2 6" xfId="30609"/>
    <cellStyle name="Input 20 3 2 6 2" xfId="39363"/>
    <cellStyle name="Input 20 3 2 7" xfId="30996"/>
    <cellStyle name="Input 20 3 2 7 2" xfId="39750"/>
    <cellStyle name="Input 20 3 2 8" xfId="31376"/>
    <cellStyle name="Input 20 3 2 8 2" xfId="40130"/>
    <cellStyle name="Input 20 3 2 9" xfId="31744"/>
    <cellStyle name="Input 20 3 2 9 2" xfId="40498"/>
    <cellStyle name="Input 20 3 3" xfId="26912"/>
    <cellStyle name="Input 20 3 3 2" xfId="35672"/>
    <cellStyle name="Input 20 3 4" xfId="24930"/>
    <cellStyle name="Input 20 3 4 2" xfId="33704"/>
    <cellStyle name="Input 20 3 5" xfId="1744"/>
    <cellStyle name="Input 20 3 5 2" xfId="32553"/>
    <cellStyle name="Input 20 3 6" xfId="1787"/>
    <cellStyle name="Input 20 3 6 2" xfId="32595"/>
    <cellStyle name="Input 20 3 7" xfId="25138"/>
    <cellStyle name="Input 20 3 7 2" xfId="33909"/>
    <cellStyle name="Input 20 3 8" xfId="28318"/>
    <cellStyle name="Input 20 3 8 2" xfId="37077"/>
    <cellStyle name="Input 20 3 9" xfId="28426"/>
    <cellStyle name="Input 20 3 9 2" xfId="37183"/>
    <cellStyle name="Input 20 4" xfId="18151"/>
    <cellStyle name="Input 20 4 10" xfId="27414"/>
    <cellStyle name="Input 20 4 10 2" xfId="36174"/>
    <cellStyle name="Input 20 4 11" xfId="26853"/>
    <cellStyle name="Input 20 4 11 2" xfId="35614"/>
    <cellStyle name="Input 20 4 12" xfId="32895"/>
    <cellStyle name="Input 20 4 2" xfId="24421"/>
    <cellStyle name="Input 20 4 2 10" xfId="32174"/>
    <cellStyle name="Input 20 4 2 10 2" xfId="40928"/>
    <cellStyle name="Input 20 4 2 11" xfId="33249"/>
    <cellStyle name="Input 20 4 2 2" xfId="29029"/>
    <cellStyle name="Input 20 4 2 2 2" xfId="37783"/>
    <cellStyle name="Input 20 4 2 3" xfId="29442"/>
    <cellStyle name="Input 20 4 2 3 2" xfId="38196"/>
    <cellStyle name="Input 20 4 2 4" xfId="29862"/>
    <cellStyle name="Input 20 4 2 4 2" xfId="38616"/>
    <cellStyle name="Input 20 4 2 5" xfId="30281"/>
    <cellStyle name="Input 20 4 2 5 2" xfId="39035"/>
    <cellStyle name="Input 20 4 2 6" xfId="30682"/>
    <cellStyle name="Input 20 4 2 6 2" xfId="39436"/>
    <cellStyle name="Input 20 4 2 7" xfId="31068"/>
    <cellStyle name="Input 20 4 2 7 2" xfId="39822"/>
    <cellStyle name="Input 20 4 2 8" xfId="31446"/>
    <cellStyle name="Input 20 4 2 8 2" xfId="40200"/>
    <cellStyle name="Input 20 4 2 9" xfId="31812"/>
    <cellStyle name="Input 20 4 2 9 2" xfId="40566"/>
    <cellStyle name="Input 20 4 3" xfId="27641"/>
    <cellStyle name="Input 20 4 3 2" xfId="36401"/>
    <cellStyle name="Input 20 4 4" xfId="27933"/>
    <cellStyle name="Input 20 4 4 2" xfId="36693"/>
    <cellStyle name="Input 20 4 5" xfId="28970"/>
    <cellStyle name="Input 20 4 5 2" xfId="37724"/>
    <cellStyle name="Input 20 4 6" xfId="26629"/>
    <cellStyle name="Input 20 4 6 2" xfId="35394"/>
    <cellStyle name="Input 20 4 7" xfId="27954"/>
    <cellStyle name="Input 20 4 7 2" xfId="36714"/>
    <cellStyle name="Input 20 4 8" xfId="25346"/>
    <cellStyle name="Input 20 4 8 2" xfId="34115"/>
    <cellStyle name="Input 20 4 9" xfId="25553"/>
    <cellStyle name="Input 20 4 9 2" xfId="34320"/>
    <cellStyle name="Input 20 5" xfId="23593"/>
    <cellStyle name="Input 20 5 10" xfId="26956"/>
    <cellStyle name="Input 20 5 10 2" xfId="35716"/>
    <cellStyle name="Input 20 5 11" xfId="25560"/>
    <cellStyle name="Input 20 5 11 2" xfId="34327"/>
    <cellStyle name="Input 20 5 12" xfId="33063"/>
    <cellStyle name="Input 20 5 2" xfId="24648"/>
    <cellStyle name="Input 20 5 2 10" xfId="32349"/>
    <cellStyle name="Input 20 5 2 10 2" xfId="41103"/>
    <cellStyle name="Input 20 5 2 11" xfId="33424"/>
    <cellStyle name="Input 20 5 2 2" xfId="29213"/>
    <cellStyle name="Input 20 5 2 2 2" xfId="37967"/>
    <cellStyle name="Input 20 5 2 3" xfId="29623"/>
    <cellStyle name="Input 20 5 2 3 2" xfId="38377"/>
    <cellStyle name="Input 20 5 2 4" xfId="30043"/>
    <cellStyle name="Input 20 5 2 4 2" xfId="38797"/>
    <cellStyle name="Input 20 5 2 5" xfId="30459"/>
    <cellStyle name="Input 20 5 2 5 2" xfId="39213"/>
    <cellStyle name="Input 20 5 2 6" xfId="30860"/>
    <cellStyle name="Input 20 5 2 6 2" xfId="39614"/>
    <cellStyle name="Input 20 5 2 7" xfId="31246"/>
    <cellStyle name="Input 20 5 2 7 2" xfId="40000"/>
    <cellStyle name="Input 20 5 2 8" xfId="31622"/>
    <cellStyle name="Input 20 5 2 8 2" xfId="40376"/>
    <cellStyle name="Input 20 5 2 9" xfId="31988"/>
    <cellStyle name="Input 20 5 2 9 2" xfId="40742"/>
    <cellStyle name="Input 20 5 3" xfId="28709"/>
    <cellStyle name="Input 20 5 3 2" xfId="37465"/>
    <cellStyle name="Input 20 5 4" xfId="24908"/>
    <cellStyle name="Input 20 5 4 2" xfId="33682"/>
    <cellStyle name="Input 20 5 5" xfId="24786"/>
    <cellStyle name="Input 20 5 5 2" xfId="33562"/>
    <cellStyle name="Input 20 5 6" xfId="29338"/>
    <cellStyle name="Input 20 5 6 2" xfId="38092"/>
    <cellStyle name="Input 20 5 7" xfId="24968"/>
    <cellStyle name="Input 20 5 7 2" xfId="33742"/>
    <cellStyle name="Input 20 5 8" xfId="28437"/>
    <cellStyle name="Input 20 5 8 2" xfId="37194"/>
    <cellStyle name="Input 20 5 9" xfId="25508"/>
    <cellStyle name="Input 20 5 9 2" xfId="34277"/>
    <cellStyle name="Input 20 6" xfId="28133"/>
    <cellStyle name="Input 20 6 2" xfId="36892"/>
    <cellStyle name="Input 20 7" xfId="26865"/>
    <cellStyle name="Input 20 7 2" xfId="35626"/>
    <cellStyle name="Input 20 8" xfId="25485"/>
    <cellStyle name="Input 20 8 2" xfId="34254"/>
    <cellStyle name="Input 20 9" xfId="24873"/>
    <cellStyle name="Input 20 9 2" xfId="33647"/>
    <cellStyle name="Input 21" xfId="4485"/>
    <cellStyle name="Input 21 10" xfId="26082"/>
    <cellStyle name="Input 21 10 2" xfId="34848"/>
    <cellStyle name="Input 21 11" xfId="24816"/>
    <cellStyle name="Input 21 11 2" xfId="33592"/>
    <cellStyle name="Input 21 12" xfId="26265"/>
    <cellStyle name="Input 21 12 2" xfId="35031"/>
    <cellStyle name="Input 21 13" xfId="26971"/>
    <cellStyle name="Input 21 13 2" xfId="35731"/>
    <cellStyle name="Input 21 14" xfId="32692"/>
    <cellStyle name="Input 21 15" xfId="41742"/>
    <cellStyle name="Input 21 2" xfId="6117"/>
    <cellStyle name="Input 21 2 10" xfId="29781"/>
    <cellStyle name="Input 21 2 10 2" xfId="38535"/>
    <cellStyle name="Input 21 2 11" xfId="25623"/>
    <cellStyle name="Input 21 2 11 2" xfId="34390"/>
    <cellStyle name="Input 21 2 12" xfId="26232"/>
    <cellStyle name="Input 21 2 12 2" xfId="34998"/>
    <cellStyle name="Input 21 2 13" xfId="26637"/>
    <cellStyle name="Input 21 2 13 2" xfId="35402"/>
    <cellStyle name="Input 21 2 14" xfId="27363"/>
    <cellStyle name="Input 21 2 14 2" xfId="36123"/>
    <cellStyle name="Input 21 2 15" xfId="41743"/>
    <cellStyle name="Input 21 2 16" xfId="43352"/>
    <cellStyle name="Input 21 2 17" xfId="43861"/>
    <cellStyle name="Input 21 2 2" xfId="18221"/>
    <cellStyle name="Input 21 2 2 10" xfId="26541"/>
    <cellStyle name="Input 21 2 2 10 2" xfId="35306"/>
    <cellStyle name="Input 21 2 2 11" xfId="28101"/>
    <cellStyle name="Input 21 2 2 11 2" xfId="36860"/>
    <cellStyle name="Input 21 2 2 12" xfId="32965"/>
    <cellStyle name="Input 21 2 2 2" xfId="24491"/>
    <cellStyle name="Input 21 2 2 2 10" xfId="32244"/>
    <cellStyle name="Input 21 2 2 2 10 2" xfId="40998"/>
    <cellStyle name="Input 21 2 2 2 11" xfId="33319"/>
    <cellStyle name="Input 21 2 2 2 2" xfId="29099"/>
    <cellStyle name="Input 21 2 2 2 2 2" xfId="37853"/>
    <cellStyle name="Input 21 2 2 2 3" xfId="29512"/>
    <cellStyle name="Input 21 2 2 2 3 2" xfId="38266"/>
    <cellStyle name="Input 21 2 2 2 4" xfId="29932"/>
    <cellStyle name="Input 21 2 2 2 4 2" xfId="38686"/>
    <cellStyle name="Input 21 2 2 2 5" xfId="30351"/>
    <cellStyle name="Input 21 2 2 2 5 2" xfId="39105"/>
    <cellStyle name="Input 21 2 2 2 6" xfId="30752"/>
    <cellStyle name="Input 21 2 2 2 6 2" xfId="39506"/>
    <cellStyle name="Input 21 2 2 2 7" xfId="31138"/>
    <cellStyle name="Input 21 2 2 2 7 2" xfId="39892"/>
    <cellStyle name="Input 21 2 2 2 8" xfId="31516"/>
    <cellStyle name="Input 21 2 2 2 8 2" xfId="40270"/>
    <cellStyle name="Input 21 2 2 2 9" xfId="31882"/>
    <cellStyle name="Input 21 2 2 2 9 2" xfId="40636"/>
    <cellStyle name="Input 21 2 2 3" xfId="27711"/>
    <cellStyle name="Input 21 2 2 3 2" xfId="36471"/>
    <cellStyle name="Input 21 2 2 4" xfId="2809"/>
    <cellStyle name="Input 21 2 2 4 2" xfId="32660"/>
    <cellStyle name="Input 21 2 2 5" xfId="26803"/>
    <cellStyle name="Input 21 2 2 5 2" xfId="35565"/>
    <cellStyle name="Input 21 2 2 6" xfId="25799"/>
    <cellStyle name="Input 21 2 2 6 2" xfId="34566"/>
    <cellStyle name="Input 21 2 2 7" xfId="26426"/>
    <cellStyle name="Input 21 2 2 7 2" xfId="35191"/>
    <cellStyle name="Input 21 2 2 8" xfId="27310"/>
    <cellStyle name="Input 21 2 2 8 2" xfId="36070"/>
    <cellStyle name="Input 21 2 2 9" xfId="26344"/>
    <cellStyle name="Input 21 2 2 9 2" xfId="35110"/>
    <cellStyle name="Input 21 2 3" xfId="20566"/>
    <cellStyle name="Input 21 2 3 10" xfId="28311"/>
    <cellStyle name="Input 21 2 3 10 2" xfId="37070"/>
    <cellStyle name="Input 21 2 3 11" xfId="26753"/>
    <cellStyle name="Input 21 2 3 11 2" xfId="35515"/>
    <cellStyle name="Input 21 2 3 12" xfId="33048"/>
    <cellStyle name="Input 21 2 3 2" xfId="24595"/>
    <cellStyle name="Input 21 2 3 2 10" xfId="32329"/>
    <cellStyle name="Input 21 2 3 2 10 2" xfId="41083"/>
    <cellStyle name="Input 21 2 3 2 11" xfId="33404"/>
    <cellStyle name="Input 21 2 3 2 2" xfId="29188"/>
    <cellStyle name="Input 21 2 3 2 2 2" xfId="37942"/>
    <cellStyle name="Input 21 2 3 2 3" xfId="29598"/>
    <cellStyle name="Input 21 2 3 2 3 2" xfId="38352"/>
    <cellStyle name="Input 21 2 3 2 4" xfId="30020"/>
    <cellStyle name="Input 21 2 3 2 4 2" xfId="38774"/>
    <cellStyle name="Input 21 2 3 2 5" xfId="30437"/>
    <cellStyle name="Input 21 2 3 2 5 2" xfId="39191"/>
    <cellStyle name="Input 21 2 3 2 6" xfId="30838"/>
    <cellStyle name="Input 21 2 3 2 6 2" xfId="39592"/>
    <cellStyle name="Input 21 2 3 2 7" xfId="31224"/>
    <cellStyle name="Input 21 2 3 2 7 2" xfId="39978"/>
    <cellStyle name="Input 21 2 3 2 8" xfId="31601"/>
    <cellStyle name="Input 21 2 3 2 8 2" xfId="40355"/>
    <cellStyle name="Input 21 2 3 2 9" xfId="31967"/>
    <cellStyle name="Input 21 2 3 2 9 2" xfId="40721"/>
    <cellStyle name="Input 21 2 3 3" xfId="28193"/>
    <cellStyle name="Input 21 2 3 3 2" xfId="36952"/>
    <cellStyle name="Input 21 2 3 4" xfId="26383"/>
    <cellStyle name="Input 21 2 3 4 2" xfId="35149"/>
    <cellStyle name="Input 21 2 3 5" xfId="28907"/>
    <cellStyle name="Input 21 2 3 5 2" xfId="37663"/>
    <cellStyle name="Input 21 2 3 6" xfId="27271"/>
    <cellStyle name="Input 21 2 3 6 2" xfId="36031"/>
    <cellStyle name="Input 21 2 3 7" xfId="26716"/>
    <cellStyle name="Input 21 2 3 7 2" xfId="35479"/>
    <cellStyle name="Input 21 2 3 8" xfId="26470"/>
    <cellStyle name="Input 21 2 3 8 2" xfId="35235"/>
    <cellStyle name="Input 21 2 3 9" xfId="26800"/>
    <cellStyle name="Input 21 2 3 9 2" xfId="35562"/>
    <cellStyle name="Input 21 2 4" xfId="15067"/>
    <cellStyle name="Input 21 2 4 10" xfId="31982"/>
    <cellStyle name="Input 21 2 4 10 2" xfId="40736"/>
    <cellStyle name="Input 21 2 4 11" xfId="32866"/>
    <cellStyle name="Input 21 2 4 2" xfId="27128"/>
    <cellStyle name="Input 21 2 4 2 2" xfId="35888"/>
    <cellStyle name="Input 21 2 4 3" xfId="27525"/>
    <cellStyle name="Input 21 2 4 3 2" xfId="36285"/>
    <cellStyle name="Input 21 2 4 4" xfId="28937"/>
    <cellStyle name="Input 21 2 4 4 2" xfId="37692"/>
    <cellStyle name="Input 21 2 4 5" xfId="27350"/>
    <cellStyle name="Input 21 2 4 5 2" xfId="36110"/>
    <cellStyle name="Input 21 2 4 6" xfId="30453"/>
    <cellStyle name="Input 21 2 4 6 2" xfId="39207"/>
    <cellStyle name="Input 21 2 4 7" xfId="30854"/>
    <cellStyle name="Input 21 2 4 7 2" xfId="39608"/>
    <cellStyle name="Input 21 2 4 8" xfId="31240"/>
    <cellStyle name="Input 21 2 4 8 2" xfId="39994"/>
    <cellStyle name="Input 21 2 4 9" xfId="31616"/>
    <cellStyle name="Input 21 2 4 9 2" xfId="40370"/>
    <cellStyle name="Input 21 2 5" xfId="24356"/>
    <cellStyle name="Input 21 2 5 10" xfId="32140"/>
    <cellStyle name="Input 21 2 5 10 2" xfId="40894"/>
    <cellStyle name="Input 21 2 5 11" xfId="33215"/>
    <cellStyle name="Input 21 2 5 2" xfId="28991"/>
    <cellStyle name="Input 21 2 5 2 2" xfId="37745"/>
    <cellStyle name="Input 21 2 5 3" xfId="29404"/>
    <cellStyle name="Input 21 2 5 3 2" xfId="38158"/>
    <cellStyle name="Input 21 2 5 4" xfId="29828"/>
    <cellStyle name="Input 21 2 5 4 2" xfId="38582"/>
    <cellStyle name="Input 21 2 5 5" xfId="30243"/>
    <cellStyle name="Input 21 2 5 5 2" xfId="38997"/>
    <cellStyle name="Input 21 2 5 6" xfId="30644"/>
    <cellStyle name="Input 21 2 5 6 2" xfId="39398"/>
    <cellStyle name="Input 21 2 5 7" xfId="31031"/>
    <cellStyle name="Input 21 2 5 7 2" xfId="39785"/>
    <cellStyle name="Input 21 2 5 8" xfId="31410"/>
    <cellStyle name="Input 21 2 5 8 2" xfId="40164"/>
    <cellStyle name="Input 21 2 5 9" xfId="31778"/>
    <cellStyle name="Input 21 2 5 9 2" xfId="40532"/>
    <cellStyle name="Input 21 2 6" xfId="25576"/>
    <cellStyle name="Input 21 2 6 2" xfId="34343"/>
    <cellStyle name="Input 21 2 7" xfId="27247"/>
    <cellStyle name="Input 21 2 7 2" xfId="36007"/>
    <cellStyle name="Input 21 2 8" xfId="28488"/>
    <cellStyle name="Input 21 2 8 2" xfId="37244"/>
    <cellStyle name="Input 21 2 9" xfId="25261"/>
    <cellStyle name="Input 21 2 9 2" xfId="34031"/>
    <cellStyle name="Input 21 3" xfId="14020"/>
    <cellStyle name="Input 21 3 10" xfId="26933"/>
    <cellStyle name="Input 21 3 10 2" xfId="35693"/>
    <cellStyle name="Input 21 3 11" xfId="26126"/>
    <cellStyle name="Input 21 3 11 2" xfId="34892"/>
    <cellStyle name="Input 21 3 12" xfId="32836"/>
    <cellStyle name="Input 21 3 2" xfId="24304"/>
    <cellStyle name="Input 21 3 2 10" xfId="32108"/>
    <cellStyle name="Input 21 3 2 10 2" xfId="40862"/>
    <cellStyle name="Input 21 3 2 11" xfId="33183"/>
    <cellStyle name="Input 21 3 2 2" xfId="28956"/>
    <cellStyle name="Input 21 3 2 2 2" xfId="37710"/>
    <cellStyle name="Input 21 3 2 3" xfId="29369"/>
    <cellStyle name="Input 21 3 2 3 2" xfId="38123"/>
    <cellStyle name="Input 21 3 2 4" xfId="29794"/>
    <cellStyle name="Input 21 3 2 4 2" xfId="38548"/>
    <cellStyle name="Input 21 3 2 5" xfId="30209"/>
    <cellStyle name="Input 21 3 2 5 2" xfId="38963"/>
    <cellStyle name="Input 21 3 2 6" xfId="30610"/>
    <cellStyle name="Input 21 3 2 6 2" xfId="39364"/>
    <cellStyle name="Input 21 3 2 7" xfId="30997"/>
    <cellStyle name="Input 21 3 2 7 2" xfId="39751"/>
    <cellStyle name="Input 21 3 2 8" xfId="31377"/>
    <cellStyle name="Input 21 3 2 8 2" xfId="40131"/>
    <cellStyle name="Input 21 3 2 9" xfId="31745"/>
    <cellStyle name="Input 21 3 2 9 2" xfId="40499"/>
    <cellStyle name="Input 21 3 3" xfId="26913"/>
    <cellStyle name="Input 21 3 3 2" xfId="35673"/>
    <cellStyle name="Input 21 3 4" xfId="1986"/>
    <cellStyle name="Input 21 3 4 2" xfId="32621"/>
    <cellStyle name="Input 21 3 5" xfId="26699"/>
    <cellStyle name="Input 21 3 5 2" xfId="35463"/>
    <cellStyle name="Input 21 3 6" xfId="25873"/>
    <cellStyle name="Input 21 3 6 2" xfId="34639"/>
    <cellStyle name="Input 21 3 7" xfId="24798"/>
    <cellStyle name="Input 21 3 7 2" xfId="33574"/>
    <cellStyle name="Input 21 3 8" xfId="25490"/>
    <cellStyle name="Input 21 3 8 2" xfId="34259"/>
    <cellStyle name="Input 21 3 9" xfId="26430"/>
    <cellStyle name="Input 21 3 9 2" xfId="35195"/>
    <cellStyle name="Input 21 4" xfId="18152"/>
    <cellStyle name="Input 21 4 10" xfId="28495"/>
    <cellStyle name="Input 21 4 10 2" xfId="37251"/>
    <cellStyle name="Input 21 4 11" xfId="25988"/>
    <cellStyle name="Input 21 4 11 2" xfId="34754"/>
    <cellStyle name="Input 21 4 12" xfId="32896"/>
    <cellStyle name="Input 21 4 2" xfId="24422"/>
    <cellStyle name="Input 21 4 2 10" xfId="32175"/>
    <cellStyle name="Input 21 4 2 10 2" xfId="40929"/>
    <cellStyle name="Input 21 4 2 11" xfId="33250"/>
    <cellStyle name="Input 21 4 2 2" xfId="29030"/>
    <cellStyle name="Input 21 4 2 2 2" xfId="37784"/>
    <cellStyle name="Input 21 4 2 3" xfId="29443"/>
    <cellStyle name="Input 21 4 2 3 2" xfId="38197"/>
    <cellStyle name="Input 21 4 2 4" xfId="29863"/>
    <cellStyle name="Input 21 4 2 4 2" xfId="38617"/>
    <cellStyle name="Input 21 4 2 5" xfId="30282"/>
    <cellStyle name="Input 21 4 2 5 2" xfId="39036"/>
    <cellStyle name="Input 21 4 2 6" xfId="30683"/>
    <cellStyle name="Input 21 4 2 6 2" xfId="39437"/>
    <cellStyle name="Input 21 4 2 7" xfId="31069"/>
    <cellStyle name="Input 21 4 2 7 2" xfId="39823"/>
    <cellStyle name="Input 21 4 2 8" xfId="31447"/>
    <cellStyle name="Input 21 4 2 8 2" xfId="40201"/>
    <cellStyle name="Input 21 4 2 9" xfId="31813"/>
    <cellStyle name="Input 21 4 2 9 2" xfId="40567"/>
    <cellStyle name="Input 21 4 3" xfId="27642"/>
    <cellStyle name="Input 21 4 3 2" xfId="36402"/>
    <cellStyle name="Input 21 4 4" xfId="26827"/>
    <cellStyle name="Input 21 4 4 2" xfId="35588"/>
    <cellStyle name="Input 21 4 5" xfId="27208"/>
    <cellStyle name="Input 21 4 5 2" xfId="35968"/>
    <cellStyle name="Input 21 4 6" xfId="27891"/>
    <cellStyle name="Input 21 4 6 2" xfId="36651"/>
    <cellStyle name="Input 21 4 7" xfId="25132"/>
    <cellStyle name="Input 21 4 7 2" xfId="33903"/>
    <cellStyle name="Input 21 4 8" xfId="27519"/>
    <cellStyle name="Input 21 4 8 2" xfId="36279"/>
    <cellStyle name="Input 21 4 9" xfId="29613"/>
    <cellStyle name="Input 21 4 9 2" xfId="38367"/>
    <cellStyle name="Input 21 5" xfId="23594"/>
    <cellStyle name="Input 21 5 10" xfId="28509"/>
    <cellStyle name="Input 21 5 10 2" xfId="37265"/>
    <cellStyle name="Input 21 5 11" xfId="25118"/>
    <cellStyle name="Input 21 5 11 2" xfId="33890"/>
    <cellStyle name="Input 21 5 12" xfId="33064"/>
    <cellStyle name="Input 21 5 2" xfId="24649"/>
    <cellStyle name="Input 21 5 2 10" xfId="32350"/>
    <cellStyle name="Input 21 5 2 10 2" xfId="41104"/>
    <cellStyle name="Input 21 5 2 11" xfId="33425"/>
    <cellStyle name="Input 21 5 2 2" xfId="29214"/>
    <cellStyle name="Input 21 5 2 2 2" xfId="37968"/>
    <cellStyle name="Input 21 5 2 3" xfId="29624"/>
    <cellStyle name="Input 21 5 2 3 2" xfId="38378"/>
    <cellStyle name="Input 21 5 2 4" xfId="30044"/>
    <cellStyle name="Input 21 5 2 4 2" xfId="38798"/>
    <cellStyle name="Input 21 5 2 5" xfId="30460"/>
    <cellStyle name="Input 21 5 2 5 2" xfId="39214"/>
    <cellStyle name="Input 21 5 2 6" xfId="30861"/>
    <cellStyle name="Input 21 5 2 6 2" xfId="39615"/>
    <cellStyle name="Input 21 5 2 7" xfId="31247"/>
    <cellStyle name="Input 21 5 2 7 2" xfId="40001"/>
    <cellStyle name="Input 21 5 2 8" xfId="31623"/>
    <cellStyle name="Input 21 5 2 8 2" xfId="40377"/>
    <cellStyle name="Input 21 5 2 9" xfId="31989"/>
    <cellStyle name="Input 21 5 2 9 2" xfId="40743"/>
    <cellStyle name="Input 21 5 3" xfId="28710"/>
    <cellStyle name="Input 21 5 3 2" xfId="37466"/>
    <cellStyle name="Input 21 5 4" xfId="25068"/>
    <cellStyle name="Input 21 5 4 2" xfId="33842"/>
    <cellStyle name="Input 21 5 5" xfId="25717"/>
    <cellStyle name="Input 21 5 5 2" xfId="34484"/>
    <cellStyle name="Input 21 5 6" xfId="1737"/>
    <cellStyle name="Input 21 5 6 2" xfId="32547"/>
    <cellStyle name="Input 21 5 7" xfId="25939"/>
    <cellStyle name="Input 21 5 7 2" xfId="34705"/>
    <cellStyle name="Input 21 5 8" xfId="26435"/>
    <cellStyle name="Input 21 5 8 2" xfId="35200"/>
    <cellStyle name="Input 21 5 9" xfId="28042"/>
    <cellStyle name="Input 21 5 9 2" xfId="36801"/>
    <cellStyle name="Input 21 6" xfId="27058"/>
    <cellStyle name="Input 21 6 2" xfId="35818"/>
    <cellStyle name="Input 21 7" xfId="26757"/>
    <cellStyle name="Input 21 7 2" xfId="35519"/>
    <cellStyle name="Input 21 8" xfId="28018"/>
    <cellStyle name="Input 21 8 2" xfId="36777"/>
    <cellStyle name="Input 21 9" xfId="27479"/>
    <cellStyle name="Input 21 9 2" xfId="36239"/>
    <cellStyle name="Input 22" xfId="4486"/>
    <cellStyle name="Input 22 10" xfId="26469"/>
    <cellStyle name="Input 22 10 2" xfId="35234"/>
    <cellStyle name="Input 22 11" xfId="28316"/>
    <cellStyle name="Input 22 11 2" xfId="37075"/>
    <cellStyle name="Input 22 12" xfId="28309"/>
    <cellStyle name="Input 22 12 2" xfId="37068"/>
    <cellStyle name="Input 22 13" xfId="26676"/>
    <cellStyle name="Input 22 13 2" xfId="35440"/>
    <cellStyle name="Input 22 14" xfId="32693"/>
    <cellStyle name="Input 22 15" xfId="41744"/>
    <cellStyle name="Input 22 2" xfId="6122"/>
    <cellStyle name="Input 22 2 10" xfId="28419"/>
    <cellStyle name="Input 22 2 10 2" xfId="37176"/>
    <cellStyle name="Input 22 2 11" xfId="26650"/>
    <cellStyle name="Input 22 2 11 2" xfId="35415"/>
    <cellStyle name="Input 22 2 12" xfId="26687"/>
    <cellStyle name="Input 22 2 12 2" xfId="35451"/>
    <cellStyle name="Input 22 2 13" xfId="27586"/>
    <cellStyle name="Input 22 2 13 2" xfId="36346"/>
    <cellStyle name="Input 22 2 14" xfId="28013"/>
    <cellStyle name="Input 22 2 14 2" xfId="36772"/>
    <cellStyle name="Input 22 2 15" xfId="41745"/>
    <cellStyle name="Input 22 2 16" xfId="43351"/>
    <cellStyle name="Input 22 2 17" xfId="43862"/>
    <cellStyle name="Input 22 2 2" xfId="18224"/>
    <cellStyle name="Input 22 2 2 10" xfId="30178"/>
    <cellStyle name="Input 22 2 2 10 2" xfId="38932"/>
    <cellStyle name="Input 22 2 2 11" xfId="30583"/>
    <cellStyle name="Input 22 2 2 11 2" xfId="39337"/>
    <cellStyle name="Input 22 2 2 12" xfId="32968"/>
    <cellStyle name="Input 22 2 2 2" xfId="24494"/>
    <cellStyle name="Input 22 2 2 2 10" xfId="32247"/>
    <cellStyle name="Input 22 2 2 2 10 2" xfId="41001"/>
    <cellStyle name="Input 22 2 2 2 11" xfId="33322"/>
    <cellStyle name="Input 22 2 2 2 2" xfId="29102"/>
    <cellStyle name="Input 22 2 2 2 2 2" xfId="37856"/>
    <cellStyle name="Input 22 2 2 2 3" xfId="29515"/>
    <cellStyle name="Input 22 2 2 2 3 2" xfId="38269"/>
    <cellStyle name="Input 22 2 2 2 4" xfId="29935"/>
    <cellStyle name="Input 22 2 2 2 4 2" xfId="38689"/>
    <cellStyle name="Input 22 2 2 2 5" xfId="30354"/>
    <cellStyle name="Input 22 2 2 2 5 2" xfId="39108"/>
    <cellStyle name="Input 22 2 2 2 6" xfId="30755"/>
    <cellStyle name="Input 22 2 2 2 6 2" xfId="39509"/>
    <cellStyle name="Input 22 2 2 2 7" xfId="31141"/>
    <cellStyle name="Input 22 2 2 2 7 2" xfId="39895"/>
    <cellStyle name="Input 22 2 2 2 8" xfId="31519"/>
    <cellStyle name="Input 22 2 2 2 8 2" xfId="40273"/>
    <cellStyle name="Input 22 2 2 2 9" xfId="31885"/>
    <cellStyle name="Input 22 2 2 2 9 2" xfId="40639"/>
    <cellStyle name="Input 22 2 2 3" xfId="27714"/>
    <cellStyle name="Input 22 2 2 3 2" xfId="36474"/>
    <cellStyle name="Input 22 2 2 4" xfId="26821"/>
    <cellStyle name="Input 22 2 2 4 2" xfId="35582"/>
    <cellStyle name="Input 22 2 2 5" xfId="25092"/>
    <cellStyle name="Input 22 2 2 5 2" xfId="33864"/>
    <cellStyle name="Input 22 2 2 6" xfId="27418"/>
    <cellStyle name="Input 22 2 2 6 2" xfId="36178"/>
    <cellStyle name="Input 22 2 2 7" xfId="28669"/>
    <cellStyle name="Input 22 2 2 7 2" xfId="37425"/>
    <cellStyle name="Input 22 2 2 8" xfId="29778"/>
    <cellStyle name="Input 22 2 2 8 2" xfId="38532"/>
    <cellStyle name="Input 22 2 2 9" xfId="26839"/>
    <cellStyle name="Input 22 2 2 9 2" xfId="35600"/>
    <cellStyle name="Input 22 2 3" xfId="20569"/>
    <cellStyle name="Input 22 2 3 10" xfId="26455"/>
    <cellStyle name="Input 22 2 3 10 2" xfId="35220"/>
    <cellStyle name="Input 22 2 3 11" xfId="25640"/>
    <cellStyle name="Input 22 2 3 11 2" xfId="34407"/>
    <cellStyle name="Input 22 2 3 12" xfId="33051"/>
    <cellStyle name="Input 22 2 3 2" xfId="24598"/>
    <cellStyle name="Input 22 2 3 2 10" xfId="32332"/>
    <cellStyle name="Input 22 2 3 2 10 2" xfId="41086"/>
    <cellStyle name="Input 22 2 3 2 11" xfId="33407"/>
    <cellStyle name="Input 22 2 3 2 2" xfId="29191"/>
    <cellStyle name="Input 22 2 3 2 2 2" xfId="37945"/>
    <cellStyle name="Input 22 2 3 2 3" xfId="29601"/>
    <cellStyle name="Input 22 2 3 2 3 2" xfId="38355"/>
    <cellStyle name="Input 22 2 3 2 4" xfId="30023"/>
    <cellStyle name="Input 22 2 3 2 4 2" xfId="38777"/>
    <cellStyle name="Input 22 2 3 2 5" xfId="30440"/>
    <cellStyle name="Input 22 2 3 2 5 2" xfId="39194"/>
    <cellStyle name="Input 22 2 3 2 6" xfId="30841"/>
    <cellStyle name="Input 22 2 3 2 6 2" xfId="39595"/>
    <cellStyle name="Input 22 2 3 2 7" xfId="31227"/>
    <cellStyle name="Input 22 2 3 2 7 2" xfId="39981"/>
    <cellStyle name="Input 22 2 3 2 8" xfId="31604"/>
    <cellStyle name="Input 22 2 3 2 8 2" xfId="40358"/>
    <cellStyle name="Input 22 2 3 2 9" xfId="31970"/>
    <cellStyle name="Input 22 2 3 2 9 2" xfId="40724"/>
    <cellStyle name="Input 22 2 3 3" xfId="28196"/>
    <cellStyle name="Input 22 2 3 3 2" xfId="36955"/>
    <cellStyle name="Input 22 2 3 4" xfId="27341"/>
    <cellStyle name="Input 22 2 3 4 2" xfId="36101"/>
    <cellStyle name="Input 22 2 3 5" xfId="28294"/>
    <cellStyle name="Input 22 2 3 5 2" xfId="37053"/>
    <cellStyle name="Input 22 2 3 6" xfId="1782"/>
    <cellStyle name="Input 22 2 3 6 2" xfId="32590"/>
    <cellStyle name="Input 22 2 3 7" xfId="27284"/>
    <cellStyle name="Input 22 2 3 7 2" xfId="36044"/>
    <cellStyle name="Input 22 2 3 8" xfId="26642"/>
    <cellStyle name="Input 22 2 3 8 2" xfId="35407"/>
    <cellStyle name="Input 22 2 3 9" xfId="25597"/>
    <cellStyle name="Input 22 2 3 9 2" xfId="34364"/>
    <cellStyle name="Input 22 2 4" xfId="15070"/>
    <cellStyle name="Input 22 2 4 10" xfId="28379"/>
    <cellStyle name="Input 22 2 4 10 2" xfId="37137"/>
    <cellStyle name="Input 22 2 4 11" xfId="32869"/>
    <cellStyle name="Input 22 2 4 2" xfId="27131"/>
    <cellStyle name="Input 22 2 4 2 2" xfId="35891"/>
    <cellStyle name="Input 22 2 4 3" xfId="25615"/>
    <cellStyle name="Input 22 2 4 3 2" xfId="34382"/>
    <cellStyle name="Input 22 2 4 4" xfId="25731"/>
    <cellStyle name="Input 22 2 4 4 2" xfId="34498"/>
    <cellStyle name="Input 22 2 4 5" xfId="27390"/>
    <cellStyle name="Input 22 2 4 5 2" xfId="36150"/>
    <cellStyle name="Input 22 2 4 6" xfId="27277"/>
    <cellStyle name="Input 22 2 4 6 2" xfId="36037"/>
    <cellStyle name="Input 22 2 4 7" xfId="26000"/>
    <cellStyle name="Input 22 2 4 7 2" xfId="34766"/>
    <cellStyle name="Input 22 2 4 8" xfId="27068"/>
    <cellStyle name="Input 22 2 4 8 2" xfId="35828"/>
    <cellStyle name="Input 22 2 4 9" xfId="26109"/>
    <cellStyle name="Input 22 2 4 9 2" xfId="34875"/>
    <cellStyle name="Input 22 2 5" xfId="24359"/>
    <cellStyle name="Input 22 2 5 10" xfId="32143"/>
    <cellStyle name="Input 22 2 5 10 2" xfId="40897"/>
    <cellStyle name="Input 22 2 5 11" xfId="33218"/>
    <cellStyle name="Input 22 2 5 2" xfId="28994"/>
    <cellStyle name="Input 22 2 5 2 2" xfId="37748"/>
    <cellStyle name="Input 22 2 5 3" xfId="29407"/>
    <cellStyle name="Input 22 2 5 3 2" xfId="38161"/>
    <cellStyle name="Input 22 2 5 4" xfId="29831"/>
    <cellStyle name="Input 22 2 5 4 2" xfId="38585"/>
    <cellStyle name="Input 22 2 5 5" xfId="30246"/>
    <cellStyle name="Input 22 2 5 5 2" xfId="39000"/>
    <cellStyle name="Input 22 2 5 6" xfId="30647"/>
    <cellStyle name="Input 22 2 5 6 2" xfId="39401"/>
    <cellStyle name="Input 22 2 5 7" xfId="31034"/>
    <cellStyle name="Input 22 2 5 7 2" xfId="39788"/>
    <cellStyle name="Input 22 2 5 8" xfId="31413"/>
    <cellStyle name="Input 22 2 5 8 2" xfId="40167"/>
    <cellStyle name="Input 22 2 5 9" xfId="31781"/>
    <cellStyle name="Input 22 2 5 9 2" xfId="40535"/>
    <cellStyle name="Input 22 2 6" xfId="25579"/>
    <cellStyle name="Input 22 2 6 2" xfId="34346"/>
    <cellStyle name="Input 22 2 7" xfId="28113"/>
    <cellStyle name="Input 22 2 7 2" xfId="36872"/>
    <cellStyle name="Input 22 2 8" xfId="24897"/>
    <cellStyle name="Input 22 2 8 2" xfId="33671"/>
    <cellStyle name="Input 22 2 9" xfId="24766"/>
    <cellStyle name="Input 22 2 9 2" xfId="33542"/>
    <cellStyle name="Input 22 3" xfId="14021"/>
    <cellStyle name="Input 22 3 10" xfId="26250"/>
    <cellStyle name="Input 22 3 10 2" xfId="35016"/>
    <cellStyle name="Input 22 3 11" xfId="1709"/>
    <cellStyle name="Input 22 3 11 2" xfId="32521"/>
    <cellStyle name="Input 22 3 12" xfId="32837"/>
    <cellStyle name="Input 22 3 2" xfId="24305"/>
    <cellStyle name="Input 22 3 2 10" xfId="32109"/>
    <cellStyle name="Input 22 3 2 10 2" xfId="40863"/>
    <cellStyle name="Input 22 3 2 11" xfId="33184"/>
    <cellStyle name="Input 22 3 2 2" xfId="28957"/>
    <cellStyle name="Input 22 3 2 2 2" xfId="37711"/>
    <cellStyle name="Input 22 3 2 3" xfId="29370"/>
    <cellStyle name="Input 22 3 2 3 2" xfId="38124"/>
    <cellStyle name="Input 22 3 2 4" xfId="29795"/>
    <cellStyle name="Input 22 3 2 4 2" xfId="38549"/>
    <cellStyle name="Input 22 3 2 5" xfId="30210"/>
    <cellStyle name="Input 22 3 2 5 2" xfId="38964"/>
    <cellStyle name="Input 22 3 2 6" xfId="30611"/>
    <cellStyle name="Input 22 3 2 6 2" xfId="39365"/>
    <cellStyle name="Input 22 3 2 7" xfId="30998"/>
    <cellStyle name="Input 22 3 2 7 2" xfId="39752"/>
    <cellStyle name="Input 22 3 2 8" xfId="31378"/>
    <cellStyle name="Input 22 3 2 8 2" xfId="40132"/>
    <cellStyle name="Input 22 3 2 9" xfId="31746"/>
    <cellStyle name="Input 22 3 2 9 2" xfId="40500"/>
    <cellStyle name="Input 22 3 3" xfId="26914"/>
    <cellStyle name="Input 22 3 3 2" xfId="35674"/>
    <cellStyle name="Input 22 3 4" xfId="28818"/>
    <cellStyle name="Input 22 3 4 2" xfId="37574"/>
    <cellStyle name="Input 22 3 5" xfId="24867"/>
    <cellStyle name="Input 22 3 5 2" xfId="33641"/>
    <cellStyle name="Input 22 3 6" xfId="28558"/>
    <cellStyle name="Input 22 3 6 2" xfId="37314"/>
    <cellStyle name="Input 22 3 7" xfId="27290"/>
    <cellStyle name="Input 22 3 7 2" xfId="36050"/>
    <cellStyle name="Input 22 3 8" xfId="25467"/>
    <cellStyle name="Input 22 3 8 2" xfId="34236"/>
    <cellStyle name="Input 22 3 9" xfId="25039"/>
    <cellStyle name="Input 22 3 9 2" xfId="33813"/>
    <cellStyle name="Input 22 4" xfId="18153"/>
    <cellStyle name="Input 22 4 10" xfId="24768"/>
    <cellStyle name="Input 22 4 10 2" xfId="33544"/>
    <cellStyle name="Input 22 4 11" xfId="25151"/>
    <cellStyle name="Input 22 4 11 2" xfId="33922"/>
    <cellStyle name="Input 22 4 12" xfId="32897"/>
    <cellStyle name="Input 22 4 2" xfId="24423"/>
    <cellStyle name="Input 22 4 2 10" xfId="32176"/>
    <cellStyle name="Input 22 4 2 10 2" xfId="40930"/>
    <cellStyle name="Input 22 4 2 11" xfId="33251"/>
    <cellStyle name="Input 22 4 2 2" xfId="29031"/>
    <cellStyle name="Input 22 4 2 2 2" xfId="37785"/>
    <cellStyle name="Input 22 4 2 3" xfId="29444"/>
    <cellStyle name="Input 22 4 2 3 2" xfId="38198"/>
    <cellStyle name="Input 22 4 2 4" xfId="29864"/>
    <cellStyle name="Input 22 4 2 4 2" xfId="38618"/>
    <cellStyle name="Input 22 4 2 5" xfId="30283"/>
    <cellStyle name="Input 22 4 2 5 2" xfId="39037"/>
    <cellStyle name="Input 22 4 2 6" xfId="30684"/>
    <cellStyle name="Input 22 4 2 6 2" xfId="39438"/>
    <cellStyle name="Input 22 4 2 7" xfId="31070"/>
    <cellStyle name="Input 22 4 2 7 2" xfId="39824"/>
    <cellStyle name="Input 22 4 2 8" xfId="31448"/>
    <cellStyle name="Input 22 4 2 8 2" xfId="40202"/>
    <cellStyle name="Input 22 4 2 9" xfId="31814"/>
    <cellStyle name="Input 22 4 2 9 2" xfId="40568"/>
    <cellStyle name="Input 22 4 3" xfId="27643"/>
    <cellStyle name="Input 22 4 3 2" xfId="36403"/>
    <cellStyle name="Input 22 4 4" xfId="27429"/>
    <cellStyle name="Input 22 4 4 2" xfId="36189"/>
    <cellStyle name="Input 22 4 5" xfId="27899"/>
    <cellStyle name="Input 22 4 5 2" xfId="36659"/>
    <cellStyle name="Input 22 4 6" xfId="28697"/>
    <cellStyle name="Input 22 4 6 2" xfId="37453"/>
    <cellStyle name="Input 22 4 7" xfId="25871"/>
    <cellStyle name="Input 22 4 7 2" xfId="34637"/>
    <cellStyle name="Input 22 4 8" xfId="28170"/>
    <cellStyle name="Input 22 4 8 2" xfId="36929"/>
    <cellStyle name="Input 22 4 9" xfId="25045"/>
    <cellStyle name="Input 22 4 9 2" xfId="33819"/>
    <cellStyle name="Input 22 5" xfId="23595"/>
    <cellStyle name="Input 22 5 10" xfId="26356"/>
    <cellStyle name="Input 22 5 10 2" xfId="35122"/>
    <cellStyle name="Input 22 5 11" xfId="28533"/>
    <cellStyle name="Input 22 5 11 2" xfId="37289"/>
    <cellStyle name="Input 22 5 12" xfId="33065"/>
    <cellStyle name="Input 22 5 2" xfId="24650"/>
    <cellStyle name="Input 22 5 2 10" xfId="32351"/>
    <cellStyle name="Input 22 5 2 10 2" xfId="41105"/>
    <cellStyle name="Input 22 5 2 11" xfId="33426"/>
    <cellStyle name="Input 22 5 2 2" xfId="29215"/>
    <cellStyle name="Input 22 5 2 2 2" xfId="37969"/>
    <cellStyle name="Input 22 5 2 3" xfId="29625"/>
    <cellStyle name="Input 22 5 2 3 2" xfId="38379"/>
    <cellStyle name="Input 22 5 2 4" xfId="30045"/>
    <cellStyle name="Input 22 5 2 4 2" xfId="38799"/>
    <cellStyle name="Input 22 5 2 5" xfId="30461"/>
    <cellStyle name="Input 22 5 2 5 2" xfId="39215"/>
    <cellStyle name="Input 22 5 2 6" xfId="30862"/>
    <cellStyle name="Input 22 5 2 6 2" xfId="39616"/>
    <cellStyle name="Input 22 5 2 7" xfId="31248"/>
    <cellStyle name="Input 22 5 2 7 2" xfId="40002"/>
    <cellStyle name="Input 22 5 2 8" xfId="31624"/>
    <cellStyle name="Input 22 5 2 8 2" xfId="40378"/>
    <cellStyle name="Input 22 5 2 9" xfId="31990"/>
    <cellStyle name="Input 22 5 2 9 2" xfId="40744"/>
    <cellStyle name="Input 22 5 3" xfId="28711"/>
    <cellStyle name="Input 22 5 3 2" xfId="37467"/>
    <cellStyle name="Input 22 5 4" xfId="2875"/>
    <cellStyle name="Input 22 5 4 2" xfId="32670"/>
    <cellStyle name="Input 22 5 5" xfId="1663"/>
    <cellStyle name="Input 22 5 5 2" xfId="32477"/>
    <cellStyle name="Input 22 5 6" xfId="25604"/>
    <cellStyle name="Input 22 5 6 2" xfId="34371"/>
    <cellStyle name="Input 22 5 7" xfId="26531"/>
    <cellStyle name="Input 22 5 7 2" xfId="35296"/>
    <cellStyle name="Input 22 5 8" xfId="28300"/>
    <cellStyle name="Input 22 5 8 2" xfId="37059"/>
    <cellStyle name="Input 22 5 9" xfId="27042"/>
    <cellStyle name="Input 22 5 9 2" xfId="35802"/>
    <cellStyle name="Input 22 6" xfId="27384"/>
    <cellStyle name="Input 22 6 2" xfId="36144"/>
    <cellStyle name="Input 22 7" xfId="28092"/>
    <cellStyle name="Input 22 7 2" xfId="36851"/>
    <cellStyle name="Input 22 8" xfId="26379"/>
    <cellStyle name="Input 22 8 2" xfId="35145"/>
    <cellStyle name="Input 22 9" xfId="27342"/>
    <cellStyle name="Input 22 9 2" xfId="36102"/>
    <cellStyle name="Input 23" xfId="4487"/>
    <cellStyle name="Input 23 10" xfId="1776"/>
    <cellStyle name="Input 23 10 2" xfId="32584"/>
    <cellStyle name="Input 23 11" xfId="28522"/>
    <cellStyle name="Input 23 11 2" xfId="37278"/>
    <cellStyle name="Input 23 12" xfId="25976"/>
    <cellStyle name="Input 23 12 2" xfId="34742"/>
    <cellStyle name="Input 23 13" xfId="25083"/>
    <cellStyle name="Input 23 13 2" xfId="33855"/>
    <cellStyle name="Input 23 14" xfId="32694"/>
    <cellStyle name="Input 23 15" xfId="41746"/>
    <cellStyle name="Input 23 2" xfId="6115"/>
    <cellStyle name="Input 23 2 10" xfId="27282"/>
    <cellStyle name="Input 23 2 10 2" xfId="36042"/>
    <cellStyle name="Input 23 2 11" xfId="27594"/>
    <cellStyle name="Input 23 2 11 2" xfId="36354"/>
    <cellStyle name="Input 23 2 12" xfId="26067"/>
    <cellStyle name="Input 23 2 12 2" xfId="34833"/>
    <cellStyle name="Input 23 2 13" xfId="28492"/>
    <cellStyle name="Input 23 2 13 2" xfId="37248"/>
    <cellStyle name="Input 23 2 14" xfId="25265"/>
    <cellStyle name="Input 23 2 14 2" xfId="34035"/>
    <cellStyle name="Input 23 2 15" xfId="41747"/>
    <cellStyle name="Input 23 2 16" xfId="43350"/>
    <cellStyle name="Input 23 2 17" xfId="43863"/>
    <cellStyle name="Input 23 2 2" xfId="18219"/>
    <cellStyle name="Input 23 2 2 10" xfId="1738"/>
    <cellStyle name="Input 23 2 2 10 2" xfId="32548"/>
    <cellStyle name="Input 23 2 2 11" xfId="28351"/>
    <cellStyle name="Input 23 2 2 11 2" xfId="37110"/>
    <cellStyle name="Input 23 2 2 12" xfId="32963"/>
    <cellStyle name="Input 23 2 2 2" xfId="24489"/>
    <cellStyle name="Input 23 2 2 2 10" xfId="32242"/>
    <cellStyle name="Input 23 2 2 2 10 2" xfId="40996"/>
    <cellStyle name="Input 23 2 2 2 11" xfId="33317"/>
    <cellStyle name="Input 23 2 2 2 2" xfId="29097"/>
    <cellStyle name="Input 23 2 2 2 2 2" xfId="37851"/>
    <cellStyle name="Input 23 2 2 2 3" xfId="29510"/>
    <cellStyle name="Input 23 2 2 2 3 2" xfId="38264"/>
    <cellStyle name="Input 23 2 2 2 4" xfId="29930"/>
    <cellStyle name="Input 23 2 2 2 4 2" xfId="38684"/>
    <cellStyle name="Input 23 2 2 2 5" xfId="30349"/>
    <cellStyle name="Input 23 2 2 2 5 2" xfId="39103"/>
    <cellStyle name="Input 23 2 2 2 6" xfId="30750"/>
    <cellStyle name="Input 23 2 2 2 6 2" xfId="39504"/>
    <cellStyle name="Input 23 2 2 2 7" xfId="31136"/>
    <cellStyle name="Input 23 2 2 2 7 2" xfId="39890"/>
    <cellStyle name="Input 23 2 2 2 8" xfId="31514"/>
    <cellStyle name="Input 23 2 2 2 8 2" xfId="40268"/>
    <cellStyle name="Input 23 2 2 2 9" xfId="31880"/>
    <cellStyle name="Input 23 2 2 2 9 2" xfId="40634"/>
    <cellStyle name="Input 23 2 2 3" xfId="27709"/>
    <cellStyle name="Input 23 2 2 3 2" xfId="36469"/>
    <cellStyle name="Input 23 2 2 4" xfId="28267"/>
    <cellStyle name="Input 23 2 2 4 2" xfId="37026"/>
    <cellStyle name="Input 23 2 2 5" xfId="28337"/>
    <cellStyle name="Input 23 2 2 5 2" xfId="37096"/>
    <cellStyle name="Input 23 2 2 6" xfId="26544"/>
    <cellStyle name="Input 23 2 2 6 2" xfId="35309"/>
    <cellStyle name="Input 23 2 2 7" xfId="25727"/>
    <cellStyle name="Input 23 2 2 7 2" xfId="34494"/>
    <cellStyle name="Input 23 2 2 8" xfId="28447"/>
    <cellStyle name="Input 23 2 2 8 2" xfId="37204"/>
    <cellStyle name="Input 23 2 2 9" xfId="25111"/>
    <cellStyle name="Input 23 2 2 9 2" xfId="33883"/>
    <cellStyle name="Input 23 2 3" xfId="20564"/>
    <cellStyle name="Input 23 2 3 10" xfId="30987"/>
    <cellStyle name="Input 23 2 3 10 2" xfId="39741"/>
    <cellStyle name="Input 23 2 3 11" xfId="31367"/>
    <cellStyle name="Input 23 2 3 11 2" xfId="40121"/>
    <cellStyle name="Input 23 2 3 12" xfId="33046"/>
    <cellStyle name="Input 23 2 3 2" xfId="24593"/>
    <cellStyle name="Input 23 2 3 2 10" xfId="32327"/>
    <cellStyle name="Input 23 2 3 2 10 2" xfId="41081"/>
    <cellStyle name="Input 23 2 3 2 11" xfId="33402"/>
    <cellStyle name="Input 23 2 3 2 2" xfId="29186"/>
    <cellStyle name="Input 23 2 3 2 2 2" xfId="37940"/>
    <cellStyle name="Input 23 2 3 2 3" xfId="29596"/>
    <cellStyle name="Input 23 2 3 2 3 2" xfId="38350"/>
    <cellStyle name="Input 23 2 3 2 4" xfId="30018"/>
    <cellStyle name="Input 23 2 3 2 4 2" xfId="38772"/>
    <cellStyle name="Input 23 2 3 2 5" xfId="30435"/>
    <cellStyle name="Input 23 2 3 2 5 2" xfId="39189"/>
    <cellStyle name="Input 23 2 3 2 6" xfId="30836"/>
    <cellStyle name="Input 23 2 3 2 6 2" xfId="39590"/>
    <cellStyle name="Input 23 2 3 2 7" xfId="31222"/>
    <cellStyle name="Input 23 2 3 2 7 2" xfId="39976"/>
    <cellStyle name="Input 23 2 3 2 8" xfId="31599"/>
    <cellStyle name="Input 23 2 3 2 8 2" xfId="40353"/>
    <cellStyle name="Input 23 2 3 2 9" xfId="31965"/>
    <cellStyle name="Input 23 2 3 2 9 2" xfId="40719"/>
    <cellStyle name="Input 23 2 3 3" xfId="28191"/>
    <cellStyle name="Input 23 2 3 3 2" xfId="36950"/>
    <cellStyle name="Input 23 2 3 4" xfId="25607"/>
    <cellStyle name="Input 23 2 3 4 2" xfId="34374"/>
    <cellStyle name="Input 23 2 3 5" xfId="28255"/>
    <cellStyle name="Input 23 2 3 5 2" xfId="37014"/>
    <cellStyle name="Input 23 2 3 6" xfId="27311"/>
    <cellStyle name="Input 23 2 3 6 2" xfId="36071"/>
    <cellStyle name="Input 23 2 3 7" xfId="27886"/>
    <cellStyle name="Input 23 2 3 7 2" xfId="36646"/>
    <cellStyle name="Input 23 2 3 8" xfId="30197"/>
    <cellStyle name="Input 23 2 3 8 2" xfId="38951"/>
    <cellStyle name="Input 23 2 3 9" xfId="30598"/>
    <cellStyle name="Input 23 2 3 9 2" xfId="39352"/>
    <cellStyle name="Input 23 2 4" xfId="15065"/>
    <cellStyle name="Input 23 2 4 10" xfId="30976"/>
    <cellStyle name="Input 23 2 4 10 2" xfId="39730"/>
    <cellStyle name="Input 23 2 4 11" xfId="32864"/>
    <cellStyle name="Input 23 2 4 2" xfId="27126"/>
    <cellStyle name="Input 23 2 4 2 2" xfId="35886"/>
    <cellStyle name="Input 23 2 4 3" xfId="28214"/>
    <cellStyle name="Input 23 2 4 3 2" xfId="36973"/>
    <cellStyle name="Input 23 2 4 4" xfId="26246"/>
    <cellStyle name="Input 23 2 4 4 2" xfId="35012"/>
    <cellStyle name="Input 23 2 4 5" xfId="28258"/>
    <cellStyle name="Input 23 2 4 5 2" xfId="37017"/>
    <cellStyle name="Input 23 2 4 6" xfId="26365"/>
    <cellStyle name="Input 23 2 4 6 2" xfId="35131"/>
    <cellStyle name="Input 23 2 4 7" xfId="30035"/>
    <cellStyle name="Input 23 2 4 7 2" xfId="38789"/>
    <cellStyle name="Input 23 2 4 8" xfId="30174"/>
    <cellStyle name="Input 23 2 4 8 2" xfId="38928"/>
    <cellStyle name="Input 23 2 4 9" xfId="30580"/>
    <cellStyle name="Input 23 2 4 9 2" xfId="39334"/>
    <cellStyle name="Input 23 2 5" xfId="24354"/>
    <cellStyle name="Input 23 2 5 10" xfId="32138"/>
    <cellStyle name="Input 23 2 5 10 2" xfId="40892"/>
    <cellStyle name="Input 23 2 5 11" xfId="33213"/>
    <cellStyle name="Input 23 2 5 2" xfId="28989"/>
    <cellStyle name="Input 23 2 5 2 2" xfId="37743"/>
    <cellStyle name="Input 23 2 5 3" xfId="29402"/>
    <cellStyle name="Input 23 2 5 3 2" xfId="38156"/>
    <cellStyle name="Input 23 2 5 4" xfId="29826"/>
    <cellStyle name="Input 23 2 5 4 2" xfId="38580"/>
    <cellStyle name="Input 23 2 5 5" xfId="30241"/>
    <cellStyle name="Input 23 2 5 5 2" xfId="38995"/>
    <cellStyle name="Input 23 2 5 6" xfId="30642"/>
    <cellStyle name="Input 23 2 5 6 2" xfId="39396"/>
    <cellStyle name="Input 23 2 5 7" xfId="31029"/>
    <cellStyle name="Input 23 2 5 7 2" xfId="39783"/>
    <cellStyle name="Input 23 2 5 8" xfId="31408"/>
    <cellStyle name="Input 23 2 5 8 2" xfId="40162"/>
    <cellStyle name="Input 23 2 5 9" xfId="31776"/>
    <cellStyle name="Input 23 2 5 9 2" xfId="40530"/>
    <cellStyle name="Input 23 2 6" xfId="25574"/>
    <cellStyle name="Input 23 2 6 2" xfId="34341"/>
    <cellStyle name="Input 23 2 7" xfId="25432"/>
    <cellStyle name="Input 23 2 7 2" xfId="34201"/>
    <cellStyle name="Input 23 2 8" xfId="25459"/>
    <cellStyle name="Input 23 2 8 2" xfId="34228"/>
    <cellStyle name="Input 23 2 9" xfId="28390"/>
    <cellStyle name="Input 23 2 9 2" xfId="37147"/>
    <cellStyle name="Input 23 3" xfId="14022"/>
    <cellStyle name="Input 23 3 10" xfId="27280"/>
    <cellStyle name="Input 23 3 10 2" xfId="36040"/>
    <cellStyle name="Input 23 3 11" xfId="1685"/>
    <cellStyle name="Input 23 3 11 2" xfId="32498"/>
    <cellStyle name="Input 23 3 12" xfId="32838"/>
    <cellStyle name="Input 23 3 2" xfId="24306"/>
    <cellStyle name="Input 23 3 2 10" xfId="32110"/>
    <cellStyle name="Input 23 3 2 10 2" xfId="40864"/>
    <cellStyle name="Input 23 3 2 11" xfId="33185"/>
    <cellStyle name="Input 23 3 2 2" xfId="28958"/>
    <cellStyle name="Input 23 3 2 2 2" xfId="37712"/>
    <cellStyle name="Input 23 3 2 3" xfId="29371"/>
    <cellStyle name="Input 23 3 2 3 2" xfId="38125"/>
    <cellStyle name="Input 23 3 2 4" xfId="29796"/>
    <cellStyle name="Input 23 3 2 4 2" xfId="38550"/>
    <cellStyle name="Input 23 3 2 5" xfId="30211"/>
    <cellStyle name="Input 23 3 2 5 2" xfId="38965"/>
    <cellStyle name="Input 23 3 2 6" xfId="30612"/>
    <cellStyle name="Input 23 3 2 6 2" xfId="39366"/>
    <cellStyle name="Input 23 3 2 7" xfId="30999"/>
    <cellStyle name="Input 23 3 2 7 2" xfId="39753"/>
    <cellStyle name="Input 23 3 2 8" xfId="31379"/>
    <cellStyle name="Input 23 3 2 8 2" xfId="40133"/>
    <cellStyle name="Input 23 3 2 9" xfId="31747"/>
    <cellStyle name="Input 23 3 2 9 2" xfId="40501"/>
    <cellStyle name="Input 23 3 3" xfId="26915"/>
    <cellStyle name="Input 23 3 3 2" xfId="35675"/>
    <cellStyle name="Input 23 3 4" xfId="29202"/>
    <cellStyle name="Input 23 3 4 2" xfId="37956"/>
    <cellStyle name="Input 23 3 5" xfId="25558"/>
    <cellStyle name="Input 23 3 5 2" xfId="34325"/>
    <cellStyle name="Input 23 3 6" xfId="25353"/>
    <cellStyle name="Input 23 3 6 2" xfId="34122"/>
    <cellStyle name="Input 23 3 7" xfId="28648"/>
    <cellStyle name="Input 23 3 7 2" xfId="37404"/>
    <cellStyle name="Input 23 3 8" xfId="26057"/>
    <cellStyle name="Input 23 3 8 2" xfId="34823"/>
    <cellStyle name="Input 23 3 9" xfId="25214"/>
    <cellStyle name="Input 23 3 9 2" xfId="33985"/>
    <cellStyle name="Input 23 4" xfId="18154"/>
    <cellStyle name="Input 23 4 10" xfId="29753"/>
    <cellStyle name="Input 23 4 10 2" xfId="38507"/>
    <cellStyle name="Input 23 4 11" xfId="26001"/>
    <cellStyle name="Input 23 4 11 2" xfId="34767"/>
    <cellStyle name="Input 23 4 12" xfId="32898"/>
    <cellStyle name="Input 23 4 2" xfId="24424"/>
    <cellStyle name="Input 23 4 2 10" xfId="32177"/>
    <cellStyle name="Input 23 4 2 10 2" xfId="40931"/>
    <cellStyle name="Input 23 4 2 11" xfId="33252"/>
    <cellStyle name="Input 23 4 2 2" xfId="29032"/>
    <cellStyle name="Input 23 4 2 2 2" xfId="37786"/>
    <cellStyle name="Input 23 4 2 3" xfId="29445"/>
    <cellStyle name="Input 23 4 2 3 2" xfId="38199"/>
    <cellStyle name="Input 23 4 2 4" xfId="29865"/>
    <cellStyle name="Input 23 4 2 4 2" xfId="38619"/>
    <cellStyle name="Input 23 4 2 5" xfId="30284"/>
    <cellStyle name="Input 23 4 2 5 2" xfId="39038"/>
    <cellStyle name="Input 23 4 2 6" xfId="30685"/>
    <cellStyle name="Input 23 4 2 6 2" xfId="39439"/>
    <cellStyle name="Input 23 4 2 7" xfId="31071"/>
    <cellStyle name="Input 23 4 2 7 2" xfId="39825"/>
    <cellStyle name="Input 23 4 2 8" xfId="31449"/>
    <cellStyle name="Input 23 4 2 8 2" xfId="40203"/>
    <cellStyle name="Input 23 4 2 9" xfId="31815"/>
    <cellStyle name="Input 23 4 2 9 2" xfId="40569"/>
    <cellStyle name="Input 23 4 3" xfId="27644"/>
    <cellStyle name="Input 23 4 3 2" xfId="36404"/>
    <cellStyle name="Input 23 4 4" xfId="28498"/>
    <cellStyle name="Input 23 4 4 2" xfId="37254"/>
    <cellStyle name="Input 23 4 5" xfId="27364"/>
    <cellStyle name="Input 23 4 5 2" xfId="36124"/>
    <cellStyle name="Input 23 4 6" xfId="27281"/>
    <cellStyle name="Input 23 4 6 2" xfId="36041"/>
    <cellStyle name="Input 23 4 7" xfId="27552"/>
    <cellStyle name="Input 23 4 7 2" xfId="36312"/>
    <cellStyle name="Input 23 4 8" xfId="29751"/>
    <cellStyle name="Input 23 4 8 2" xfId="38505"/>
    <cellStyle name="Input 23 4 9" xfId="26975"/>
    <cellStyle name="Input 23 4 9 2" xfId="35735"/>
    <cellStyle name="Input 23 5" xfId="23596"/>
    <cellStyle name="Input 23 5 10" xfId="24861"/>
    <cellStyle name="Input 23 5 10 2" xfId="33635"/>
    <cellStyle name="Input 23 5 11" xfId="27468"/>
    <cellStyle name="Input 23 5 11 2" xfId="36228"/>
    <cellStyle name="Input 23 5 12" xfId="33066"/>
    <cellStyle name="Input 23 5 2" xfId="24651"/>
    <cellStyle name="Input 23 5 2 10" xfId="32352"/>
    <cellStyle name="Input 23 5 2 10 2" xfId="41106"/>
    <cellStyle name="Input 23 5 2 11" xfId="33427"/>
    <cellStyle name="Input 23 5 2 2" xfId="29216"/>
    <cellStyle name="Input 23 5 2 2 2" xfId="37970"/>
    <cellStyle name="Input 23 5 2 3" xfId="29626"/>
    <cellStyle name="Input 23 5 2 3 2" xfId="38380"/>
    <cellStyle name="Input 23 5 2 4" xfId="30046"/>
    <cellStyle name="Input 23 5 2 4 2" xfId="38800"/>
    <cellStyle name="Input 23 5 2 5" xfId="30462"/>
    <cellStyle name="Input 23 5 2 5 2" xfId="39216"/>
    <cellStyle name="Input 23 5 2 6" xfId="30863"/>
    <cellStyle name="Input 23 5 2 6 2" xfId="39617"/>
    <cellStyle name="Input 23 5 2 7" xfId="31249"/>
    <cellStyle name="Input 23 5 2 7 2" xfId="40003"/>
    <cellStyle name="Input 23 5 2 8" xfId="31625"/>
    <cellStyle name="Input 23 5 2 8 2" xfId="40379"/>
    <cellStyle name="Input 23 5 2 9" xfId="31991"/>
    <cellStyle name="Input 23 5 2 9 2" xfId="40745"/>
    <cellStyle name="Input 23 5 3" xfId="28712"/>
    <cellStyle name="Input 23 5 3 2" xfId="37468"/>
    <cellStyle name="Input 23 5 4" xfId="1683"/>
    <cellStyle name="Input 23 5 4 2" xfId="32496"/>
    <cellStyle name="Input 23 5 5" xfId="24821"/>
    <cellStyle name="Input 23 5 5 2" xfId="33596"/>
    <cellStyle name="Input 23 5 6" xfId="25527"/>
    <cellStyle name="Input 23 5 6 2" xfId="34295"/>
    <cellStyle name="Input 23 5 7" xfId="28927"/>
    <cellStyle name="Input 23 5 7 2" xfId="37682"/>
    <cellStyle name="Input 23 5 8" xfId="26543"/>
    <cellStyle name="Input 23 5 8 2" xfId="35308"/>
    <cellStyle name="Input 23 5 9" xfId="27055"/>
    <cellStyle name="Input 23 5 9 2" xfId="35815"/>
    <cellStyle name="Input 23 6" xfId="28457"/>
    <cellStyle name="Input 23 6 2" xfId="37214"/>
    <cellStyle name="Input 23 7" xfId="26091"/>
    <cellStyle name="Input 23 7 2" xfId="34857"/>
    <cellStyle name="Input 23 8" xfId="26201"/>
    <cellStyle name="Input 23 8 2" xfId="34967"/>
    <cellStyle name="Input 23 9" xfId="27829"/>
    <cellStyle name="Input 23 9 2" xfId="36589"/>
    <cellStyle name="Input 24" xfId="4488"/>
    <cellStyle name="Input 24 10" xfId="27568"/>
    <cellStyle name="Input 24 10 2" xfId="36328"/>
    <cellStyle name="Input 24 11" xfId="26631"/>
    <cellStyle name="Input 24 11 2" xfId="35396"/>
    <cellStyle name="Input 24 12" xfId="26799"/>
    <cellStyle name="Input 24 12 2" xfId="35561"/>
    <cellStyle name="Input 24 13" xfId="27598"/>
    <cellStyle name="Input 24 13 2" xfId="36358"/>
    <cellStyle name="Input 24 14" xfId="32695"/>
    <cellStyle name="Input 24 15" xfId="41748"/>
    <cellStyle name="Input 24 2" xfId="6124"/>
    <cellStyle name="Input 24 2 10" xfId="26058"/>
    <cellStyle name="Input 24 2 10 2" xfId="34824"/>
    <cellStyle name="Input 24 2 11" xfId="28603"/>
    <cellStyle name="Input 24 2 11 2" xfId="37359"/>
    <cellStyle name="Input 24 2 12" xfId="28625"/>
    <cellStyle name="Input 24 2 12 2" xfId="37381"/>
    <cellStyle name="Input 24 2 13" xfId="27299"/>
    <cellStyle name="Input 24 2 13 2" xfId="36059"/>
    <cellStyle name="Input 24 2 14" xfId="27048"/>
    <cellStyle name="Input 24 2 14 2" xfId="35808"/>
    <cellStyle name="Input 24 2 15" xfId="41749"/>
    <cellStyle name="Input 24 2 16" xfId="43349"/>
    <cellStyle name="Input 24 2 17" xfId="43864"/>
    <cellStyle name="Input 24 2 2" xfId="18226"/>
    <cellStyle name="Input 24 2 2 10" xfId="25003"/>
    <cellStyle name="Input 24 2 2 10 2" xfId="33777"/>
    <cellStyle name="Input 24 2 2 11" xfId="27472"/>
    <cellStyle name="Input 24 2 2 11 2" xfId="36232"/>
    <cellStyle name="Input 24 2 2 12" xfId="32970"/>
    <cellStyle name="Input 24 2 2 2" xfId="24496"/>
    <cellStyle name="Input 24 2 2 2 10" xfId="32249"/>
    <cellStyle name="Input 24 2 2 2 10 2" xfId="41003"/>
    <cellStyle name="Input 24 2 2 2 11" xfId="33324"/>
    <cellStyle name="Input 24 2 2 2 2" xfId="29104"/>
    <cellStyle name="Input 24 2 2 2 2 2" xfId="37858"/>
    <cellStyle name="Input 24 2 2 2 3" xfId="29517"/>
    <cellStyle name="Input 24 2 2 2 3 2" xfId="38271"/>
    <cellStyle name="Input 24 2 2 2 4" xfId="29937"/>
    <cellStyle name="Input 24 2 2 2 4 2" xfId="38691"/>
    <cellStyle name="Input 24 2 2 2 5" xfId="30356"/>
    <cellStyle name="Input 24 2 2 2 5 2" xfId="39110"/>
    <cellStyle name="Input 24 2 2 2 6" xfId="30757"/>
    <cellStyle name="Input 24 2 2 2 6 2" xfId="39511"/>
    <cellStyle name="Input 24 2 2 2 7" xfId="31143"/>
    <cellStyle name="Input 24 2 2 2 7 2" xfId="39897"/>
    <cellStyle name="Input 24 2 2 2 8" xfId="31521"/>
    <cellStyle name="Input 24 2 2 2 8 2" xfId="40275"/>
    <cellStyle name="Input 24 2 2 2 9" xfId="31887"/>
    <cellStyle name="Input 24 2 2 2 9 2" xfId="40641"/>
    <cellStyle name="Input 24 2 2 3" xfId="27716"/>
    <cellStyle name="Input 24 2 2 3 2" xfId="36476"/>
    <cellStyle name="Input 24 2 2 4" xfId="28455"/>
    <cellStyle name="Input 24 2 2 4 2" xfId="37212"/>
    <cellStyle name="Input 24 2 2 5" xfId="26567"/>
    <cellStyle name="Input 24 2 2 5 2" xfId="35332"/>
    <cellStyle name="Input 24 2 2 6" xfId="28235"/>
    <cellStyle name="Input 24 2 2 6 2" xfId="36994"/>
    <cellStyle name="Input 24 2 2 7" xfId="25612"/>
    <cellStyle name="Input 24 2 2 7 2" xfId="34379"/>
    <cellStyle name="Input 24 2 2 8" xfId="27335"/>
    <cellStyle name="Input 24 2 2 8 2" xfId="36095"/>
    <cellStyle name="Input 24 2 2 9" xfId="25245"/>
    <cellStyle name="Input 24 2 2 9 2" xfId="34015"/>
    <cellStyle name="Input 24 2 3" xfId="20571"/>
    <cellStyle name="Input 24 2 3 10" xfId="26447"/>
    <cellStyle name="Input 24 2 3 10 2" xfId="35212"/>
    <cellStyle name="Input 24 2 3 11" xfId="28506"/>
    <cellStyle name="Input 24 2 3 11 2" xfId="37262"/>
    <cellStyle name="Input 24 2 3 12" xfId="33053"/>
    <cellStyle name="Input 24 2 3 2" xfId="24600"/>
    <cellStyle name="Input 24 2 3 2 10" xfId="32334"/>
    <cellStyle name="Input 24 2 3 2 10 2" xfId="41088"/>
    <cellStyle name="Input 24 2 3 2 11" xfId="33409"/>
    <cellStyle name="Input 24 2 3 2 2" xfId="29193"/>
    <cellStyle name="Input 24 2 3 2 2 2" xfId="37947"/>
    <cellStyle name="Input 24 2 3 2 3" xfId="29603"/>
    <cellStyle name="Input 24 2 3 2 3 2" xfId="38357"/>
    <cellStyle name="Input 24 2 3 2 4" xfId="30025"/>
    <cellStyle name="Input 24 2 3 2 4 2" xfId="38779"/>
    <cellStyle name="Input 24 2 3 2 5" xfId="30442"/>
    <cellStyle name="Input 24 2 3 2 5 2" xfId="39196"/>
    <cellStyle name="Input 24 2 3 2 6" xfId="30843"/>
    <cellStyle name="Input 24 2 3 2 6 2" xfId="39597"/>
    <cellStyle name="Input 24 2 3 2 7" xfId="31229"/>
    <cellStyle name="Input 24 2 3 2 7 2" xfId="39983"/>
    <cellStyle name="Input 24 2 3 2 8" xfId="31606"/>
    <cellStyle name="Input 24 2 3 2 8 2" xfId="40360"/>
    <cellStyle name="Input 24 2 3 2 9" xfId="31972"/>
    <cellStyle name="Input 24 2 3 2 9 2" xfId="40726"/>
    <cellStyle name="Input 24 2 3 3" xfId="28198"/>
    <cellStyle name="Input 24 2 3 3 2" xfId="36957"/>
    <cellStyle name="Input 24 2 3 4" xfId="25839"/>
    <cellStyle name="Input 24 2 3 4 2" xfId="34605"/>
    <cellStyle name="Input 24 2 3 5" xfId="28583"/>
    <cellStyle name="Input 24 2 3 5 2" xfId="37339"/>
    <cellStyle name="Input 24 2 3 6" xfId="26772"/>
    <cellStyle name="Input 24 2 3 6 2" xfId="35534"/>
    <cellStyle name="Input 24 2 3 7" xfId="28642"/>
    <cellStyle name="Input 24 2 3 7 2" xfId="37398"/>
    <cellStyle name="Input 24 2 3 8" xfId="28431"/>
    <cellStyle name="Input 24 2 3 8 2" xfId="37188"/>
    <cellStyle name="Input 24 2 3 9" xfId="27888"/>
    <cellStyle name="Input 24 2 3 9 2" xfId="36648"/>
    <cellStyle name="Input 24 2 4" xfId="15072"/>
    <cellStyle name="Input 24 2 4 10" xfId="1933"/>
    <cellStyle name="Input 24 2 4 10 2" xfId="32619"/>
    <cellStyle name="Input 24 2 4 11" xfId="32871"/>
    <cellStyle name="Input 24 2 4 2" xfId="27133"/>
    <cellStyle name="Input 24 2 4 2 2" xfId="35893"/>
    <cellStyle name="Input 24 2 4 3" xfId="25254"/>
    <cellStyle name="Input 24 2 4 3 2" xfId="34024"/>
    <cellStyle name="Input 24 2 4 4" xfId="26527"/>
    <cellStyle name="Input 24 2 4 4 2" xfId="35292"/>
    <cellStyle name="Input 24 2 4 5" xfId="26728"/>
    <cellStyle name="Input 24 2 4 5 2" xfId="35491"/>
    <cellStyle name="Input 24 2 4 6" xfId="25860"/>
    <cellStyle name="Input 24 2 4 6 2" xfId="34626"/>
    <cellStyle name="Input 24 2 4 7" xfId="1720"/>
    <cellStyle name="Input 24 2 4 7 2" xfId="32531"/>
    <cellStyle name="Input 24 2 4 8" xfId="27530"/>
    <cellStyle name="Input 24 2 4 8 2" xfId="36290"/>
    <cellStyle name="Input 24 2 4 9" xfId="26501"/>
    <cellStyle name="Input 24 2 4 9 2" xfId="35266"/>
    <cellStyle name="Input 24 2 5" xfId="24361"/>
    <cellStyle name="Input 24 2 5 10" xfId="32145"/>
    <cellStyle name="Input 24 2 5 10 2" xfId="40899"/>
    <cellStyle name="Input 24 2 5 11" xfId="33220"/>
    <cellStyle name="Input 24 2 5 2" xfId="28996"/>
    <cellStyle name="Input 24 2 5 2 2" xfId="37750"/>
    <cellStyle name="Input 24 2 5 3" xfId="29409"/>
    <cellStyle name="Input 24 2 5 3 2" xfId="38163"/>
    <cellStyle name="Input 24 2 5 4" xfId="29833"/>
    <cellStyle name="Input 24 2 5 4 2" xfId="38587"/>
    <cellStyle name="Input 24 2 5 5" xfId="30248"/>
    <cellStyle name="Input 24 2 5 5 2" xfId="39002"/>
    <cellStyle name="Input 24 2 5 6" xfId="30649"/>
    <cellStyle name="Input 24 2 5 6 2" xfId="39403"/>
    <cellStyle name="Input 24 2 5 7" xfId="31036"/>
    <cellStyle name="Input 24 2 5 7 2" xfId="39790"/>
    <cellStyle name="Input 24 2 5 8" xfId="31415"/>
    <cellStyle name="Input 24 2 5 8 2" xfId="40169"/>
    <cellStyle name="Input 24 2 5 9" xfId="31783"/>
    <cellStyle name="Input 24 2 5 9 2" xfId="40537"/>
    <cellStyle name="Input 24 2 6" xfId="25581"/>
    <cellStyle name="Input 24 2 6 2" xfId="34348"/>
    <cellStyle name="Input 24 2 7" xfId="27459"/>
    <cellStyle name="Input 24 2 7 2" xfId="36219"/>
    <cellStyle name="Input 24 2 8" xfId="25145"/>
    <cellStyle name="Input 24 2 8 2" xfId="33916"/>
    <cellStyle name="Input 24 2 9" xfId="28089"/>
    <cellStyle name="Input 24 2 9 2" xfId="36848"/>
    <cellStyle name="Input 24 3" xfId="14023"/>
    <cellStyle name="Input 24 3 10" xfId="30167"/>
    <cellStyle name="Input 24 3 10 2" xfId="38921"/>
    <cellStyle name="Input 24 3 11" xfId="30578"/>
    <cellStyle name="Input 24 3 11 2" xfId="39332"/>
    <cellStyle name="Input 24 3 12" xfId="32839"/>
    <cellStyle name="Input 24 3 2" xfId="24307"/>
    <cellStyle name="Input 24 3 2 10" xfId="32111"/>
    <cellStyle name="Input 24 3 2 10 2" xfId="40865"/>
    <cellStyle name="Input 24 3 2 11" xfId="33186"/>
    <cellStyle name="Input 24 3 2 2" xfId="28959"/>
    <cellStyle name="Input 24 3 2 2 2" xfId="37713"/>
    <cellStyle name="Input 24 3 2 3" xfId="29372"/>
    <cellStyle name="Input 24 3 2 3 2" xfId="38126"/>
    <cellStyle name="Input 24 3 2 4" xfId="29797"/>
    <cellStyle name="Input 24 3 2 4 2" xfId="38551"/>
    <cellStyle name="Input 24 3 2 5" xfId="30212"/>
    <cellStyle name="Input 24 3 2 5 2" xfId="38966"/>
    <cellStyle name="Input 24 3 2 6" xfId="30613"/>
    <cellStyle name="Input 24 3 2 6 2" xfId="39367"/>
    <cellStyle name="Input 24 3 2 7" xfId="31000"/>
    <cellStyle name="Input 24 3 2 7 2" xfId="39754"/>
    <cellStyle name="Input 24 3 2 8" xfId="31380"/>
    <cellStyle name="Input 24 3 2 8 2" xfId="40134"/>
    <cellStyle name="Input 24 3 2 9" xfId="31748"/>
    <cellStyle name="Input 24 3 2 9 2" xfId="40502"/>
    <cellStyle name="Input 24 3 3" xfId="26916"/>
    <cellStyle name="Input 24 3 3 2" xfId="35676"/>
    <cellStyle name="Input 24 3 4" xfId="28833"/>
    <cellStyle name="Input 24 3 4 2" xfId="37589"/>
    <cellStyle name="Input 24 3 5" xfId="24891"/>
    <cellStyle name="Input 24 3 5 2" xfId="33665"/>
    <cellStyle name="Input 24 3 6" xfId="1662"/>
    <cellStyle name="Input 24 3 6 2" xfId="32476"/>
    <cellStyle name="Input 24 3 7" xfId="28417"/>
    <cellStyle name="Input 24 3 7 2" xfId="37174"/>
    <cellStyle name="Input 24 3 8" xfId="2897"/>
    <cellStyle name="Input 24 3 8 2" xfId="32680"/>
    <cellStyle name="Input 24 3 9" xfId="25782"/>
    <cellStyle name="Input 24 3 9 2" xfId="34549"/>
    <cellStyle name="Input 24 4" xfId="18155"/>
    <cellStyle name="Input 24 4 10" xfId="26415"/>
    <cellStyle name="Input 24 4 10 2" xfId="35180"/>
    <cellStyle name="Input 24 4 11" xfId="25673"/>
    <cellStyle name="Input 24 4 11 2" xfId="34440"/>
    <cellStyle name="Input 24 4 12" xfId="32899"/>
    <cellStyle name="Input 24 4 2" xfId="24425"/>
    <cellStyle name="Input 24 4 2 10" xfId="32178"/>
    <cellStyle name="Input 24 4 2 10 2" xfId="40932"/>
    <cellStyle name="Input 24 4 2 11" xfId="33253"/>
    <cellStyle name="Input 24 4 2 2" xfId="29033"/>
    <cellStyle name="Input 24 4 2 2 2" xfId="37787"/>
    <cellStyle name="Input 24 4 2 3" xfId="29446"/>
    <cellStyle name="Input 24 4 2 3 2" xfId="38200"/>
    <cellStyle name="Input 24 4 2 4" xfId="29866"/>
    <cellStyle name="Input 24 4 2 4 2" xfId="38620"/>
    <cellStyle name="Input 24 4 2 5" xfId="30285"/>
    <cellStyle name="Input 24 4 2 5 2" xfId="39039"/>
    <cellStyle name="Input 24 4 2 6" xfId="30686"/>
    <cellStyle name="Input 24 4 2 6 2" xfId="39440"/>
    <cellStyle name="Input 24 4 2 7" xfId="31072"/>
    <cellStyle name="Input 24 4 2 7 2" xfId="39826"/>
    <cellStyle name="Input 24 4 2 8" xfId="31450"/>
    <cellStyle name="Input 24 4 2 8 2" xfId="40204"/>
    <cellStyle name="Input 24 4 2 9" xfId="31816"/>
    <cellStyle name="Input 24 4 2 9 2" xfId="40570"/>
    <cellStyle name="Input 24 4 3" xfId="27645"/>
    <cellStyle name="Input 24 4 3 2" xfId="36405"/>
    <cellStyle name="Input 24 4 4" xfId="25932"/>
    <cellStyle name="Input 24 4 4 2" xfId="34698"/>
    <cellStyle name="Input 24 4 5" xfId="26352"/>
    <cellStyle name="Input 24 4 5 2" xfId="35118"/>
    <cellStyle name="Input 24 4 6" xfId="28234"/>
    <cellStyle name="Input 24 4 6 2" xfId="36993"/>
    <cellStyle name="Input 24 4 7" xfId="28292"/>
    <cellStyle name="Input 24 4 7 2" xfId="37051"/>
    <cellStyle name="Input 24 4 8" xfId="25968"/>
    <cellStyle name="Input 24 4 8 2" xfId="34734"/>
    <cellStyle name="Input 24 4 9" xfId="26098"/>
    <cellStyle name="Input 24 4 9 2" xfId="34864"/>
    <cellStyle name="Input 24 5" xfId="23597"/>
    <cellStyle name="Input 24 5 10" xfId="25119"/>
    <cellStyle name="Input 24 5 10 2" xfId="33891"/>
    <cellStyle name="Input 24 5 11" xfId="26607"/>
    <cellStyle name="Input 24 5 11 2" xfId="35372"/>
    <cellStyle name="Input 24 5 12" xfId="33067"/>
    <cellStyle name="Input 24 5 2" xfId="24652"/>
    <cellStyle name="Input 24 5 2 10" xfId="32353"/>
    <cellStyle name="Input 24 5 2 10 2" xfId="41107"/>
    <cellStyle name="Input 24 5 2 11" xfId="33428"/>
    <cellStyle name="Input 24 5 2 2" xfId="29217"/>
    <cellStyle name="Input 24 5 2 2 2" xfId="37971"/>
    <cellStyle name="Input 24 5 2 3" xfId="29627"/>
    <cellStyle name="Input 24 5 2 3 2" xfId="38381"/>
    <cellStyle name="Input 24 5 2 4" xfId="30047"/>
    <cellStyle name="Input 24 5 2 4 2" xfId="38801"/>
    <cellStyle name="Input 24 5 2 5" xfId="30463"/>
    <cellStyle name="Input 24 5 2 5 2" xfId="39217"/>
    <cellStyle name="Input 24 5 2 6" xfId="30864"/>
    <cellStyle name="Input 24 5 2 6 2" xfId="39618"/>
    <cellStyle name="Input 24 5 2 7" xfId="31250"/>
    <cellStyle name="Input 24 5 2 7 2" xfId="40004"/>
    <cellStyle name="Input 24 5 2 8" xfId="31626"/>
    <cellStyle name="Input 24 5 2 8 2" xfId="40380"/>
    <cellStyle name="Input 24 5 2 9" xfId="31992"/>
    <cellStyle name="Input 24 5 2 9 2" xfId="40746"/>
    <cellStyle name="Input 24 5 3" xfId="28713"/>
    <cellStyle name="Input 24 5 3 2" xfId="37469"/>
    <cellStyle name="Input 24 5 4" xfId="24902"/>
    <cellStyle name="Input 24 5 4 2" xfId="33676"/>
    <cellStyle name="Input 24 5 5" xfId="24823"/>
    <cellStyle name="Input 24 5 5 2" xfId="33598"/>
    <cellStyle name="Input 24 5 6" xfId="25526"/>
    <cellStyle name="Input 24 5 6 2" xfId="34294"/>
    <cellStyle name="Input 24 5 7" xfId="28282"/>
    <cellStyle name="Input 24 5 7 2" xfId="37041"/>
    <cellStyle name="Input 24 5 8" xfId="26657"/>
    <cellStyle name="Input 24 5 8 2" xfId="35422"/>
    <cellStyle name="Input 24 5 9" xfId="26752"/>
    <cellStyle name="Input 24 5 9 2" xfId="35514"/>
    <cellStyle name="Input 24 6" xfId="25879"/>
    <cellStyle name="Input 24 6 2" xfId="34645"/>
    <cellStyle name="Input 24 7" xfId="28894"/>
    <cellStyle name="Input 24 7 2" xfId="37650"/>
    <cellStyle name="Input 24 8" xfId="26284"/>
    <cellStyle name="Input 24 8 2" xfId="35050"/>
    <cellStyle name="Input 24 9" xfId="1801"/>
    <cellStyle name="Input 24 9 2" xfId="32609"/>
    <cellStyle name="Input 25" xfId="4489"/>
    <cellStyle name="Input 25 10" xfId="24965"/>
    <cellStyle name="Input 25 10 2" xfId="33739"/>
    <cellStyle name="Input 25 11" xfId="26040"/>
    <cellStyle name="Input 25 11 2" xfId="34806"/>
    <cellStyle name="Input 25 12" xfId="26254"/>
    <cellStyle name="Input 25 12 2" xfId="35020"/>
    <cellStyle name="Input 25 13" xfId="26508"/>
    <cellStyle name="Input 25 13 2" xfId="35273"/>
    <cellStyle name="Input 25 14" xfId="32696"/>
    <cellStyle name="Input 25 15" xfId="41750"/>
    <cellStyle name="Input 25 2" xfId="6114"/>
    <cellStyle name="Input 25 2 10" xfId="26993"/>
    <cellStyle name="Input 25 2 10 2" xfId="35753"/>
    <cellStyle name="Input 25 2 11" xfId="24906"/>
    <cellStyle name="Input 25 2 11 2" xfId="33680"/>
    <cellStyle name="Input 25 2 12" xfId="25730"/>
    <cellStyle name="Input 25 2 12 2" xfId="34497"/>
    <cellStyle name="Input 25 2 13" xfId="28398"/>
    <cellStyle name="Input 25 2 13 2" xfId="37155"/>
    <cellStyle name="Input 25 2 14" xfId="27279"/>
    <cellStyle name="Input 25 2 14 2" xfId="36039"/>
    <cellStyle name="Input 25 2 15" xfId="41751"/>
    <cellStyle name="Input 25 2 16" xfId="43348"/>
    <cellStyle name="Input 25 2 17" xfId="43865"/>
    <cellStyle name="Input 25 2 2" xfId="18218"/>
    <cellStyle name="Input 25 2 2 10" xfId="25670"/>
    <cellStyle name="Input 25 2 2 10 2" xfId="34437"/>
    <cellStyle name="Input 25 2 2 11" xfId="26318"/>
    <cellStyle name="Input 25 2 2 11 2" xfId="35084"/>
    <cellStyle name="Input 25 2 2 12" xfId="32962"/>
    <cellStyle name="Input 25 2 2 2" xfId="24488"/>
    <cellStyle name="Input 25 2 2 2 10" xfId="32241"/>
    <cellStyle name="Input 25 2 2 2 10 2" xfId="40995"/>
    <cellStyle name="Input 25 2 2 2 11" xfId="33316"/>
    <cellStyle name="Input 25 2 2 2 2" xfId="29096"/>
    <cellStyle name="Input 25 2 2 2 2 2" xfId="37850"/>
    <cellStyle name="Input 25 2 2 2 3" xfId="29509"/>
    <cellStyle name="Input 25 2 2 2 3 2" xfId="38263"/>
    <cellStyle name="Input 25 2 2 2 4" xfId="29929"/>
    <cellStyle name="Input 25 2 2 2 4 2" xfId="38683"/>
    <cellStyle name="Input 25 2 2 2 5" xfId="30348"/>
    <cellStyle name="Input 25 2 2 2 5 2" xfId="39102"/>
    <cellStyle name="Input 25 2 2 2 6" xfId="30749"/>
    <cellStyle name="Input 25 2 2 2 6 2" xfId="39503"/>
    <cellStyle name="Input 25 2 2 2 7" xfId="31135"/>
    <cellStyle name="Input 25 2 2 2 7 2" xfId="39889"/>
    <cellStyle name="Input 25 2 2 2 8" xfId="31513"/>
    <cellStyle name="Input 25 2 2 2 8 2" xfId="40267"/>
    <cellStyle name="Input 25 2 2 2 9" xfId="31879"/>
    <cellStyle name="Input 25 2 2 2 9 2" xfId="40633"/>
    <cellStyle name="Input 25 2 2 3" xfId="27708"/>
    <cellStyle name="Input 25 2 2 3 2" xfId="36468"/>
    <cellStyle name="Input 25 2 2 4" xfId="27211"/>
    <cellStyle name="Input 25 2 2 4 2" xfId="35971"/>
    <cellStyle name="Input 25 2 2 5" xfId="27810"/>
    <cellStyle name="Input 25 2 2 5 2" xfId="36570"/>
    <cellStyle name="Input 25 2 2 6" xfId="24937"/>
    <cellStyle name="Input 25 2 2 6 2" xfId="33711"/>
    <cellStyle name="Input 25 2 2 7" xfId="28453"/>
    <cellStyle name="Input 25 2 2 7 2" xfId="37210"/>
    <cellStyle name="Input 25 2 2 8" xfId="28321"/>
    <cellStyle name="Input 25 2 2 8 2" xfId="37080"/>
    <cellStyle name="Input 25 2 2 9" xfId="27515"/>
    <cellStyle name="Input 25 2 2 9 2" xfId="36275"/>
    <cellStyle name="Input 25 2 3" xfId="20563"/>
    <cellStyle name="Input 25 2 3 10" xfId="26090"/>
    <cellStyle name="Input 25 2 3 10 2" xfId="34856"/>
    <cellStyle name="Input 25 2 3 11" xfId="1702"/>
    <cellStyle name="Input 25 2 3 11 2" xfId="32514"/>
    <cellStyle name="Input 25 2 3 12" xfId="33045"/>
    <cellStyle name="Input 25 2 3 2" xfId="24592"/>
    <cellStyle name="Input 25 2 3 2 10" xfId="32326"/>
    <cellStyle name="Input 25 2 3 2 10 2" xfId="41080"/>
    <cellStyle name="Input 25 2 3 2 11" xfId="33401"/>
    <cellStyle name="Input 25 2 3 2 2" xfId="29185"/>
    <cellStyle name="Input 25 2 3 2 2 2" xfId="37939"/>
    <cellStyle name="Input 25 2 3 2 3" xfId="29595"/>
    <cellStyle name="Input 25 2 3 2 3 2" xfId="38349"/>
    <cellStyle name="Input 25 2 3 2 4" xfId="30017"/>
    <cellStyle name="Input 25 2 3 2 4 2" xfId="38771"/>
    <cellStyle name="Input 25 2 3 2 5" xfId="30434"/>
    <cellStyle name="Input 25 2 3 2 5 2" xfId="39188"/>
    <cellStyle name="Input 25 2 3 2 6" xfId="30835"/>
    <cellStyle name="Input 25 2 3 2 6 2" xfId="39589"/>
    <cellStyle name="Input 25 2 3 2 7" xfId="31221"/>
    <cellStyle name="Input 25 2 3 2 7 2" xfId="39975"/>
    <cellStyle name="Input 25 2 3 2 8" xfId="31598"/>
    <cellStyle name="Input 25 2 3 2 8 2" xfId="40352"/>
    <cellStyle name="Input 25 2 3 2 9" xfId="31964"/>
    <cellStyle name="Input 25 2 3 2 9 2" xfId="40718"/>
    <cellStyle name="Input 25 2 3 3" xfId="28190"/>
    <cellStyle name="Input 25 2 3 3 2" xfId="36949"/>
    <cellStyle name="Input 25 2 3 4" xfId="26015"/>
    <cellStyle name="Input 25 2 3 4 2" xfId="34781"/>
    <cellStyle name="Input 25 2 3 5" xfId="25613"/>
    <cellStyle name="Input 25 2 3 5 2" xfId="34380"/>
    <cellStyle name="Input 25 2 3 6" xfId="25014"/>
    <cellStyle name="Input 25 2 3 6 2" xfId="33788"/>
    <cellStyle name="Input 25 2 3 7" xfId="26897"/>
    <cellStyle name="Input 25 2 3 7 2" xfId="35657"/>
    <cellStyle name="Input 25 2 3 8" xfId="28621"/>
    <cellStyle name="Input 25 2 3 8 2" xfId="37377"/>
    <cellStyle name="Input 25 2 3 9" xfId="25429"/>
    <cellStyle name="Input 25 2 3 9 2" xfId="34198"/>
    <cellStyle name="Input 25 2 4" xfId="15064"/>
    <cellStyle name="Input 25 2 4 10" xfId="27059"/>
    <cellStyle name="Input 25 2 4 10 2" xfId="35819"/>
    <cellStyle name="Input 25 2 4 11" xfId="32863"/>
    <cellStyle name="Input 25 2 4 2" xfId="27125"/>
    <cellStyle name="Input 25 2 4 2 2" xfId="35885"/>
    <cellStyle name="Input 25 2 4 3" xfId="26569"/>
    <cellStyle name="Input 25 2 4 3 2" xfId="35334"/>
    <cellStyle name="Input 25 2 4 4" xfId="28422"/>
    <cellStyle name="Input 25 2 4 4 2" xfId="37179"/>
    <cellStyle name="Input 25 2 4 5" xfId="28931"/>
    <cellStyle name="Input 25 2 4 5 2" xfId="37686"/>
    <cellStyle name="Input 25 2 4 6" xfId="26276"/>
    <cellStyle name="Input 25 2 4 6 2" xfId="35042"/>
    <cellStyle name="Input 25 2 4 7" xfId="27958"/>
    <cellStyle name="Input 25 2 4 7 2" xfId="36718"/>
    <cellStyle name="Input 25 2 4 8" xfId="25268"/>
    <cellStyle name="Input 25 2 4 8 2" xfId="34038"/>
    <cellStyle name="Input 25 2 4 9" xfId="27267"/>
    <cellStyle name="Input 25 2 4 9 2" xfId="36027"/>
    <cellStyle name="Input 25 2 5" xfId="24353"/>
    <cellStyle name="Input 25 2 5 10" xfId="32137"/>
    <cellStyle name="Input 25 2 5 10 2" xfId="40891"/>
    <cellStyle name="Input 25 2 5 11" xfId="33212"/>
    <cellStyle name="Input 25 2 5 2" xfId="28988"/>
    <cellStyle name="Input 25 2 5 2 2" xfId="37742"/>
    <cellStyle name="Input 25 2 5 3" xfId="29401"/>
    <cellStyle name="Input 25 2 5 3 2" xfId="38155"/>
    <cellStyle name="Input 25 2 5 4" xfId="29825"/>
    <cellStyle name="Input 25 2 5 4 2" xfId="38579"/>
    <cellStyle name="Input 25 2 5 5" xfId="30240"/>
    <cellStyle name="Input 25 2 5 5 2" xfId="38994"/>
    <cellStyle name="Input 25 2 5 6" xfId="30641"/>
    <cellStyle name="Input 25 2 5 6 2" xfId="39395"/>
    <cellStyle name="Input 25 2 5 7" xfId="31028"/>
    <cellStyle name="Input 25 2 5 7 2" xfId="39782"/>
    <cellStyle name="Input 25 2 5 8" xfId="31407"/>
    <cellStyle name="Input 25 2 5 8 2" xfId="40161"/>
    <cellStyle name="Input 25 2 5 9" xfId="31775"/>
    <cellStyle name="Input 25 2 5 9 2" xfId="40529"/>
    <cellStyle name="Input 25 2 6" xfId="25573"/>
    <cellStyle name="Input 25 2 6 2" xfId="34340"/>
    <cellStyle name="Input 25 2 7" xfId="25433"/>
    <cellStyle name="Input 25 2 7 2" xfId="34202"/>
    <cellStyle name="Input 25 2 8" xfId="26472"/>
    <cellStyle name="Input 25 2 8 2" xfId="35237"/>
    <cellStyle name="Input 25 2 9" xfId="28538"/>
    <cellStyle name="Input 25 2 9 2" xfId="37294"/>
    <cellStyle name="Input 25 3" xfId="14024"/>
    <cellStyle name="Input 25 3 10" xfId="25070"/>
    <cellStyle name="Input 25 3 10 2" xfId="33844"/>
    <cellStyle name="Input 25 3 11" xfId="25818"/>
    <cellStyle name="Input 25 3 11 2" xfId="34584"/>
    <cellStyle name="Input 25 3 12" xfId="32840"/>
    <cellStyle name="Input 25 3 2" xfId="24308"/>
    <cellStyle name="Input 25 3 2 10" xfId="32112"/>
    <cellStyle name="Input 25 3 2 10 2" xfId="40866"/>
    <cellStyle name="Input 25 3 2 11" xfId="33187"/>
    <cellStyle name="Input 25 3 2 2" xfId="28960"/>
    <cellStyle name="Input 25 3 2 2 2" xfId="37714"/>
    <cellStyle name="Input 25 3 2 3" xfId="29373"/>
    <cellStyle name="Input 25 3 2 3 2" xfId="38127"/>
    <cellStyle name="Input 25 3 2 4" xfId="29798"/>
    <cellStyle name="Input 25 3 2 4 2" xfId="38552"/>
    <cellStyle name="Input 25 3 2 5" xfId="30213"/>
    <cellStyle name="Input 25 3 2 5 2" xfId="38967"/>
    <cellStyle name="Input 25 3 2 6" xfId="30614"/>
    <cellStyle name="Input 25 3 2 6 2" xfId="39368"/>
    <cellStyle name="Input 25 3 2 7" xfId="31001"/>
    <cellStyle name="Input 25 3 2 7 2" xfId="39755"/>
    <cellStyle name="Input 25 3 2 8" xfId="31381"/>
    <cellStyle name="Input 25 3 2 8 2" xfId="40135"/>
    <cellStyle name="Input 25 3 2 9" xfId="31749"/>
    <cellStyle name="Input 25 3 2 9 2" xfId="40503"/>
    <cellStyle name="Input 25 3 3" xfId="26917"/>
    <cellStyle name="Input 25 3 3 2" xfId="35677"/>
    <cellStyle name="Input 25 3 4" xfId="26675"/>
    <cellStyle name="Input 25 3 4 2" xfId="35439"/>
    <cellStyle name="Input 25 3 5" xfId="25853"/>
    <cellStyle name="Input 25 3 5 2" xfId="34619"/>
    <cellStyle name="Input 25 3 6" xfId="25453"/>
    <cellStyle name="Input 25 3 6 2" xfId="34222"/>
    <cellStyle name="Input 25 3 7" xfId="26051"/>
    <cellStyle name="Input 25 3 7 2" xfId="34817"/>
    <cellStyle name="Input 25 3 8" xfId="28556"/>
    <cellStyle name="Input 25 3 8 2" xfId="37312"/>
    <cellStyle name="Input 25 3 9" xfId="28260"/>
    <cellStyle name="Input 25 3 9 2" xfId="37019"/>
    <cellStyle name="Input 25 4" xfId="18156"/>
    <cellStyle name="Input 25 4 10" xfId="25423"/>
    <cellStyle name="Input 25 4 10 2" xfId="34192"/>
    <cellStyle name="Input 25 4 11" xfId="27976"/>
    <cellStyle name="Input 25 4 11 2" xfId="36736"/>
    <cellStyle name="Input 25 4 12" xfId="32900"/>
    <cellStyle name="Input 25 4 2" xfId="24426"/>
    <cellStyle name="Input 25 4 2 10" xfId="32179"/>
    <cellStyle name="Input 25 4 2 10 2" xfId="40933"/>
    <cellStyle name="Input 25 4 2 11" xfId="33254"/>
    <cellStyle name="Input 25 4 2 2" xfId="29034"/>
    <cellStyle name="Input 25 4 2 2 2" xfId="37788"/>
    <cellStyle name="Input 25 4 2 3" xfId="29447"/>
    <cellStyle name="Input 25 4 2 3 2" xfId="38201"/>
    <cellStyle name="Input 25 4 2 4" xfId="29867"/>
    <cellStyle name="Input 25 4 2 4 2" xfId="38621"/>
    <cellStyle name="Input 25 4 2 5" xfId="30286"/>
    <cellStyle name="Input 25 4 2 5 2" xfId="39040"/>
    <cellStyle name="Input 25 4 2 6" xfId="30687"/>
    <cellStyle name="Input 25 4 2 6 2" xfId="39441"/>
    <cellStyle name="Input 25 4 2 7" xfId="31073"/>
    <cellStyle name="Input 25 4 2 7 2" xfId="39827"/>
    <cellStyle name="Input 25 4 2 8" xfId="31451"/>
    <cellStyle name="Input 25 4 2 8 2" xfId="40205"/>
    <cellStyle name="Input 25 4 2 9" xfId="31817"/>
    <cellStyle name="Input 25 4 2 9 2" xfId="40571"/>
    <cellStyle name="Input 25 4 3" xfId="27646"/>
    <cellStyle name="Input 25 4 3 2" xfId="36406"/>
    <cellStyle name="Input 25 4 4" xfId="25189"/>
    <cellStyle name="Input 25 4 4 2" xfId="33960"/>
    <cellStyle name="Input 25 4 5" xfId="26122"/>
    <cellStyle name="Input 25 4 5 2" xfId="34888"/>
    <cellStyle name="Input 25 4 6" xfId="26189"/>
    <cellStyle name="Input 25 4 6 2" xfId="34955"/>
    <cellStyle name="Input 25 4 7" xfId="27836"/>
    <cellStyle name="Input 25 4 7 2" xfId="36596"/>
    <cellStyle name="Input 25 4 8" xfId="1804"/>
    <cellStyle name="Input 25 4 8 2" xfId="32612"/>
    <cellStyle name="Input 25 4 9" xfId="24827"/>
    <cellStyle name="Input 25 4 9 2" xfId="33602"/>
    <cellStyle name="Input 25 5" xfId="23598"/>
    <cellStyle name="Input 25 5 10" xfId="26701"/>
    <cellStyle name="Input 25 5 10 2" xfId="35465"/>
    <cellStyle name="Input 25 5 11" xfId="25154"/>
    <cellStyle name="Input 25 5 11 2" xfId="33925"/>
    <cellStyle name="Input 25 5 12" xfId="33068"/>
    <cellStyle name="Input 25 5 2" xfId="24653"/>
    <cellStyle name="Input 25 5 2 10" xfId="32354"/>
    <cellStyle name="Input 25 5 2 10 2" xfId="41108"/>
    <cellStyle name="Input 25 5 2 11" xfId="33429"/>
    <cellStyle name="Input 25 5 2 2" xfId="29218"/>
    <cellStyle name="Input 25 5 2 2 2" xfId="37972"/>
    <cellStyle name="Input 25 5 2 3" xfId="29628"/>
    <cellStyle name="Input 25 5 2 3 2" xfId="38382"/>
    <cellStyle name="Input 25 5 2 4" xfId="30048"/>
    <cellStyle name="Input 25 5 2 4 2" xfId="38802"/>
    <cellStyle name="Input 25 5 2 5" xfId="30464"/>
    <cellStyle name="Input 25 5 2 5 2" xfId="39218"/>
    <cellStyle name="Input 25 5 2 6" xfId="30865"/>
    <cellStyle name="Input 25 5 2 6 2" xfId="39619"/>
    <cellStyle name="Input 25 5 2 7" xfId="31251"/>
    <cellStyle name="Input 25 5 2 7 2" xfId="40005"/>
    <cellStyle name="Input 25 5 2 8" xfId="31627"/>
    <cellStyle name="Input 25 5 2 8 2" xfId="40381"/>
    <cellStyle name="Input 25 5 2 9" xfId="31993"/>
    <cellStyle name="Input 25 5 2 9 2" xfId="40747"/>
    <cellStyle name="Input 25 5 3" xfId="28714"/>
    <cellStyle name="Input 25 5 3 2" xfId="37470"/>
    <cellStyle name="Input 25 5 4" xfId="24895"/>
    <cellStyle name="Input 25 5 4 2" xfId="33669"/>
    <cellStyle name="Input 25 5 5" xfId="27572"/>
    <cellStyle name="Input 25 5 5 2" xfId="36332"/>
    <cellStyle name="Input 25 5 6" xfId="27982"/>
    <cellStyle name="Input 25 5 6 2" xfId="36742"/>
    <cellStyle name="Input 25 5 7" xfId="25009"/>
    <cellStyle name="Input 25 5 7 2" xfId="33783"/>
    <cellStyle name="Input 25 5 8" xfId="28499"/>
    <cellStyle name="Input 25 5 8 2" xfId="37255"/>
    <cellStyle name="Input 25 5 9" xfId="26228"/>
    <cellStyle name="Input 25 5 9 2" xfId="34994"/>
    <cellStyle name="Input 25 6" xfId="25477"/>
    <cellStyle name="Input 25 6 2" xfId="34246"/>
    <cellStyle name="Input 25 7" xfId="26495"/>
    <cellStyle name="Input 25 7 2" xfId="35260"/>
    <cellStyle name="Input 25 8" xfId="25804"/>
    <cellStyle name="Input 25 8 2" xfId="34571"/>
    <cellStyle name="Input 25 9" xfId="27971"/>
    <cellStyle name="Input 25 9 2" xfId="36731"/>
    <cellStyle name="Input 26" xfId="4490"/>
    <cellStyle name="Input 26 10" xfId="26410"/>
    <cellStyle name="Input 26 10 2" xfId="35176"/>
    <cellStyle name="Input 26 11" xfId="27433"/>
    <cellStyle name="Input 26 11 2" xfId="36193"/>
    <cellStyle name="Input 26 12" xfId="25602"/>
    <cellStyle name="Input 26 12 2" xfId="34369"/>
    <cellStyle name="Input 26 13" xfId="25195"/>
    <cellStyle name="Input 26 13 2" xfId="33966"/>
    <cellStyle name="Input 26 14" xfId="32697"/>
    <cellStyle name="Input 26 15" xfId="41752"/>
    <cellStyle name="Input 26 2" xfId="6121"/>
    <cellStyle name="Input 26 2 10" xfId="30183"/>
    <cellStyle name="Input 26 2 10 2" xfId="38937"/>
    <cellStyle name="Input 26 2 11" xfId="30587"/>
    <cellStyle name="Input 26 2 11 2" xfId="39341"/>
    <cellStyle name="Input 26 2 12" xfId="30979"/>
    <cellStyle name="Input 26 2 12 2" xfId="39733"/>
    <cellStyle name="Input 26 2 13" xfId="31363"/>
    <cellStyle name="Input 26 2 13 2" xfId="40117"/>
    <cellStyle name="Input 26 2 14" xfId="31735"/>
    <cellStyle name="Input 26 2 14 2" xfId="40489"/>
    <cellStyle name="Input 26 2 15" xfId="41753"/>
    <cellStyle name="Input 26 2 16" xfId="43347"/>
    <cellStyle name="Input 26 2 17" xfId="43866"/>
    <cellStyle name="Input 26 2 2" xfId="18223"/>
    <cellStyle name="Input 26 2 2 10" xfId="24961"/>
    <cellStyle name="Input 26 2 2 10 2" xfId="33735"/>
    <cellStyle name="Input 26 2 2 11" xfId="27450"/>
    <cellStyle name="Input 26 2 2 11 2" xfId="36210"/>
    <cellStyle name="Input 26 2 2 12" xfId="32967"/>
    <cellStyle name="Input 26 2 2 2" xfId="24493"/>
    <cellStyle name="Input 26 2 2 2 10" xfId="32246"/>
    <cellStyle name="Input 26 2 2 2 10 2" xfId="41000"/>
    <cellStyle name="Input 26 2 2 2 11" xfId="33321"/>
    <cellStyle name="Input 26 2 2 2 2" xfId="29101"/>
    <cellStyle name="Input 26 2 2 2 2 2" xfId="37855"/>
    <cellStyle name="Input 26 2 2 2 3" xfId="29514"/>
    <cellStyle name="Input 26 2 2 2 3 2" xfId="38268"/>
    <cellStyle name="Input 26 2 2 2 4" xfId="29934"/>
    <cellStyle name="Input 26 2 2 2 4 2" xfId="38688"/>
    <cellStyle name="Input 26 2 2 2 5" xfId="30353"/>
    <cellStyle name="Input 26 2 2 2 5 2" xfId="39107"/>
    <cellStyle name="Input 26 2 2 2 6" xfId="30754"/>
    <cellStyle name="Input 26 2 2 2 6 2" xfId="39508"/>
    <cellStyle name="Input 26 2 2 2 7" xfId="31140"/>
    <cellStyle name="Input 26 2 2 2 7 2" xfId="39894"/>
    <cellStyle name="Input 26 2 2 2 8" xfId="31518"/>
    <cellStyle name="Input 26 2 2 2 8 2" xfId="40272"/>
    <cellStyle name="Input 26 2 2 2 9" xfId="31884"/>
    <cellStyle name="Input 26 2 2 2 9 2" xfId="40638"/>
    <cellStyle name="Input 26 2 2 3" xfId="27713"/>
    <cellStyle name="Input 26 2 2 3 2" xfId="36473"/>
    <cellStyle name="Input 26 2 2 4" xfId="27927"/>
    <cellStyle name="Input 26 2 2 4 2" xfId="36687"/>
    <cellStyle name="Input 26 2 2 5" xfId="28569"/>
    <cellStyle name="Input 26 2 2 5 2" xfId="37325"/>
    <cellStyle name="Input 26 2 2 6" xfId="26211"/>
    <cellStyle name="Input 26 2 2 6 2" xfId="34977"/>
    <cellStyle name="Input 26 2 2 7" xfId="25486"/>
    <cellStyle name="Input 26 2 2 7 2" xfId="34255"/>
    <cellStyle name="Input 26 2 2 8" xfId="27455"/>
    <cellStyle name="Input 26 2 2 8 2" xfId="36215"/>
    <cellStyle name="Input 26 2 2 9" xfId="1650"/>
    <cellStyle name="Input 26 2 2 9 2" xfId="32465"/>
    <cellStyle name="Input 26 2 3" xfId="20568"/>
    <cellStyle name="Input 26 2 3 10" xfId="26929"/>
    <cellStyle name="Input 26 2 3 10 2" xfId="35689"/>
    <cellStyle name="Input 26 2 3 11" xfId="28416"/>
    <cellStyle name="Input 26 2 3 11 2" xfId="37173"/>
    <cellStyle name="Input 26 2 3 12" xfId="33050"/>
    <cellStyle name="Input 26 2 3 2" xfId="24597"/>
    <cellStyle name="Input 26 2 3 2 10" xfId="32331"/>
    <cellStyle name="Input 26 2 3 2 10 2" xfId="41085"/>
    <cellStyle name="Input 26 2 3 2 11" xfId="33406"/>
    <cellStyle name="Input 26 2 3 2 2" xfId="29190"/>
    <cellStyle name="Input 26 2 3 2 2 2" xfId="37944"/>
    <cellStyle name="Input 26 2 3 2 3" xfId="29600"/>
    <cellStyle name="Input 26 2 3 2 3 2" xfId="38354"/>
    <cellStyle name="Input 26 2 3 2 4" xfId="30022"/>
    <cellStyle name="Input 26 2 3 2 4 2" xfId="38776"/>
    <cellStyle name="Input 26 2 3 2 5" xfId="30439"/>
    <cellStyle name="Input 26 2 3 2 5 2" xfId="39193"/>
    <cellStyle name="Input 26 2 3 2 6" xfId="30840"/>
    <cellStyle name="Input 26 2 3 2 6 2" xfId="39594"/>
    <cellStyle name="Input 26 2 3 2 7" xfId="31226"/>
    <cellStyle name="Input 26 2 3 2 7 2" xfId="39980"/>
    <cellStyle name="Input 26 2 3 2 8" xfId="31603"/>
    <cellStyle name="Input 26 2 3 2 8 2" xfId="40357"/>
    <cellStyle name="Input 26 2 3 2 9" xfId="31969"/>
    <cellStyle name="Input 26 2 3 2 9 2" xfId="40723"/>
    <cellStyle name="Input 26 2 3 3" xfId="28195"/>
    <cellStyle name="Input 26 2 3 3 2" xfId="36954"/>
    <cellStyle name="Input 26 2 3 4" xfId="26768"/>
    <cellStyle name="Input 26 2 3 4 2" xfId="35530"/>
    <cellStyle name="Input 26 2 3 5" xfId="27846"/>
    <cellStyle name="Input 26 2 3 5 2" xfId="36606"/>
    <cellStyle name="Input 26 2 3 6" xfId="25289"/>
    <cellStyle name="Input 26 2 3 6 2" xfId="34059"/>
    <cellStyle name="Input 26 2 3 7" xfId="2818"/>
    <cellStyle name="Input 26 2 3 7 2" xfId="32661"/>
    <cellStyle name="Input 26 2 3 8" xfId="28645"/>
    <cellStyle name="Input 26 2 3 8 2" xfId="37401"/>
    <cellStyle name="Input 26 2 3 9" xfId="26258"/>
    <cellStyle name="Input 26 2 3 9 2" xfId="35024"/>
    <cellStyle name="Input 26 2 4" xfId="15069"/>
    <cellStyle name="Input 26 2 4 10" xfId="1703"/>
    <cellStyle name="Input 26 2 4 10 2" xfId="32515"/>
    <cellStyle name="Input 26 2 4 11" xfId="32868"/>
    <cellStyle name="Input 26 2 4 2" xfId="27130"/>
    <cellStyle name="Input 26 2 4 2 2" xfId="35890"/>
    <cellStyle name="Input 26 2 4 3" xfId="26023"/>
    <cellStyle name="Input 26 2 4 3 2" xfId="34789"/>
    <cellStyle name="Input 26 2 4 4" xfId="29617"/>
    <cellStyle name="Input 26 2 4 4 2" xfId="38371"/>
    <cellStyle name="Input 26 2 4 5" xfId="30037"/>
    <cellStyle name="Input 26 2 4 5 2" xfId="38791"/>
    <cellStyle name="Input 26 2 4 6" xfId="28619"/>
    <cellStyle name="Input 26 2 4 6 2" xfId="37375"/>
    <cellStyle name="Input 26 2 4 7" xfId="27004"/>
    <cellStyle name="Input 26 2 4 7 2" xfId="35764"/>
    <cellStyle name="Input 26 2 4 8" xfId="28099"/>
    <cellStyle name="Input 26 2 4 8 2" xfId="36858"/>
    <cellStyle name="Input 26 2 4 9" xfId="25463"/>
    <cellStyle name="Input 26 2 4 9 2" xfId="34232"/>
    <cellStyle name="Input 26 2 5" xfId="24358"/>
    <cellStyle name="Input 26 2 5 10" xfId="32142"/>
    <cellStyle name="Input 26 2 5 10 2" xfId="40896"/>
    <cellStyle name="Input 26 2 5 11" xfId="33217"/>
    <cellStyle name="Input 26 2 5 2" xfId="28993"/>
    <cellStyle name="Input 26 2 5 2 2" xfId="37747"/>
    <cellStyle name="Input 26 2 5 3" xfId="29406"/>
    <cellStyle name="Input 26 2 5 3 2" xfId="38160"/>
    <cellStyle name="Input 26 2 5 4" xfId="29830"/>
    <cellStyle name="Input 26 2 5 4 2" xfId="38584"/>
    <cellStyle name="Input 26 2 5 5" xfId="30245"/>
    <cellStyle name="Input 26 2 5 5 2" xfId="38999"/>
    <cellStyle name="Input 26 2 5 6" xfId="30646"/>
    <cellStyle name="Input 26 2 5 6 2" xfId="39400"/>
    <cellStyle name="Input 26 2 5 7" xfId="31033"/>
    <cellStyle name="Input 26 2 5 7 2" xfId="39787"/>
    <cellStyle name="Input 26 2 5 8" xfId="31412"/>
    <cellStyle name="Input 26 2 5 8 2" xfId="40166"/>
    <cellStyle name="Input 26 2 5 9" xfId="31780"/>
    <cellStyle name="Input 26 2 5 9 2" xfId="40534"/>
    <cellStyle name="Input 26 2 6" xfId="25578"/>
    <cellStyle name="Input 26 2 6 2" xfId="34345"/>
    <cellStyle name="Input 26 2 7" xfId="26511"/>
    <cellStyle name="Input 26 2 7 2" xfId="35276"/>
    <cellStyle name="Input 26 2 8" xfId="28402"/>
    <cellStyle name="Input 26 2 8 2" xfId="37159"/>
    <cellStyle name="Input 26 2 9" xfId="27343"/>
    <cellStyle name="Input 26 2 9 2" xfId="36103"/>
    <cellStyle name="Input 26 3" xfId="14025"/>
    <cellStyle name="Input 26 3 10" xfId="25276"/>
    <cellStyle name="Input 26 3 10 2" xfId="34046"/>
    <cellStyle name="Input 26 3 11" xfId="28231"/>
    <cellStyle name="Input 26 3 11 2" xfId="36990"/>
    <cellStyle name="Input 26 3 12" xfId="32841"/>
    <cellStyle name="Input 26 3 2" xfId="24309"/>
    <cellStyle name="Input 26 3 2 10" xfId="32113"/>
    <cellStyle name="Input 26 3 2 10 2" xfId="40867"/>
    <cellStyle name="Input 26 3 2 11" xfId="33188"/>
    <cellStyle name="Input 26 3 2 2" xfId="28961"/>
    <cellStyle name="Input 26 3 2 2 2" xfId="37715"/>
    <cellStyle name="Input 26 3 2 3" xfId="29374"/>
    <cellStyle name="Input 26 3 2 3 2" xfId="38128"/>
    <cellStyle name="Input 26 3 2 4" xfId="29799"/>
    <cellStyle name="Input 26 3 2 4 2" xfId="38553"/>
    <cellStyle name="Input 26 3 2 5" xfId="30214"/>
    <cellStyle name="Input 26 3 2 5 2" xfId="38968"/>
    <cellStyle name="Input 26 3 2 6" xfId="30615"/>
    <cellStyle name="Input 26 3 2 6 2" xfId="39369"/>
    <cellStyle name="Input 26 3 2 7" xfId="31002"/>
    <cellStyle name="Input 26 3 2 7 2" xfId="39756"/>
    <cellStyle name="Input 26 3 2 8" xfId="31382"/>
    <cellStyle name="Input 26 3 2 8 2" xfId="40136"/>
    <cellStyle name="Input 26 3 2 9" xfId="31750"/>
    <cellStyle name="Input 26 3 2 9 2" xfId="40504"/>
    <cellStyle name="Input 26 3 3" xfId="26918"/>
    <cellStyle name="Input 26 3 3 2" xfId="35678"/>
    <cellStyle name="Input 26 3 4" xfId="28889"/>
    <cellStyle name="Input 26 3 4 2" xfId="37645"/>
    <cellStyle name="Input 26 3 5" xfId="1705"/>
    <cellStyle name="Input 26 3 5 2" xfId="32517"/>
    <cellStyle name="Input 26 3 6" xfId="25830"/>
    <cellStyle name="Input 26 3 6 2" xfId="34596"/>
    <cellStyle name="Input 26 3 7" xfId="26142"/>
    <cellStyle name="Input 26 3 7 2" xfId="34908"/>
    <cellStyle name="Input 26 3 8" xfId="25552"/>
    <cellStyle name="Input 26 3 8 2" xfId="34319"/>
    <cellStyle name="Input 26 3 9" xfId="26100"/>
    <cellStyle name="Input 26 3 9 2" xfId="34866"/>
    <cellStyle name="Input 26 4" xfId="18157"/>
    <cellStyle name="Input 26 4 10" xfId="29336"/>
    <cellStyle name="Input 26 4 10 2" xfId="38090"/>
    <cellStyle name="Input 26 4 11" xfId="25848"/>
    <cellStyle name="Input 26 4 11 2" xfId="34614"/>
    <cellStyle name="Input 26 4 12" xfId="32901"/>
    <cellStyle name="Input 26 4 2" xfId="24427"/>
    <cellStyle name="Input 26 4 2 10" xfId="32180"/>
    <cellStyle name="Input 26 4 2 10 2" xfId="40934"/>
    <cellStyle name="Input 26 4 2 11" xfId="33255"/>
    <cellStyle name="Input 26 4 2 2" xfId="29035"/>
    <cellStyle name="Input 26 4 2 2 2" xfId="37789"/>
    <cellStyle name="Input 26 4 2 3" xfId="29448"/>
    <cellStyle name="Input 26 4 2 3 2" xfId="38202"/>
    <cellStyle name="Input 26 4 2 4" xfId="29868"/>
    <cellStyle name="Input 26 4 2 4 2" xfId="38622"/>
    <cellStyle name="Input 26 4 2 5" xfId="30287"/>
    <cellStyle name="Input 26 4 2 5 2" xfId="39041"/>
    <cellStyle name="Input 26 4 2 6" xfId="30688"/>
    <cellStyle name="Input 26 4 2 6 2" xfId="39442"/>
    <cellStyle name="Input 26 4 2 7" xfId="31074"/>
    <cellStyle name="Input 26 4 2 7 2" xfId="39828"/>
    <cellStyle name="Input 26 4 2 8" xfId="31452"/>
    <cellStyle name="Input 26 4 2 8 2" xfId="40206"/>
    <cellStyle name="Input 26 4 2 9" xfId="31818"/>
    <cellStyle name="Input 26 4 2 9 2" xfId="40572"/>
    <cellStyle name="Input 26 4 3" xfId="27647"/>
    <cellStyle name="Input 26 4 3 2" xfId="36407"/>
    <cellStyle name="Input 26 4 4" xfId="25188"/>
    <cellStyle name="Input 26 4 4 2" xfId="33959"/>
    <cellStyle name="Input 26 4 5" xfId="28088"/>
    <cellStyle name="Input 26 4 5 2" xfId="36847"/>
    <cellStyle name="Input 26 4 6" xfId="25783"/>
    <cellStyle name="Input 26 4 6 2" xfId="34550"/>
    <cellStyle name="Input 26 4 7" xfId="26155"/>
    <cellStyle name="Input 26 4 7 2" xfId="34921"/>
    <cellStyle name="Input 26 4 8" xfId="25994"/>
    <cellStyle name="Input 26 4 8 2" xfId="34760"/>
    <cellStyle name="Input 26 4 9" xfId="26669"/>
    <cellStyle name="Input 26 4 9 2" xfId="35433"/>
    <cellStyle name="Input 26 5" xfId="23599"/>
    <cellStyle name="Input 26 5 10" xfId="28330"/>
    <cellStyle name="Input 26 5 10 2" xfId="37089"/>
    <cellStyle name="Input 26 5 11" xfId="1795"/>
    <cellStyle name="Input 26 5 11 2" xfId="32603"/>
    <cellStyle name="Input 26 5 12" xfId="33069"/>
    <cellStyle name="Input 26 5 2" xfId="24654"/>
    <cellStyle name="Input 26 5 2 10" xfId="32355"/>
    <cellStyle name="Input 26 5 2 10 2" xfId="41109"/>
    <cellStyle name="Input 26 5 2 11" xfId="33430"/>
    <cellStyle name="Input 26 5 2 2" xfId="29219"/>
    <cellStyle name="Input 26 5 2 2 2" xfId="37973"/>
    <cellStyle name="Input 26 5 2 3" xfId="29629"/>
    <cellStyle name="Input 26 5 2 3 2" xfId="38383"/>
    <cellStyle name="Input 26 5 2 4" xfId="30049"/>
    <cellStyle name="Input 26 5 2 4 2" xfId="38803"/>
    <cellStyle name="Input 26 5 2 5" xfId="30465"/>
    <cellStyle name="Input 26 5 2 5 2" xfId="39219"/>
    <cellStyle name="Input 26 5 2 6" xfId="30866"/>
    <cellStyle name="Input 26 5 2 6 2" xfId="39620"/>
    <cellStyle name="Input 26 5 2 7" xfId="31252"/>
    <cellStyle name="Input 26 5 2 7 2" xfId="40006"/>
    <cellStyle name="Input 26 5 2 8" xfId="31628"/>
    <cellStyle name="Input 26 5 2 8 2" xfId="40382"/>
    <cellStyle name="Input 26 5 2 9" xfId="31994"/>
    <cellStyle name="Input 26 5 2 9 2" xfId="40748"/>
    <cellStyle name="Input 26 5 3" xfId="28715"/>
    <cellStyle name="Input 26 5 3 2" xfId="37471"/>
    <cellStyle name="Input 26 5 4" xfId="24890"/>
    <cellStyle name="Input 26 5 4 2" xfId="33664"/>
    <cellStyle name="Input 26 5 5" xfId="27090"/>
    <cellStyle name="Input 26 5 5 2" xfId="35850"/>
    <cellStyle name="Input 26 5 6" xfId="29204"/>
    <cellStyle name="Input 26 5 6 2" xfId="37958"/>
    <cellStyle name="Input 26 5 7" xfId="27861"/>
    <cellStyle name="Input 26 5 7 2" xfId="36621"/>
    <cellStyle name="Input 26 5 8" xfId="25535"/>
    <cellStyle name="Input 26 5 8 2" xfId="34302"/>
    <cellStyle name="Input 26 5 9" xfId="28037"/>
    <cellStyle name="Input 26 5 9 2" xfId="36796"/>
    <cellStyle name="Input 26 6" xfId="26293"/>
    <cellStyle name="Input 26 6 2" xfId="35059"/>
    <cellStyle name="Input 26 7" xfId="25999"/>
    <cellStyle name="Input 26 7 2" xfId="34765"/>
    <cellStyle name="Input 26 8" xfId="26099"/>
    <cellStyle name="Input 26 8 2" xfId="34865"/>
    <cellStyle name="Input 26 9" xfId="27387"/>
    <cellStyle name="Input 26 9 2" xfId="36147"/>
    <cellStyle name="Input 27" xfId="4491"/>
    <cellStyle name="Input 27 10" xfId="2964"/>
    <cellStyle name="Input 27 10 2" xfId="32686"/>
    <cellStyle name="Input 27 11" xfId="26317"/>
    <cellStyle name="Input 27 11 2" xfId="35083"/>
    <cellStyle name="Input 27 12" xfId="26343"/>
    <cellStyle name="Input 27 12 2" xfId="35109"/>
    <cellStyle name="Input 27 13" xfId="26443"/>
    <cellStyle name="Input 27 13 2" xfId="35208"/>
    <cellStyle name="Input 27 14" xfId="32698"/>
    <cellStyle name="Input 27 15" xfId="41754"/>
    <cellStyle name="Input 27 2" xfId="6113"/>
    <cellStyle name="Input 27 2 10" xfId="27606"/>
    <cellStyle name="Input 27 2 10 2" xfId="36366"/>
    <cellStyle name="Input 27 2 11" xfId="26961"/>
    <cellStyle name="Input 27 2 11 2" xfId="35721"/>
    <cellStyle name="Input 27 2 12" xfId="26341"/>
    <cellStyle name="Input 27 2 12 2" xfId="35107"/>
    <cellStyle name="Input 27 2 13" xfId="26950"/>
    <cellStyle name="Input 27 2 13 2" xfId="35710"/>
    <cellStyle name="Input 27 2 14" xfId="25371"/>
    <cellStyle name="Input 27 2 14 2" xfId="34140"/>
    <cellStyle name="Input 27 2 15" xfId="41755"/>
    <cellStyle name="Input 27 2 16" xfId="43346"/>
    <cellStyle name="Input 27 2 17" xfId="43867"/>
    <cellStyle name="Input 27 2 2" xfId="18217"/>
    <cellStyle name="Input 27 2 2 10" xfId="25959"/>
    <cellStyle name="Input 27 2 2 10 2" xfId="34725"/>
    <cellStyle name="Input 27 2 2 11" xfId="29355"/>
    <cellStyle name="Input 27 2 2 11 2" xfId="38109"/>
    <cellStyle name="Input 27 2 2 12" xfId="32961"/>
    <cellStyle name="Input 27 2 2 2" xfId="24487"/>
    <cellStyle name="Input 27 2 2 2 10" xfId="32240"/>
    <cellStyle name="Input 27 2 2 2 10 2" xfId="40994"/>
    <cellStyle name="Input 27 2 2 2 11" xfId="33315"/>
    <cellStyle name="Input 27 2 2 2 2" xfId="29095"/>
    <cellStyle name="Input 27 2 2 2 2 2" xfId="37849"/>
    <cellStyle name="Input 27 2 2 2 3" xfId="29508"/>
    <cellStyle name="Input 27 2 2 2 3 2" xfId="38262"/>
    <cellStyle name="Input 27 2 2 2 4" xfId="29928"/>
    <cellStyle name="Input 27 2 2 2 4 2" xfId="38682"/>
    <cellStyle name="Input 27 2 2 2 5" xfId="30347"/>
    <cellStyle name="Input 27 2 2 2 5 2" xfId="39101"/>
    <cellStyle name="Input 27 2 2 2 6" xfId="30748"/>
    <cellStyle name="Input 27 2 2 2 6 2" xfId="39502"/>
    <cellStyle name="Input 27 2 2 2 7" xfId="31134"/>
    <cellStyle name="Input 27 2 2 2 7 2" xfId="39888"/>
    <cellStyle name="Input 27 2 2 2 8" xfId="31512"/>
    <cellStyle name="Input 27 2 2 2 8 2" xfId="40266"/>
    <cellStyle name="Input 27 2 2 2 9" xfId="31878"/>
    <cellStyle name="Input 27 2 2 2 9 2" xfId="40632"/>
    <cellStyle name="Input 27 2 2 3" xfId="27707"/>
    <cellStyle name="Input 27 2 2 3 2" xfId="36467"/>
    <cellStyle name="Input 27 2 2 4" xfId="26231"/>
    <cellStyle name="Input 27 2 2 4 2" xfId="34997"/>
    <cellStyle name="Input 27 2 2 5" xfId="28368"/>
    <cellStyle name="Input 27 2 2 5 2" xfId="37126"/>
    <cellStyle name="Input 27 2 2 6" xfId="28269"/>
    <cellStyle name="Input 27 2 2 6 2" xfId="37028"/>
    <cellStyle name="Input 27 2 2 7" xfId="26498"/>
    <cellStyle name="Input 27 2 2 7 2" xfId="35263"/>
    <cellStyle name="Input 27 2 2 8" xfId="24918"/>
    <cellStyle name="Input 27 2 2 8 2" xfId="33692"/>
    <cellStyle name="Input 27 2 2 9" xfId="25246"/>
    <cellStyle name="Input 27 2 2 9 2" xfId="34016"/>
    <cellStyle name="Input 27 2 3" xfId="20562"/>
    <cellStyle name="Input 27 2 3 10" xfId="25472"/>
    <cellStyle name="Input 27 2 3 10 2" xfId="34241"/>
    <cellStyle name="Input 27 2 3 11" xfId="26093"/>
    <cellStyle name="Input 27 2 3 11 2" xfId="34859"/>
    <cellStyle name="Input 27 2 3 12" xfId="33044"/>
    <cellStyle name="Input 27 2 3 2" xfId="24591"/>
    <cellStyle name="Input 27 2 3 2 10" xfId="32325"/>
    <cellStyle name="Input 27 2 3 2 10 2" xfId="41079"/>
    <cellStyle name="Input 27 2 3 2 11" xfId="33400"/>
    <cellStyle name="Input 27 2 3 2 2" xfId="29184"/>
    <cellStyle name="Input 27 2 3 2 2 2" xfId="37938"/>
    <cellStyle name="Input 27 2 3 2 3" xfId="29594"/>
    <cellStyle name="Input 27 2 3 2 3 2" xfId="38348"/>
    <cellStyle name="Input 27 2 3 2 4" xfId="30016"/>
    <cellStyle name="Input 27 2 3 2 4 2" xfId="38770"/>
    <cellStyle name="Input 27 2 3 2 5" xfId="30433"/>
    <cellStyle name="Input 27 2 3 2 5 2" xfId="39187"/>
    <cellStyle name="Input 27 2 3 2 6" xfId="30834"/>
    <cellStyle name="Input 27 2 3 2 6 2" xfId="39588"/>
    <cellStyle name="Input 27 2 3 2 7" xfId="31220"/>
    <cellStyle name="Input 27 2 3 2 7 2" xfId="39974"/>
    <cellStyle name="Input 27 2 3 2 8" xfId="31597"/>
    <cellStyle name="Input 27 2 3 2 8 2" xfId="40351"/>
    <cellStyle name="Input 27 2 3 2 9" xfId="31963"/>
    <cellStyle name="Input 27 2 3 2 9 2" xfId="40717"/>
    <cellStyle name="Input 27 2 3 3" xfId="28189"/>
    <cellStyle name="Input 27 2 3 3 2" xfId="36948"/>
    <cellStyle name="Input 27 2 3 4" xfId="28573"/>
    <cellStyle name="Input 27 2 3 4 2" xfId="37329"/>
    <cellStyle name="Input 27 2 3 5" xfId="25896"/>
    <cellStyle name="Input 27 2 3 5 2" xfId="34662"/>
    <cellStyle name="Input 27 2 3 6" xfId="26841"/>
    <cellStyle name="Input 27 2 3 6 2" xfId="35602"/>
    <cellStyle name="Input 27 2 3 7" xfId="27840"/>
    <cellStyle name="Input 27 2 3 7 2" xfId="36600"/>
    <cellStyle name="Input 27 2 3 8" xfId="27910"/>
    <cellStyle name="Input 27 2 3 8 2" xfId="36670"/>
    <cellStyle name="Input 27 2 3 9" xfId="1743"/>
    <cellStyle name="Input 27 2 3 9 2" xfId="32552"/>
    <cellStyle name="Input 27 2 4" xfId="15063"/>
    <cellStyle name="Input 27 2 4 10" xfId="26743"/>
    <cellStyle name="Input 27 2 4 10 2" xfId="35505"/>
    <cellStyle name="Input 27 2 4 11" xfId="32862"/>
    <cellStyle name="Input 27 2 4 2" xfId="27124"/>
    <cellStyle name="Input 27 2 4 2 2" xfId="35884"/>
    <cellStyle name="Input 27 2 4 3" xfId="25767"/>
    <cellStyle name="Input 27 2 4 3 2" xfId="34534"/>
    <cellStyle name="Input 27 2 4 4" xfId="25250"/>
    <cellStyle name="Input 27 2 4 4 2" xfId="34020"/>
    <cellStyle name="Input 27 2 4 5" xfId="26846"/>
    <cellStyle name="Input 27 2 4 5 2" xfId="35607"/>
    <cellStyle name="Input 27 2 4 6" xfId="29353"/>
    <cellStyle name="Input 27 2 4 6 2" xfId="38107"/>
    <cellStyle name="Input 27 2 4 7" xfId="29206"/>
    <cellStyle name="Input 27 2 4 7 2" xfId="37960"/>
    <cellStyle name="Input 27 2 4 8" xfId="25825"/>
    <cellStyle name="Input 27 2 4 8 2" xfId="34591"/>
    <cellStyle name="Input 27 2 4 9" xfId="25899"/>
    <cellStyle name="Input 27 2 4 9 2" xfId="34665"/>
    <cellStyle name="Input 27 2 5" xfId="24352"/>
    <cellStyle name="Input 27 2 5 10" xfId="32136"/>
    <cellStyle name="Input 27 2 5 10 2" xfId="40890"/>
    <cellStyle name="Input 27 2 5 11" xfId="33211"/>
    <cellStyle name="Input 27 2 5 2" xfId="28987"/>
    <cellStyle name="Input 27 2 5 2 2" xfId="37741"/>
    <cellStyle name="Input 27 2 5 3" xfId="29400"/>
    <cellStyle name="Input 27 2 5 3 2" xfId="38154"/>
    <cellStyle name="Input 27 2 5 4" xfId="29824"/>
    <cellStyle name="Input 27 2 5 4 2" xfId="38578"/>
    <cellStyle name="Input 27 2 5 5" xfId="30239"/>
    <cellStyle name="Input 27 2 5 5 2" xfId="38993"/>
    <cellStyle name="Input 27 2 5 6" xfId="30640"/>
    <cellStyle name="Input 27 2 5 6 2" xfId="39394"/>
    <cellStyle name="Input 27 2 5 7" xfId="31027"/>
    <cellStyle name="Input 27 2 5 7 2" xfId="39781"/>
    <cellStyle name="Input 27 2 5 8" xfId="31406"/>
    <cellStyle name="Input 27 2 5 8 2" xfId="40160"/>
    <cellStyle name="Input 27 2 5 9" xfId="31774"/>
    <cellStyle name="Input 27 2 5 9 2" xfId="40528"/>
    <cellStyle name="Input 27 2 6" xfId="25572"/>
    <cellStyle name="Input 27 2 6 2" xfId="34339"/>
    <cellStyle name="Input 27 2 7" xfId="25933"/>
    <cellStyle name="Input 27 2 7 2" xfId="34699"/>
    <cellStyle name="Input 27 2 8" xfId="26587"/>
    <cellStyle name="Input 27 2 8 2" xfId="35352"/>
    <cellStyle name="Input 27 2 9" xfId="1700"/>
    <cellStyle name="Input 27 2 9 2" xfId="32512"/>
    <cellStyle name="Input 27 3" xfId="14026"/>
    <cellStyle name="Input 27 3 10" xfId="27502"/>
    <cellStyle name="Input 27 3 10 2" xfId="36262"/>
    <cellStyle name="Input 27 3 11" xfId="26985"/>
    <cellStyle name="Input 27 3 11 2" xfId="35745"/>
    <cellStyle name="Input 27 3 12" xfId="32842"/>
    <cellStyle name="Input 27 3 2" xfId="24310"/>
    <cellStyle name="Input 27 3 2 10" xfId="32114"/>
    <cellStyle name="Input 27 3 2 10 2" xfId="40868"/>
    <cellStyle name="Input 27 3 2 11" xfId="33189"/>
    <cellStyle name="Input 27 3 2 2" xfId="28962"/>
    <cellStyle name="Input 27 3 2 2 2" xfId="37716"/>
    <cellStyle name="Input 27 3 2 3" xfId="29375"/>
    <cellStyle name="Input 27 3 2 3 2" xfId="38129"/>
    <cellStyle name="Input 27 3 2 4" xfId="29800"/>
    <cellStyle name="Input 27 3 2 4 2" xfId="38554"/>
    <cellStyle name="Input 27 3 2 5" xfId="30215"/>
    <cellStyle name="Input 27 3 2 5 2" xfId="38969"/>
    <cellStyle name="Input 27 3 2 6" xfId="30616"/>
    <cellStyle name="Input 27 3 2 6 2" xfId="39370"/>
    <cellStyle name="Input 27 3 2 7" xfId="31003"/>
    <cellStyle name="Input 27 3 2 7 2" xfId="39757"/>
    <cellStyle name="Input 27 3 2 8" xfId="31383"/>
    <cellStyle name="Input 27 3 2 8 2" xfId="40137"/>
    <cellStyle name="Input 27 3 2 9" xfId="31751"/>
    <cellStyle name="Input 27 3 2 9 2" xfId="40505"/>
    <cellStyle name="Input 27 3 3" xfId="26919"/>
    <cellStyle name="Input 27 3 3 2" xfId="35679"/>
    <cellStyle name="Input 27 3 4" xfId="27806"/>
    <cellStyle name="Input 27 3 4 2" xfId="36566"/>
    <cellStyle name="Input 27 3 5" xfId="26688"/>
    <cellStyle name="Input 27 3 5 2" xfId="35452"/>
    <cellStyle name="Input 27 3 6" xfId="24854"/>
    <cellStyle name="Input 27 3 6 2" xfId="33628"/>
    <cellStyle name="Input 27 3 7" xfId="26582"/>
    <cellStyle name="Input 27 3 7 2" xfId="35347"/>
    <cellStyle name="Input 27 3 8" xfId="26177"/>
    <cellStyle name="Input 27 3 8 2" xfId="34943"/>
    <cellStyle name="Input 27 3 9" xfId="27883"/>
    <cellStyle name="Input 27 3 9 2" xfId="36643"/>
    <cellStyle name="Input 27 4" xfId="18158"/>
    <cellStyle name="Input 27 4 10" xfId="26801"/>
    <cellStyle name="Input 27 4 10 2" xfId="35563"/>
    <cellStyle name="Input 27 4 11" xfId="27980"/>
    <cellStyle name="Input 27 4 11 2" xfId="36740"/>
    <cellStyle name="Input 27 4 12" xfId="32902"/>
    <cellStyle name="Input 27 4 2" xfId="24428"/>
    <cellStyle name="Input 27 4 2 10" xfId="32181"/>
    <cellStyle name="Input 27 4 2 10 2" xfId="40935"/>
    <cellStyle name="Input 27 4 2 11" xfId="33256"/>
    <cellStyle name="Input 27 4 2 2" xfId="29036"/>
    <cellStyle name="Input 27 4 2 2 2" xfId="37790"/>
    <cellStyle name="Input 27 4 2 3" xfId="29449"/>
    <cellStyle name="Input 27 4 2 3 2" xfId="38203"/>
    <cellStyle name="Input 27 4 2 4" xfId="29869"/>
    <cellStyle name="Input 27 4 2 4 2" xfId="38623"/>
    <cellStyle name="Input 27 4 2 5" xfId="30288"/>
    <cellStyle name="Input 27 4 2 5 2" xfId="39042"/>
    <cellStyle name="Input 27 4 2 6" xfId="30689"/>
    <cellStyle name="Input 27 4 2 6 2" xfId="39443"/>
    <cellStyle name="Input 27 4 2 7" xfId="31075"/>
    <cellStyle name="Input 27 4 2 7 2" xfId="39829"/>
    <cellStyle name="Input 27 4 2 8" xfId="31453"/>
    <cellStyle name="Input 27 4 2 8 2" xfId="40207"/>
    <cellStyle name="Input 27 4 2 9" xfId="31819"/>
    <cellStyle name="Input 27 4 2 9 2" xfId="40573"/>
    <cellStyle name="Input 27 4 3" xfId="27648"/>
    <cellStyle name="Input 27 4 3 2" xfId="36408"/>
    <cellStyle name="Input 27 4 4" xfId="28895"/>
    <cellStyle name="Input 27 4 4 2" xfId="37651"/>
    <cellStyle name="Input 27 4 5" xfId="28023"/>
    <cellStyle name="Input 27 4 5 2" xfId="36782"/>
    <cellStyle name="Input 27 4 6" xfId="27008"/>
    <cellStyle name="Input 27 4 6 2" xfId="35768"/>
    <cellStyle name="Input 27 4 7" xfId="28307"/>
    <cellStyle name="Input 27 4 7 2" xfId="37066"/>
    <cellStyle name="Input 27 4 8" xfId="27412"/>
    <cellStyle name="Input 27 4 8 2" xfId="36172"/>
    <cellStyle name="Input 27 4 9" xfId="25881"/>
    <cellStyle name="Input 27 4 9 2" xfId="34647"/>
    <cellStyle name="Input 27 5" xfId="23600"/>
    <cellStyle name="Input 27 5 10" xfId="29762"/>
    <cellStyle name="Input 27 5 10 2" xfId="38516"/>
    <cellStyle name="Input 27 5 11" xfId="25513"/>
    <cellStyle name="Input 27 5 11 2" xfId="34282"/>
    <cellStyle name="Input 27 5 12" xfId="33070"/>
    <cellStyle name="Input 27 5 2" xfId="24655"/>
    <cellStyle name="Input 27 5 2 10" xfId="32356"/>
    <cellStyle name="Input 27 5 2 10 2" xfId="41110"/>
    <cellStyle name="Input 27 5 2 11" xfId="33431"/>
    <cellStyle name="Input 27 5 2 2" xfId="29220"/>
    <cellStyle name="Input 27 5 2 2 2" xfId="37974"/>
    <cellStyle name="Input 27 5 2 3" xfId="29630"/>
    <cellStyle name="Input 27 5 2 3 2" xfId="38384"/>
    <cellStyle name="Input 27 5 2 4" xfId="30050"/>
    <cellStyle name="Input 27 5 2 4 2" xfId="38804"/>
    <cellStyle name="Input 27 5 2 5" xfId="30466"/>
    <cellStyle name="Input 27 5 2 5 2" xfId="39220"/>
    <cellStyle name="Input 27 5 2 6" xfId="30867"/>
    <cellStyle name="Input 27 5 2 6 2" xfId="39621"/>
    <cellStyle name="Input 27 5 2 7" xfId="31253"/>
    <cellStyle name="Input 27 5 2 7 2" xfId="40007"/>
    <cellStyle name="Input 27 5 2 8" xfId="31629"/>
    <cellStyle name="Input 27 5 2 8 2" xfId="40383"/>
    <cellStyle name="Input 27 5 2 9" xfId="31995"/>
    <cellStyle name="Input 27 5 2 9 2" xfId="40749"/>
    <cellStyle name="Input 27 5 3" xfId="28716"/>
    <cellStyle name="Input 27 5 3 2" xfId="37472"/>
    <cellStyle name="Input 27 5 4" xfId="24892"/>
    <cellStyle name="Input 27 5 4 2" xfId="33666"/>
    <cellStyle name="Input 27 5 5" xfId="27083"/>
    <cellStyle name="Input 27 5 5 2" xfId="35843"/>
    <cellStyle name="Input 27 5 6" xfId="25263"/>
    <cellStyle name="Input 27 5 6 2" xfId="34033"/>
    <cellStyle name="Input 27 5 7" xfId="28249"/>
    <cellStyle name="Input 27 5 7 2" xfId="37008"/>
    <cellStyle name="Input 27 5 8" xfId="27337"/>
    <cellStyle name="Input 27 5 8 2" xfId="36097"/>
    <cellStyle name="Input 27 5 9" xfId="25724"/>
    <cellStyle name="Input 27 5 9 2" xfId="34491"/>
    <cellStyle name="Input 27 6" xfId="28132"/>
    <cellStyle name="Input 27 6 2" xfId="36891"/>
    <cellStyle name="Input 27 7" xfId="1994"/>
    <cellStyle name="Input 27 7 2" xfId="32622"/>
    <cellStyle name="Input 27 8" xfId="25114"/>
    <cellStyle name="Input 27 8 2" xfId="33886"/>
    <cellStyle name="Input 27 9" xfId="26763"/>
    <cellStyle name="Input 27 9 2" xfId="35525"/>
    <cellStyle name="Input 28" xfId="4492"/>
    <cellStyle name="Input 28 10" xfId="25199"/>
    <cellStyle name="Input 28 10 2" xfId="33970"/>
    <cellStyle name="Input 28 11" xfId="27117"/>
    <cellStyle name="Input 28 11 2" xfId="35877"/>
    <cellStyle name="Input 28 12" xfId="26833"/>
    <cellStyle name="Input 28 12 2" xfId="35594"/>
    <cellStyle name="Input 28 13" xfId="24852"/>
    <cellStyle name="Input 28 13 2" xfId="33626"/>
    <cellStyle name="Input 28 14" xfId="32699"/>
    <cellStyle name="Input 28 15" xfId="41756"/>
    <cellStyle name="Input 28 2" xfId="6126"/>
    <cellStyle name="Input 28 2 10" xfId="25828"/>
    <cellStyle name="Input 28 2 10 2" xfId="34594"/>
    <cellStyle name="Input 28 2 11" xfId="27416"/>
    <cellStyle name="Input 28 2 11 2" xfId="36176"/>
    <cellStyle name="Input 28 2 12" xfId="26981"/>
    <cellStyle name="Input 28 2 12 2" xfId="35741"/>
    <cellStyle name="Input 28 2 13" xfId="26043"/>
    <cellStyle name="Input 28 2 13 2" xfId="34809"/>
    <cellStyle name="Input 28 2 14" xfId="27357"/>
    <cellStyle name="Input 28 2 14 2" xfId="36117"/>
    <cellStyle name="Input 28 2 15" xfId="41757"/>
    <cellStyle name="Input 28 2 16" xfId="43345"/>
    <cellStyle name="Input 28 2 17" xfId="43868"/>
    <cellStyle name="Input 28 2 2" xfId="18228"/>
    <cellStyle name="Input 28 2 2 10" xfId="26052"/>
    <cellStyle name="Input 28 2 2 10 2" xfId="34818"/>
    <cellStyle name="Input 28 2 2 11" xfId="28005"/>
    <cellStyle name="Input 28 2 2 11 2" xfId="36764"/>
    <cellStyle name="Input 28 2 2 12" xfId="32972"/>
    <cellStyle name="Input 28 2 2 2" xfId="24498"/>
    <cellStyle name="Input 28 2 2 2 10" xfId="32251"/>
    <cellStyle name="Input 28 2 2 2 10 2" xfId="41005"/>
    <cellStyle name="Input 28 2 2 2 11" xfId="33326"/>
    <cellStyle name="Input 28 2 2 2 2" xfId="29106"/>
    <cellStyle name="Input 28 2 2 2 2 2" xfId="37860"/>
    <cellStyle name="Input 28 2 2 2 3" xfId="29519"/>
    <cellStyle name="Input 28 2 2 2 3 2" xfId="38273"/>
    <cellStyle name="Input 28 2 2 2 4" xfId="29939"/>
    <cellStyle name="Input 28 2 2 2 4 2" xfId="38693"/>
    <cellStyle name="Input 28 2 2 2 5" xfId="30358"/>
    <cellStyle name="Input 28 2 2 2 5 2" xfId="39112"/>
    <cellStyle name="Input 28 2 2 2 6" xfId="30759"/>
    <cellStyle name="Input 28 2 2 2 6 2" xfId="39513"/>
    <cellStyle name="Input 28 2 2 2 7" xfId="31145"/>
    <cellStyle name="Input 28 2 2 2 7 2" xfId="39899"/>
    <cellStyle name="Input 28 2 2 2 8" xfId="31523"/>
    <cellStyle name="Input 28 2 2 2 8 2" xfId="40277"/>
    <cellStyle name="Input 28 2 2 2 9" xfId="31889"/>
    <cellStyle name="Input 28 2 2 2 9 2" xfId="40643"/>
    <cellStyle name="Input 28 2 2 3" xfId="27718"/>
    <cellStyle name="Input 28 2 2 3 2" xfId="36478"/>
    <cellStyle name="Input 28 2 2 4" xfId="25182"/>
    <cellStyle name="Input 28 2 2 4 2" xfId="33953"/>
    <cellStyle name="Input 28 2 2 5" xfId="25841"/>
    <cellStyle name="Input 28 2 2 5 2" xfId="34607"/>
    <cellStyle name="Input 28 2 2 6" xfId="27892"/>
    <cellStyle name="Input 28 2 2 6 2" xfId="36652"/>
    <cellStyle name="Input 28 2 2 7" xfId="27820"/>
    <cellStyle name="Input 28 2 2 7 2" xfId="36580"/>
    <cellStyle name="Input 28 2 2 8" xfId="25330"/>
    <cellStyle name="Input 28 2 2 8 2" xfId="34099"/>
    <cellStyle name="Input 28 2 2 9" xfId="27626"/>
    <cellStyle name="Input 28 2 2 9 2" xfId="36386"/>
    <cellStyle name="Input 28 2 3" xfId="20573"/>
    <cellStyle name="Input 28 2 3 10" xfId="25278"/>
    <cellStyle name="Input 28 2 3 10 2" xfId="34048"/>
    <cellStyle name="Input 28 2 3 11" xfId="25383"/>
    <cellStyle name="Input 28 2 3 11 2" xfId="34152"/>
    <cellStyle name="Input 28 2 3 12" xfId="33055"/>
    <cellStyle name="Input 28 2 3 2" xfId="24602"/>
    <cellStyle name="Input 28 2 3 2 10" xfId="32336"/>
    <cellStyle name="Input 28 2 3 2 10 2" xfId="41090"/>
    <cellStyle name="Input 28 2 3 2 11" xfId="33411"/>
    <cellStyle name="Input 28 2 3 2 2" xfId="29195"/>
    <cellStyle name="Input 28 2 3 2 2 2" xfId="37949"/>
    <cellStyle name="Input 28 2 3 2 3" xfId="29605"/>
    <cellStyle name="Input 28 2 3 2 3 2" xfId="38359"/>
    <cellStyle name="Input 28 2 3 2 4" xfId="30027"/>
    <cellStyle name="Input 28 2 3 2 4 2" xfId="38781"/>
    <cellStyle name="Input 28 2 3 2 5" xfId="30444"/>
    <cellStyle name="Input 28 2 3 2 5 2" xfId="39198"/>
    <cellStyle name="Input 28 2 3 2 6" xfId="30845"/>
    <cellStyle name="Input 28 2 3 2 6 2" xfId="39599"/>
    <cellStyle name="Input 28 2 3 2 7" xfId="31231"/>
    <cellStyle name="Input 28 2 3 2 7 2" xfId="39985"/>
    <cellStyle name="Input 28 2 3 2 8" xfId="31608"/>
    <cellStyle name="Input 28 2 3 2 8 2" xfId="40362"/>
    <cellStyle name="Input 28 2 3 2 9" xfId="31974"/>
    <cellStyle name="Input 28 2 3 2 9 2" xfId="40728"/>
    <cellStyle name="Input 28 2 3 3" xfId="28200"/>
    <cellStyle name="Input 28 2 3 3 2" xfId="36959"/>
    <cellStyle name="Input 28 2 3 4" xfId="27875"/>
    <cellStyle name="Input 28 2 3 4 2" xfId="36635"/>
    <cellStyle name="Input 28 2 3 5" xfId="25174"/>
    <cellStyle name="Input 28 2 3 5 2" xfId="33945"/>
    <cellStyle name="Input 28 2 3 6" xfId="26906"/>
    <cellStyle name="Input 28 2 3 6 2" xfId="35666"/>
    <cellStyle name="Input 28 2 3 7" xfId="25740"/>
    <cellStyle name="Input 28 2 3 7 2" xfId="34507"/>
    <cellStyle name="Input 28 2 3 8" xfId="26089"/>
    <cellStyle name="Input 28 2 3 8 2" xfId="34855"/>
    <cellStyle name="Input 28 2 3 9" xfId="25502"/>
    <cellStyle name="Input 28 2 3 9 2" xfId="34271"/>
    <cellStyle name="Input 28 2 4" xfId="15074"/>
    <cellStyle name="Input 28 2 4 10" xfId="29752"/>
    <cellStyle name="Input 28 2 4 10 2" xfId="38506"/>
    <cellStyle name="Input 28 2 4 11" xfId="32873"/>
    <cellStyle name="Input 28 2 4 2" xfId="27135"/>
    <cellStyle name="Input 28 2 4 2 2" xfId="35895"/>
    <cellStyle name="Input 28 2 4 3" xfId="27988"/>
    <cellStyle name="Input 28 2 4 3 2" xfId="36748"/>
    <cellStyle name="Input 28 2 4 4" xfId="25639"/>
    <cellStyle name="Input 28 2 4 4 2" xfId="34406"/>
    <cellStyle name="Input 28 2 4 5" xfId="28004"/>
    <cellStyle name="Input 28 2 4 5 2" xfId="36763"/>
    <cellStyle name="Input 28 2 4 6" xfId="27092"/>
    <cellStyle name="Input 28 2 4 6 2" xfId="35852"/>
    <cellStyle name="Input 28 2 4 7" xfId="25468"/>
    <cellStyle name="Input 28 2 4 7 2" xfId="34237"/>
    <cellStyle name="Input 28 2 4 8" xfId="28836"/>
    <cellStyle name="Input 28 2 4 8 2" xfId="37592"/>
    <cellStyle name="Input 28 2 4 9" xfId="25943"/>
    <cellStyle name="Input 28 2 4 9 2" xfId="34709"/>
    <cellStyle name="Input 28 2 5" xfId="24363"/>
    <cellStyle name="Input 28 2 5 10" xfId="32147"/>
    <cellStyle name="Input 28 2 5 10 2" xfId="40901"/>
    <cellStyle name="Input 28 2 5 11" xfId="33222"/>
    <cellStyle name="Input 28 2 5 2" xfId="28998"/>
    <cellStyle name="Input 28 2 5 2 2" xfId="37752"/>
    <cellStyle name="Input 28 2 5 3" xfId="29411"/>
    <cellStyle name="Input 28 2 5 3 2" xfId="38165"/>
    <cellStyle name="Input 28 2 5 4" xfId="29835"/>
    <cellStyle name="Input 28 2 5 4 2" xfId="38589"/>
    <cellStyle name="Input 28 2 5 5" xfId="30250"/>
    <cellStyle name="Input 28 2 5 5 2" xfId="39004"/>
    <cellStyle name="Input 28 2 5 6" xfId="30651"/>
    <cellStyle name="Input 28 2 5 6 2" xfId="39405"/>
    <cellStyle name="Input 28 2 5 7" xfId="31038"/>
    <cellStyle name="Input 28 2 5 7 2" xfId="39792"/>
    <cellStyle name="Input 28 2 5 8" xfId="31417"/>
    <cellStyle name="Input 28 2 5 8 2" xfId="40171"/>
    <cellStyle name="Input 28 2 5 9" xfId="31785"/>
    <cellStyle name="Input 28 2 5 9 2" xfId="40539"/>
    <cellStyle name="Input 28 2 6" xfId="25583"/>
    <cellStyle name="Input 28 2 6 2" xfId="34350"/>
    <cellStyle name="Input 28 2 7" xfId="25965"/>
    <cellStyle name="Input 28 2 7 2" xfId="34731"/>
    <cellStyle name="Input 28 2 8" xfId="26272"/>
    <cellStyle name="Input 28 2 8 2" xfId="35038"/>
    <cellStyle name="Input 28 2 9" xfId="26766"/>
    <cellStyle name="Input 28 2 9 2" xfId="35528"/>
    <cellStyle name="Input 28 3" xfId="14027"/>
    <cellStyle name="Input 28 3 10" xfId="26161"/>
    <cellStyle name="Input 28 3 10 2" xfId="34927"/>
    <cellStyle name="Input 28 3 11" xfId="27446"/>
    <cellStyle name="Input 28 3 11 2" xfId="36206"/>
    <cellStyle name="Input 28 3 12" xfId="32843"/>
    <cellStyle name="Input 28 3 2" xfId="24311"/>
    <cellStyle name="Input 28 3 2 10" xfId="32115"/>
    <cellStyle name="Input 28 3 2 10 2" xfId="40869"/>
    <cellStyle name="Input 28 3 2 11" xfId="33190"/>
    <cellStyle name="Input 28 3 2 2" xfId="28963"/>
    <cellStyle name="Input 28 3 2 2 2" xfId="37717"/>
    <cellStyle name="Input 28 3 2 3" xfId="29376"/>
    <cellStyle name="Input 28 3 2 3 2" xfId="38130"/>
    <cellStyle name="Input 28 3 2 4" xfId="29801"/>
    <cellStyle name="Input 28 3 2 4 2" xfId="38555"/>
    <cellStyle name="Input 28 3 2 5" xfId="30216"/>
    <cellStyle name="Input 28 3 2 5 2" xfId="38970"/>
    <cellStyle name="Input 28 3 2 6" xfId="30617"/>
    <cellStyle name="Input 28 3 2 6 2" xfId="39371"/>
    <cellStyle name="Input 28 3 2 7" xfId="31004"/>
    <cellStyle name="Input 28 3 2 7 2" xfId="39758"/>
    <cellStyle name="Input 28 3 2 8" xfId="31384"/>
    <cellStyle name="Input 28 3 2 8 2" xfId="40138"/>
    <cellStyle name="Input 28 3 2 9" xfId="31752"/>
    <cellStyle name="Input 28 3 2 9 2" xfId="40506"/>
    <cellStyle name="Input 28 3 3" xfId="26920"/>
    <cellStyle name="Input 28 3 3 2" xfId="35680"/>
    <cellStyle name="Input 28 3 4" xfId="26209"/>
    <cellStyle name="Input 28 3 4 2" xfId="34975"/>
    <cellStyle name="Input 28 3 5" xfId="26200"/>
    <cellStyle name="Input 28 3 5 2" xfId="34966"/>
    <cellStyle name="Input 28 3 6" xfId="26150"/>
    <cellStyle name="Input 28 3 6 2" xfId="34916"/>
    <cellStyle name="Input 28 3 7" xfId="28446"/>
    <cellStyle name="Input 28 3 7 2" xfId="37203"/>
    <cellStyle name="Input 28 3 8" xfId="27071"/>
    <cellStyle name="Input 28 3 8 2" xfId="35831"/>
    <cellStyle name="Input 28 3 9" xfId="27243"/>
    <cellStyle name="Input 28 3 9 2" xfId="36003"/>
    <cellStyle name="Input 28 4" xfId="18159"/>
    <cellStyle name="Input 28 4 10" xfId="26102"/>
    <cellStyle name="Input 28 4 10 2" xfId="34868"/>
    <cellStyle name="Input 28 4 11" xfId="25304"/>
    <cellStyle name="Input 28 4 11 2" xfId="34073"/>
    <cellStyle name="Input 28 4 12" xfId="32903"/>
    <cellStyle name="Input 28 4 2" xfId="24429"/>
    <cellStyle name="Input 28 4 2 10" xfId="32182"/>
    <cellStyle name="Input 28 4 2 10 2" xfId="40936"/>
    <cellStyle name="Input 28 4 2 11" xfId="33257"/>
    <cellStyle name="Input 28 4 2 2" xfId="29037"/>
    <cellStyle name="Input 28 4 2 2 2" xfId="37791"/>
    <cellStyle name="Input 28 4 2 3" xfId="29450"/>
    <cellStyle name="Input 28 4 2 3 2" xfId="38204"/>
    <cellStyle name="Input 28 4 2 4" xfId="29870"/>
    <cellStyle name="Input 28 4 2 4 2" xfId="38624"/>
    <cellStyle name="Input 28 4 2 5" xfId="30289"/>
    <cellStyle name="Input 28 4 2 5 2" xfId="39043"/>
    <cellStyle name="Input 28 4 2 6" xfId="30690"/>
    <cellStyle name="Input 28 4 2 6 2" xfId="39444"/>
    <cellStyle name="Input 28 4 2 7" xfId="31076"/>
    <cellStyle name="Input 28 4 2 7 2" xfId="39830"/>
    <cellStyle name="Input 28 4 2 8" xfId="31454"/>
    <cellStyle name="Input 28 4 2 8 2" xfId="40208"/>
    <cellStyle name="Input 28 4 2 9" xfId="31820"/>
    <cellStyle name="Input 28 4 2 9 2" xfId="40574"/>
    <cellStyle name="Input 28 4 3" xfId="27649"/>
    <cellStyle name="Input 28 4 3 2" xfId="36409"/>
    <cellStyle name="Input 28 4 4" xfId="27813"/>
    <cellStyle name="Input 28 4 4 2" xfId="36573"/>
    <cellStyle name="Input 28 4 5" xfId="26802"/>
    <cellStyle name="Input 28 4 5 2" xfId="35564"/>
    <cellStyle name="Input 28 4 6" xfId="2801"/>
    <cellStyle name="Input 28 4 6 2" xfId="32659"/>
    <cellStyle name="Input 28 4 7" xfId="26012"/>
    <cellStyle name="Input 28 4 7 2" xfId="34778"/>
    <cellStyle name="Input 28 4 8" xfId="26345"/>
    <cellStyle name="Input 28 4 8 2" xfId="35111"/>
    <cellStyle name="Input 28 4 9" xfId="28896"/>
    <cellStyle name="Input 28 4 9 2" xfId="37652"/>
    <cellStyle name="Input 28 5" xfId="23601"/>
    <cellStyle name="Input 28 5 10" xfId="25469"/>
    <cellStyle name="Input 28 5 10 2" xfId="34238"/>
    <cellStyle name="Input 28 5 11" xfId="25902"/>
    <cellStyle name="Input 28 5 11 2" xfId="34668"/>
    <cellStyle name="Input 28 5 12" xfId="33071"/>
    <cellStyle name="Input 28 5 2" xfId="24656"/>
    <cellStyle name="Input 28 5 2 10" xfId="32357"/>
    <cellStyle name="Input 28 5 2 10 2" xfId="41111"/>
    <cellStyle name="Input 28 5 2 11" xfId="33432"/>
    <cellStyle name="Input 28 5 2 2" xfId="29221"/>
    <cellStyle name="Input 28 5 2 2 2" xfId="37975"/>
    <cellStyle name="Input 28 5 2 3" xfId="29631"/>
    <cellStyle name="Input 28 5 2 3 2" xfId="38385"/>
    <cellStyle name="Input 28 5 2 4" xfId="30051"/>
    <cellStyle name="Input 28 5 2 4 2" xfId="38805"/>
    <cellStyle name="Input 28 5 2 5" xfId="30467"/>
    <cellStyle name="Input 28 5 2 5 2" xfId="39221"/>
    <cellStyle name="Input 28 5 2 6" xfId="30868"/>
    <cellStyle name="Input 28 5 2 6 2" xfId="39622"/>
    <cellStyle name="Input 28 5 2 7" xfId="31254"/>
    <cellStyle name="Input 28 5 2 7 2" xfId="40008"/>
    <cellStyle name="Input 28 5 2 8" xfId="31630"/>
    <cellStyle name="Input 28 5 2 8 2" xfId="40384"/>
    <cellStyle name="Input 28 5 2 9" xfId="31996"/>
    <cellStyle name="Input 28 5 2 9 2" xfId="40750"/>
    <cellStyle name="Input 28 5 3" xfId="28717"/>
    <cellStyle name="Input 28 5 3 2" xfId="37473"/>
    <cellStyle name="Input 28 5 4" xfId="24903"/>
    <cellStyle name="Input 28 5 4 2" xfId="33677"/>
    <cellStyle name="Input 28 5 5" xfId="28157"/>
    <cellStyle name="Input 28 5 5 2" xfId="36916"/>
    <cellStyle name="Input 28 5 6" xfId="25713"/>
    <cellStyle name="Input 28 5 6 2" xfId="34480"/>
    <cellStyle name="Input 28 5 7" xfId="28287"/>
    <cellStyle name="Input 28 5 7 2" xfId="37046"/>
    <cellStyle name="Input 28 5 8" xfId="25624"/>
    <cellStyle name="Input 28 5 8 2" xfId="34391"/>
    <cellStyle name="Input 28 5 9" xfId="26723"/>
    <cellStyle name="Input 28 5 9 2" xfId="35486"/>
    <cellStyle name="Input 28 6" xfId="27057"/>
    <cellStyle name="Input 28 6 2" xfId="35817"/>
    <cellStyle name="Input 28 7" xfId="28068"/>
    <cellStyle name="Input 28 7 2" xfId="36827"/>
    <cellStyle name="Input 28 8" xfId="26995"/>
    <cellStyle name="Input 28 8 2" xfId="35755"/>
    <cellStyle name="Input 28 9" xfId="26571"/>
    <cellStyle name="Input 28 9 2" xfId="35336"/>
    <cellStyle name="Input 29" xfId="4493"/>
    <cellStyle name="Input 29 10" xfId="25192"/>
    <cellStyle name="Input 29 10 2" xfId="33963"/>
    <cellStyle name="Input 29 11" xfId="28530"/>
    <cellStyle name="Input 29 11 2" xfId="37286"/>
    <cellStyle name="Input 29 12" xfId="28940"/>
    <cellStyle name="Input 29 12 2" xfId="37695"/>
    <cellStyle name="Input 29 13" xfId="27344"/>
    <cellStyle name="Input 29 13 2" xfId="36104"/>
    <cellStyle name="Input 29 14" xfId="32700"/>
    <cellStyle name="Input 29 15" xfId="41758"/>
    <cellStyle name="Input 29 2" xfId="6112"/>
    <cellStyle name="Input 29 2 10" xfId="28700"/>
    <cellStyle name="Input 29 2 10 2" xfId="37456"/>
    <cellStyle name="Input 29 2 11" xfId="26575"/>
    <cellStyle name="Input 29 2 11 2" xfId="35340"/>
    <cellStyle name="Input 29 2 12" xfId="28415"/>
    <cellStyle name="Input 29 2 12 2" xfId="37172"/>
    <cellStyle name="Input 29 2 13" xfId="30165"/>
    <cellStyle name="Input 29 2 13 2" xfId="38919"/>
    <cellStyle name="Input 29 2 14" xfId="30576"/>
    <cellStyle name="Input 29 2 14 2" xfId="39330"/>
    <cellStyle name="Input 29 2 15" xfId="41759"/>
    <cellStyle name="Input 29 2 16" xfId="43344"/>
    <cellStyle name="Input 29 2 17" xfId="43869"/>
    <cellStyle name="Input 29 2 2" xfId="18216"/>
    <cellStyle name="Input 29 2 2 10" xfId="25962"/>
    <cellStyle name="Input 29 2 2 10 2" xfId="34728"/>
    <cellStyle name="Input 29 2 2 11" xfId="27905"/>
    <cellStyle name="Input 29 2 2 11 2" xfId="36665"/>
    <cellStyle name="Input 29 2 2 12" xfId="32960"/>
    <cellStyle name="Input 29 2 2 2" xfId="24486"/>
    <cellStyle name="Input 29 2 2 2 10" xfId="32239"/>
    <cellStyle name="Input 29 2 2 2 10 2" xfId="40993"/>
    <cellStyle name="Input 29 2 2 2 11" xfId="33314"/>
    <cellStyle name="Input 29 2 2 2 2" xfId="29094"/>
    <cellStyle name="Input 29 2 2 2 2 2" xfId="37848"/>
    <cellStyle name="Input 29 2 2 2 3" xfId="29507"/>
    <cellStyle name="Input 29 2 2 2 3 2" xfId="38261"/>
    <cellStyle name="Input 29 2 2 2 4" xfId="29927"/>
    <cellStyle name="Input 29 2 2 2 4 2" xfId="38681"/>
    <cellStyle name="Input 29 2 2 2 5" xfId="30346"/>
    <cellStyle name="Input 29 2 2 2 5 2" xfId="39100"/>
    <cellStyle name="Input 29 2 2 2 6" xfId="30747"/>
    <cellStyle name="Input 29 2 2 2 6 2" xfId="39501"/>
    <cellStyle name="Input 29 2 2 2 7" xfId="31133"/>
    <cellStyle name="Input 29 2 2 2 7 2" xfId="39887"/>
    <cellStyle name="Input 29 2 2 2 8" xfId="31511"/>
    <cellStyle name="Input 29 2 2 2 8 2" xfId="40265"/>
    <cellStyle name="Input 29 2 2 2 9" xfId="31877"/>
    <cellStyle name="Input 29 2 2 2 9 2" xfId="40631"/>
    <cellStyle name="Input 29 2 2 3" xfId="27706"/>
    <cellStyle name="Input 29 2 2 3 2" xfId="36466"/>
    <cellStyle name="Input 29 2 2 4" xfId="2891"/>
    <cellStyle name="Input 29 2 2 4 2" xfId="32677"/>
    <cellStyle name="Input 29 2 2 5" xfId="28588"/>
    <cellStyle name="Input 29 2 2 5 2" xfId="37344"/>
    <cellStyle name="Input 29 2 2 6" xfId="26208"/>
    <cellStyle name="Input 29 2 2 6 2" xfId="34974"/>
    <cellStyle name="Input 29 2 2 7" xfId="25692"/>
    <cellStyle name="Input 29 2 2 7 2" xfId="34459"/>
    <cellStyle name="Input 29 2 2 8" xfId="26153"/>
    <cellStyle name="Input 29 2 2 8 2" xfId="34919"/>
    <cellStyle name="Input 29 2 2 9" xfId="28375"/>
    <cellStyle name="Input 29 2 2 9 2" xfId="37133"/>
    <cellStyle name="Input 29 2 3" xfId="20561"/>
    <cellStyle name="Input 29 2 3 10" xfId="27044"/>
    <cellStyle name="Input 29 2 3 10 2" xfId="35804"/>
    <cellStyle name="Input 29 2 3 11" xfId="26084"/>
    <cellStyle name="Input 29 2 3 11 2" xfId="34850"/>
    <cellStyle name="Input 29 2 3 12" xfId="33043"/>
    <cellStyle name="Input 29 2 3 2" xfId="24590"/>
    <cellStyle name="Input 29 2 3 2 10" xfId="32324"/>
    <cellStyle name="Input 29 2 3 2 10 2" xfId="41078"/>
    <cellStyle name="Input 29 2 3 2 11" xfId="33399"/>
    <cellStyle name="Input 29 2 3 2 2" xfId="29183"/>
    <cellStyle name="Input 29 2 3 2 2 2" xfId="37937"/>
    <cellStyle name="Input 29 2 3 2 3" xfId="29593"/>
    <cellStyle name="Input 29 2 3 2 3 2" xfId="38347"/>
    <cellStyle name="Input 29 2 3 2 4" xfId="30015"/>
    <cellStyle name="Input 29 2 3 2 4 2" xfId="38769"/>
    <cellStyle name="Input 29 2 3 2 5" xfId="30432"/>
    <cellStyle name="Input 29 2 3 2 5 2" xfId="39186"/>
    <cellStyle name="Input 29 2 3 2 6" xfId="30833"/>
    <cellStyle name="Input 29 2 3 2 6 2" xfId="39587"/>
    <cellStyle name="Input 29 2 3 2 7" xfId="31219"/>
    <cellStyle name="Input 29 2 3 2 7 2" xfId="39973"/>
    <cellStyle name="Input 29 2 3 2 8" xfId="31596"/>
    <cellStyle name="Input 29 2 3 2 8 2" xfId="40350"/>
    <cellStyle name="Input 29 2 3 2 9" xfId="31962"/>
    <cellStyle name="Input 29 2 3 2 9 2" xfId="40716"/>
    <cellStyle name="Input 29 2 3 3" xfId="28188"/>
    <cellStyle name="Input 29 2 3 3 2" xfId="36947"/>
    <cellStyle name="Input 29 2 3 4" xfId="27516"/>
    <cellStyle name="Input 29 2 3 4 2" xfId="36276"/>
    <cellStyle name="Input 29 2 3 5" xfId="25082"/>
    <cellStyle name="Input 29 2 3 5 2" xfId="33854"/>
    <cellStyle name="Input 29 2 3 6" xfId="26218"/>
    <cellStyle name="Input 29 2 3 6 2" xfId="34984"/>
    <cellStyle name="Input 29 2 3 7" xfId="28007"/>
    <cellStyle name="Input 29 2 3 7 2" xfId="36766"/>
    <cellStyle name="Input 29 2 3 8" xfId="26127"/>
    <cellStyle name="Input 29 2 3 8 2" xfId="34893"/>
    <cellStyle name="Input 29 2 3 9" xfId="26748"/>
    <cellStyle name="Input 29 2 3 9 2" xfId="35510"/>
    <cellStyle name="Input 29 2 4" xfId="15062"/>
    <cellStyle name="Input 29 2 4 10" xfId="27562"/>
    <cellStyle name="Input 29 2 4 10 2" xfId="36322"/>
    <cellStyle name="Input 29 2 4 11" xfId="32861"/>
    <cellStyle name="Input 29 2 4 2" xfId="27123"/>
    <cellStyle name="Input 29 2 4 2 2" xfId="35883"/>
    <cellStyle name="Input 29 2 4 3" xfId="28320"/>
    <cellStyle name="Input 29 2 4 3 2" xfId="37079"/>
    <cellStyle name="Input 29 2 4 4" xfId="26505"/>
    <cellStyle name="Input 29 2 4 4 2" xfId="35270"/>
    <cellStyle name="Input 29 2 4 5" xfId="26674"/>
    <cellStyle name="Input 29 2 4 5 2" xfId="35438"/>
    <cellStyle name="Input 29 2 4 6" xfId="27188"/>
    <cellStyle name="Input 29 2 4 6 2" xfId="35948"/>
    <cellStyle name="Input 29 2 4 7" xfId="25691"/>
    <cellStyle name="Input 29 2 4 7 2" xfId="34458"/>
    <cellStyle name="Input 29 2 4 8" xfId="27796"/>
    <cellStyle name="Input 29 2 4 8 2" xfId="36556"/>
    <cellStyle name="Input 29 2 4 9" xfId="27276"/>
    <cellStyle name="Input 29 2 4 9 2" xfId="36036"/>
    <cellStyle name="Input 29 2 5" xfId="24351"/>
    <cellStyle name="Input 29 2 5 10" xfId="32135"/>
    <cellStyle name="Input 29 2 5 10 2" xfId="40889"/>
    <cellStyle name="Input 29 2 5 11" xfId="33210"/>
    <cellStyle name="Input 29 2 5 2" xfId="28986"/>
    <cellStyle name="Input 29 2 5 2 2" xfId="37740"/>
    <cellStyle name="Input 29 2 5 3" xfId="29399"/>
    <cellStyle name="Input 29 2 5 3 2" xfId="38153"/>
    <cellStyle name="Input 29 2 5 4" xfId="29823"/>
    <cellStyle name="Input 29 2 5 4 2" xfId="38577"/>
    <cellStyle name="Input 29 2 5 5" xfId="30238"/>
    <cellStyle name="Input 29 2 5 5 2" xfId="38992"/>
    <cellStyle name="Input 29 2 5 6" xfId="30639"/>
    <cellStyle name="Input 29 2 5 6 2" xfId="39393"/>
    <cellStyle name="Input 29 2 5 7" xfId="31026"/>
    <cellStyle name="Input 29 2 5 7 2" xfId="39780"/>
    <cellStyle name="Input 29 2 5 8" xfId="31405"/>
    <cellStyle name="Input 29 2 5 8 2" xfId="40159"/>
    <cellStyle name="Input 29 2 5 9" xfId="31773"/>
    <cellStyle name="Input 29 2 5 9 2" xfId="40527"/>
    <cellStyle name="Input 29 2 6" xfId="25571"/>
    <cellStyle name="Input 29 2 6 2" xfId="34338"/>
    <cellStyle name="Input 29 2 7" xfId="28500"/>
    <cellStyle name="Input 29 2 7 2" xfId="37256"/>
    <cellStyle name="Input 29 2 8" xfId="28466"/>
    <cellStyle name="Input 29 2 8 2" xfId="37223"/>
    <cellStyle name="Input 29 2 9" xfId="25793"/>
    <cellStyle name="Input 29 2 9 2" xfId="34560"/>
    <cellStyle name="Input 29 3" xfId="14028"/>
    <cellStyle name="Input 29 3 10" xfId="24871"/>
    <cellStyle name="Input 29 3 10 2" xfId="33645"/>
    <cellStyle name="Input 29 3 11" xfId="28542"/>
    <cellStyle name="Input 29 3 11 2" xfId="37298"/>
    <cellStyle name="Input 29 3 12" xfId="32844"/>
    <cellStyle name="Input 29 3 2" xfId="24312"/>
    <cellStyle name="Input 29 3 2 10" xfId="32116"/>
    <cellStyle name="Input 29 3 2 10 2" xfId="40870"/>
    <cellStyle name="Input 29 3 2 11" xfId="33191"/>
    <cellStyle name="Input 29 3 2 2" xfId="28964"/>
    <cellStyle name="Input 29 3 2 2 2" xfId="37718"/>
    <cellStyle name="Input 29 3 2 3" xfId="29377"/>
    <cellStyle name="Input 29 3 2 3 2" xfId="38131"/>
    <cellStyle name="Input 29 3 2 4" xfId="29802"/>
    <cellStyle name="Input 29 3 2 4 2" xfId="38556"/>
    <cellStyle name="Input 29 3 2 5" xfId="30217"/>
    <cellStyle name="Input 29 3 2 5 2" xfId="38971"/>
    <cellStyle name="Input 29 3 2 6" xfId="30618"/>
    <cellStyle name="Input 29 3 2 6 2" xfId="39372"/>
    <cellStyle name="Input 29 3 2 7" xfId="31005"/>
    <cellStyle name="Input 29 3 2 7 2" xfId="39759"/>
    <cellStyle name="Input 29 3 2 8" xfId="31385"/>
    <cellStyle name="Input 29 3 2 8 2" xfId="40139"/>
    <cellStyle name="Input 29 3 2 9" xfId="31753"/>
    <cellStyle name="Input 29 3 2 9 2" xfId="40507"/>
    <cellStyle name="Input 29 3 3" xfId="26921"/>
    <cellStyle name="Input 29 3 3 2" xfId="35681"/>
    <cellStyle name="Input 29 3 4" xfId="26705"/>
    <cellStyle name="Input 29 3 4 2" xfId="35468"/>
    <cellStyle name="Input 29 3 5" xfId="25030"/>
    <cellStyle name="Input 29 3 5 2" xfId="33804"/>
    <cellStyle name="Input 29 3 6" xfId="27228"/>
    <cellStyle name="Input 29 3 6 2" xfId="35988"/>
    <cellStyle name="Input 29 3 7" xfId="27111"/>
    <cellStyle name="Input 29 3 7 2" xfId="35871"/>
    <cellStyle name="Input 29 3 8" xfId="26075"/>
    <cellStyle name="Input 29 3 8 2" xfId="34841"/>
    <cellStyle name="Input 29 3 9" xfId="27231"/>
    <cellStyle name="Input 29 3 9 2" xfId="35991"/>
    <cellStyle name="Input 29 4" xfId="18160"/>
    <cellStyle name="Input 29 4 10" xfId="28702"/>
    <cellStyle name="Input 29 4 10 2" xfId="37458"/>
    <cellStyle name="Input 29 4 11" xfId="30168"/>
    <cellStyle name="Input 29 4 11 2" xfId="38922"/>
    <cellStyle name="Input 29 4 12" xfId="32904"/>
    <cellStyle name="Input 29 4 2" xfId="24430"/>
    <cellStyle name="Input 29 4 2 10" xfId="32183"/>
    <cellStyle name="Input 29 4 2 10 2" xfId="40937"/>
    <cellStyle name="Input 29 4 2 11" xfId="33258"/>
    <cellStyle name="Input 29 4 2 2" xfId="29038"/>
    <cellStyle name="Input 29 4 2 2 2" xfId="37792"/>
    <cellStyle name="Input 29 4 2 3" xfId="29451"/>
    <cellStyle name="Input 29 4 2 3 2" xfId="38205"/>
    <cellStyle name="Input 29 4 2 4" xfId="29871"/>
    <cellStyle name="Input 29 4 2 4 2" xfId="38625"/>
    <cellStyle name="Input 29 4 2 5" xfId="30290"/>
    <cellStyle name="Input 29 4 2 5 2" xfId="39044"/>
    <cellStyle name="Input 29 4 2 6" xfId="30691"/>
    <cellStyle name="Input 29 4 2 6 2" xfId="39445"/>
    <cellStyle name="Input 29 4 2 7" xfId="31077"/>
    <cellStyle name="Input 29 4 2 7 2" xfId="39831"/>
    <cellStyle name="Input 29 4 2 8" xfId="31455"/>
    <cellStyle name="Input 29 4 2 8 2" xfId="40209"/>
    <cellStyle name="Input 29 4 2 9" xfId="31821"/>
    <cellStyle name="Input 29 4 2 9 2" xfId="40575"/>
    <cellStyle name="Input 29 4 3" xfId="27650"/>
    <cellStyle name="Input 29 4 3 2" xfId="36410"/>
    <cellStyle name="Input 29 4 4" xfId="26215"/>
    <cellStyle name="Input 29 4 4 2" xfId="34981"/>
    <cellStyle name="Input 29 4 5" xfId="28440"/>
    <cellStyle name="Input 29 4 5 2" xfId="37197"/>
    <cellStyle name="Input 29 4 6" xfId="26617"/>
    <cellStyle name="Input 29 4 6 2" xfId="35382"/>
    <cellStyle name="Input 29 4 7" xfId="28593"/>
    <cellStyle name="Input 29 4 7 2" xfId="37349"/>
    <cellStyle name="Input 29 4 8" xfId="26269"/>
    <cellStyle name="Input 29 4 8 2" xfId="35035"/>
    <cellStyle name="Input 29 4 9" xfId="28407"/>
    <cellStyle name="Input 29 4 9 2" xfId="37164"/>
    <cellStyle name="Input 29 5" xfId="23602"/>
    <cellStyle name="Input 29 5 10" xfId="28923"/>
    <cellStyle name="Input 29 5 10 2" xfId="37678"/>
    <cellStyle name="Input 29 5 11" xfId="25443"/>
    <cellStyle name="Input 29 5 11 2" xfId="34212"/>
    <cellStyle name="Input 29 5 12" xfId="33072"/>
    <cellStyle name="Input 29 5 2" xfId="24657"/>
    <cellStyle name="Input 29 5 2 10" xfId="32358"/>
    <cellStyle name="Input 29 5 2 10 2" xfId="41112"/>
    <cellStyle name="Input 29 5 2 11" xfId="33433"/>
    <cellStyle name="Input 29 5 2 2" xfId="29222"/>
    <cellStyle name="Input 29 5 2 2 2" xfId="37976"/>
    <cellStyle name="Input 29 5 2 3" xfId="29632"/>
    <cellStyle name="Input 29 5 2 3 2" xfId="38386"/>
    <cellStyle name="Input 29 5 2 4" xfId="30052"/>
    <cellStyle name="Input 29 5 2 4 2" xfId="38806"/>
    <cellStyle name="Input 29 5 2 5" xfId="30468"/>
    <cellStyle name="Input 29 5 2 5 2" xfId="39222"/>
    <cellStyle name="Input 29 5 2 6" xfId="30869"/>
    <cellStyle name="Input 29 5 2 6 2" xfId="39623"/>
    <cellStyle name="Input 29 5 2 7" xfId="31255"/>
    <cellStyle name="Input 29 5 2 7 2" xfId="40009"/>
    <cellStyle name="Input 29 5 2 8" xfId="31631"/>
    <cellStyle name="Input 29 5 2 8 2" xfId="40385"/>
    <cellStyle name="Input 29 5 2 9" xfId="31997"/>
    <cellStyle name="Input 29 5 2 9 2" xfId="40751"/>
    <cellStyle name="Input 29 5 3" xfId="28718"/>
    <cellStyle name="Input 29 5 3 2" xfId="37474"/>
    <cellStyle name="Input 29 5 4" xfId="24898"/>
    <cellStyle name="Input 29 5 4 2" xfId="33672"/>
    <cellStyle name="Input 29 5 5" xfId="27260"/>
    <cellStyle name="Input 29 5 5 2" xfId="36020"/>
    <cellStyle name="Input 29 5 6" xfId="27811"/>
    <cellStyle name="Input 29 5 6 2" xfId="36571"/>
    <cellStyle name="Input 29 5 7" xfId="2399"/>
    <cellStyle name="Input 29 5 7 2" xfId="32644"/>
    <cellStyle name="Input 29 5 8" xfId="26611"/>
    <cellStyle name="Input 29 5 8 2" xfId="35376"/>
    <cellStyle name="Input 29 5 9" xfId="2393"/>
    <cellStyle name="Input 29 5 9 2" xfId="32642"/>
    <cellStyle name="Input 29 6" xfId="27255"/>
    <cellStyle name="Input 29 6 2" xfId="36015"/>
    <cellStyle name="Input 29 7" xfId="25649"/>
    <cellStyle name="Input 29 7 2" xfId="34416"/>
    <cellStyle name="Input 29 8" xfId="26521"/>
    <cellStyle name="Input 29 8 2" xfId="35286"/>
    <cellStyle name="Input 29 9" xfId="28096"/>
    <cellStyle name="Input 29 9 2" xfId="36855"/>
    <cellStyle name="Input 3" xfId="631"/>
    <cellStyle name="Input 3 10" xfId="29758"/>
    <cellStyle name="Input 3 10 2" xfId="38512"/>
    <cellStyle name="Input 3 11" xfId="27996"/>
    <cellStyle name="Input 3 11 2" xfId="36756"/>
    <cellStyle name="Input 3 12" xfId="27951"/>
    <cellStyle name="Input 3 12 2" xfId="36711"/>
    <cellStyle name="Input 3 13" xfId="26320"/>
    <cellStyle name="Input 3 13 2" xfId="35086"/>
    <cellStyle name="Input 3 14" xfId="26988"/>
    <cellStyle name="Input 3 14 2" xfId="35748"/>
    <cellStyle name="Input 3 15" xfId="41760"/>
    <cellStyle name="Input 3 16" xfId="44148"/>
    <cellStyle name="Input 3 2" xfId="1576"/>
    <cellStyle name="Input 3 2 10" xfId="26384"/>
    <cellStyle name="Input 3 2 10 2" xfId="35150"/>
    <cellStyle name="Input 3 2 11" xfId="27793"/>
    <cellStyle name="Input 3 2 11 2" xfId="36553"/>
    <cellStyle name="Input 3 2 12" xfId="41761"/>
    <cellStyle name="Input 3 2 2" xfId="9387"/>
    <cellStyle name="Input 3 2 2 10" xfId="26952"/>
    <cellStyle name="Input 3 2 2 10 2" xfId="35712"/>
    <cellStyle name="Input 3 2 2 11" xfId="28504"/>
    <cellStyle name="Input 3 2 2 11 2" xfId="37260"/>
    <cellStyle name="Input 3 2 2 12" xfId="32790"/>
    <cellStyle name="Input 3 2 2 13" xfId="41762"/>
    <cellStyle name="Input 3 2 2 2" xfId="18271"/>
    <cellStyle name="Input 3 2 2 2 10" xfId="25760"/>
    <cellStyle name="Input 3 2 2 2 10 2" xfId="34527"/>
    <cellStyle name="Input 3 2 2 2 11" xfId="28551"/>
    <cellStyle name="Input 3 2 2 2 11 2" xfId="37307"/>
    <cellStyle name="Input 3 2 2 2 12" xfId="33015"/>
    <cellStyle name="Input 3 2 2 2 13" xfId="41763"/>
    <cellStyle name="Input 3 2 2 2 14" xfId="43343"/>
    <cellStyle name="Input 3 2 2 2 15" xfId="43870"/>
    <cellStyle name="Input 3 2 2 2 2" xfId="24541"/>
    <cellStyle name="Input 3 2 2 2 2 10" xfId="32294"/>
    <cellStyle name="Input 3 2 2 2 2 10 2" xfId="41048"/>
    <cellStyle name="Input 3 2 2 2 2 11" xfId="33369"/>
    <cellStyle name="Input 3 2 2 2 2 12" xfId="41764"/>
    <cellStyle name="Input 3 2 2 2 2 13" xfId="43342"/>
    <cellStyle name="Input 3 2 2 2 2 14" xfId="43871"/>
    <cellStyle name="Input 3 2 2 2 2 2" xfId="29149"/>
    <cellStyle name="Input 3 2 2 2 2 2 2" xfId="37903"/>
    <cellStyle name="Input 3 2 2 2 2 3" xfId="29562"/>
    <cellStyle name="Input 3 2 2 2 2 3 2" xfId="38316"/>
    <cellStyle name="Input 3 2 2 2 2 4" xfId="29982"/>
    <cellStyle name="Input 3 2 2 2 2 4 2" xfId="38736"/>
    <cellStyle name="Input 3 2 2 2 2 5" xfId="30401"/>
    <cellStyle name="Input 3 2 2 2 2 5 2" xfId="39155"/>
    <cellStyle name="Input 3 2 2 2 2 6" xfId="30802"/>
    <cellStyle name="Input 3 2 2 2 2 6 2" xfId="39556"/>
    <cellStyle name="Input 3 2 2 2 2 7" xfId="31188"/>
    <cellStyle name="Input 3 2 2 2 2 7 2" xfId="39942"/>
    <cellStyle name="Input 3 2 2 2 2 8" xfId="31566"/>
    <cellStyle name="Input 3 2 2 2 2 8 2" xfId="40320"/>
    <cellStyle name="Input 3 2 2 2 2 9" xfId="31932"/>
    <cellStyle name="Input 3 2 2 2 2 9 2" xfId="40686"/>
    <cellStyle name="Input 3 2 2 2 3" xfId="27761"/>
    <cellStyle name="Input 3 2 2 2 3 2" xfId="36521"/>
    <cellStyle name="Input 3 2 2 2 4" xfId="27922"/>
    <cellStyle name="Input 3 2 2 2 4 2" xfId="36682"/>
    <cellStyle name="Input 3 2 2 2 5" xfId="28035"/>
    <cellStyle name="Input 3 2 2 2 5 2" xfId="36794"/>
    <cellStyle name="Input 3 2 2 2 6" xfId="26994"/>
    <cellStyle name="Input 3 2 2 2 6 2" xfId="35754"/>
    <cellStyle name="Input 3 2 2 2 7" xfId="25209"/>
    <cellStyle name="Input 3 2 2 2 7 2" xfId="33980"/>
    <cellStyle name="Input 3 2 2 2 8" xfId="27154"/>
    <cellStyle name="Input 3 2 2 2 8 2" xfId="35914"/>
    <cellStyle name="Input 3 2 2 2 9" xfId="27027"/>
    <cellStyle name="Input 3 2 2 2 9 2" xfId="35787"/>
    <cellStyle name="Input 3 2 2 3" xfId="23682"/>
    <cellStyle name="Input 3 2 2 3 10" xfId="30596"/>
    <cellStyle name="Input 3 2 2 3 10 2" xfId="39350"/>
    <cellStyle name="Input 3 2 2 3 11" xfId="30985"/>
    <cellStyle name="Input 3 2 2 3 11 2" xfId="39739"/>
    <cellStyle name="Input 3 2 2 3 12" xfId="33152"/>
    <cellStyle name="Input 3 2 2 3 2" xfId="24737"/>
    <cellStyle name="Input 3 2 2 3 2 10" xfId="32438"/>
    <cellStyle name="Input 3 2 2 3 2 10 2" xfId="41192"/>
    <cellStyle name="Input 3 2 2 3 2 11" xfId="33513"/>
    <cellStyle name="Input 3 2 2 3 2 2" xfId="29302"/>
    <cellStyle name="Input 3 2 2 3 2 2 2" xfId="38056"/>
    <cellStyle name="Input 3 2 2 3 2 3" xfId="29712"/>
    <cellStyle name="Input 3 2 2 3 2 3 2" xfId="38466"/>
    <cellStyle name="Input 3 2 2 3 2 4" xfId="30132"/>
    <cellStyle name="Input 3 2 2 3 2 4 2" xfId="38886"/>
    <cellStyle name="Input 3 2 2 3 2 5" xfId="30548"/>
    <cellStyle name="Input 3 2 2 3 2 5 2" xfId="39302"/>
    <cellStyle name="Input 3 2 2 3 2 6" xfId="30949"/>
    <cellStyle name="Input 3 2 2 3 2 6 2" xfId="39703"/>
    <cellStyle name="Input 3 2 2 3 2 7" xfId="31335"/>
    <cellStyle name="Input 3 2 2 3 2 7 2" xfId="40089"/>
    <cellStyle name="Input 3 2 2 3 2 8" xfId="31711"/>
    <cellStyle name="Input 3 2 2 3 2 8 2" xfId="40465"/>
    <cellStyle name="Input 3 2 2 3 2 9" xfId="32077"/>
    <cellStyle name="Input 3 2 2 3 2 9 2" xfId="40831"/>
    <cellStyle name="Input 3 2 2 3 3" xfId="28798"/>
    <cellStyle name="Input 3 2 2 3 3 2" xfId="37554"/>
    <cellStyle name="Input 3 2 2 3 4" xfId="1736"/>
    <cellStyle name="Input 3 2 2 3 4 2" xfId="32546"/>
    <cellStyle name="Input 3 2 2 3 5" xfId="26550"/>
    <cellStyle name="Input 3 2 2 3 5 2" xfId="35315"/>
    <cellStyle name="Input 3 2 2 3 6" xfId="1762"/>
    <cellStyle name="Input 3 2 2 3 6 2" xfId="32570"/>
    <cellStyle name="Input 3 2 2 3 7" xfId="27510"/>
    <cellStyle name="Input 3 2 2 3 7 2" xfId="36270"/>
    <cellStyle name="Input 3 2 2 3 8" xfId="28636"/>
    <cellStyle name="Input 3 2 2 3 8 2" xfId="37392"/>
    <cellStyle name="Input 3 2 2 3 9" xfId="30193"/>
    <cellStyle name="Input 3 2 2 3 9 2" xfId="38947"/>
    <cellStyle name="Input 3 2 2 4" xfId="28060"/>
    <cellStyle name="Input 3 2 2 4 2" xfId="36819"/>
    <cellStyle name="Input 3 2 2 5" xfId="24869"/>
    <cellStyle name="Input 3 2 2 5 2" xfId="33643"/>
    <cellStyle name="Input 3 2 2 6" xfId="25766"/>
    <cellStyle name="Input 3 2 2 6 2" xfId="34533"/>
    <cellStyle name="Input 3 2 2 7" xfId="2420"/>
    <cellStyle name="Input 3 2 2 7 2" xfId="32647"/>
    <cellStyle name="Input 3 2 2 8" xfId="24936"/>
    <cellStyle name="Input 3 2 2 8 2" xfId="33710"/>
    <cellStyle name="Input 3 2 2 9" xfId="28946"/>
    <cellStyle name="Input 3 2 2 9 2" xfId="37701"/>
    <cellStyle name="Input 3 2 3" xfId="24764"/>
    <cellStyle name="Input 3 2 3 2" xfId="33540"/>
    <cellStyle name="Input 3 2 4" xfId="25536"/>
    <cellStyle name="Input 3 2 4 2" xfId="34303"/>
    <cellStyle name="Input 3 2 5" xfId="26452"/>
    <cellStyle name="Input 3 2 5 2" xfId="35217"/>
    <cellStyle name="Input 3 2 6" xfId="27969"/>
    <cellStyle name="Input 3 2 6 2" xfId="36729"/>
    <cellStyle name="Input 3 2 7" xfId="26053"/>
    <cellStyle name="Input 3 2 7 2" xfId="34819"/>
    <cellStyle name="Input 3 2 8" xfId="25211"/>
    <cellStyle name="Input 3 2 8 2" xfId="33982"/>
    <cellStyle name="Input 3 2 9" xfId="27992"/>
    <cellStyle name="Input 3 2 9 2" xfId="36752"/>
    <cellStyle name="Input 3 3" xfId="912"/>
    <cellStyle name="Input 3 3 10" xfId="26960"/>
    <cellStyle name="Input 3 3 10 2" xfId="35720"/>
    <cellStyle name="Input 3 3 11" xfId="26421"/>
    <cellStyle name="Input 3 3 11 2" xfId="35186"/>
    <cellStyle name="Input 3 3 12" xfId="41765"/>
    <cellStyle name="Input 3 3 2" xfId="9447"/>
    <cellStyle name="Input 3 3 2 10" xfId="27834"/>
    <cellStyle name="Input 3 3 2 10 2" xfId="36594"/>
    <cellStyle name="Input 3 3 2 11" xfId="25484"/>
    <cellStyle name="Input 3 3 2 11 2" xfId="34253"/>
    <cellStyle name="Input 3 3 2 12" xfId="32798"/>
    <cellStyle name="Input 3 3 2 13" xfId="41766"/>
    <cellStyle name="Input 3 3 2 2" xfId="18279"/>
    <cellStyle name="Input 3 3 2 2 10" xfId="27987"/>
    <cellStyle name="Input 3 3 2 2 10 2" xfId="36747"/>
    <cellStyle name="Input 3 3 2 2 11" xfId="28002"/>
    <cellStyle name="Input 3 3 2 2 11 2" xfId="36761"/>
    <cellStyle name="Input 3 3 2 2 12" xfId="33023"/>
    <cellStyle name="Input 3 3 2 2 13" xfId="41767"/>
    <cellStyle name="Input 3 3 2 2 14" xfId="43341"/>
    <cellStyle name="Input 3 3 2 2 15" xfId="43872"/>
    <cellStyle name="Input 3 3 2 2 2" xfId="24549"/>
    <cellStyle name="Input 3 3 2 2 2 10" xfId="32302"/>
    <cellStyle name="Input 3 3 2 2 2 10 2" xfId="41056"/>
    <cellStyle name="Input 3 3 2 2 2 11" xfId="33377"/>
    <cellStyle name="Input 3 3 2 2 2 12" xfId="41768"/>
    <cellStyle name="Input 3 3 2 2 2 13" xfId="43340"/>
    <cellStyle name="Input 3 3 2 2 2 14" xfId="43873"/>
    <cellStyle name="Input 3 3 2 2 2 2" xfId="29157"/>
    <cellStyle name="Input 3 3 2 2 2 2 2" xfId="37911"/>
    <cellStyle name="Input 3 3 2 2 2 3" xfId="29570"/>
    <cellStyle name="Input 3 3 2 2 2 3 2" xfId="38324"/>
    <cellStyle name="Input 3 3 2 2 2 4" xfId="29990"/>
    <cellStyle name="Input 3 3 2 2 2 4 2" xfId="38744"/>
    <cellStyle name="Input 3 3 2 2 2 5" xfId="30409"/>
    <cellStyle name="Input 3 3 2 2 2 5 2" xfId="39163"/>
    <cellStyle name="Input 3 3 2 2 2 6" xfId="30810"/>
    <cellStyle name="Input 3 3 2 2 2 6 2" xfId="39564"/>
    <cellStyle name="Input 3 3 2 2 2 7" xfId="31196"/>
    <cellStyle name="Input 3 3 2 2 2 7 2" xfId="39950"/>
    <cellStyle name="Input 3 3 2 2 2 8" xfId="31574"/>
    <cellStyle name="Input 3 3 2 2 2 8 2" xfId="40328"/>
    <cellStyle name="Input 3 3 2 2 2 9" xfId="31940"/>
    <cellStyle name="Input 3 3 2 2 2 9 2" xfId="40694"/>
    <cellStyle name="Input 3 3 2 2 3" xfId="27769"/>
    <cellStyle name="Input 3 3 2 2 3 2" xfId="36529"/>
    <cellStyle name="Input 3 3 2 2 4" xfId="27918"/>
    <cellStyle name="Input 3 3 2 2 4 2" xfId="36678"/>
    <cellStyle name="Input 3 3 2 2 5" xfId="26404"/>
    <cellStyle name="Input 3 3 2 2 5 2" xfId="35170"/>
    <cellStyle name="Input 3 3 2 2 6" xfId="27270"/>
    <cellStyle name="Input 3 3 2 2 6 2" xfId="36030"/>
    <cellStyle name="Input 3 3 2 2 7" xfId="28421"/>
    <cellStyle name="Input 3 3 2 2 7 2" xfId="37178"/>
    <cellStyle name="Input 3 3 2 2 8" xfId="1757"/>
    <cellStyle name="Input 3 3 2 2 8 2" xfId="32565"/>
    <cellStyle name="Input 3 3 2 2 9" xfId="28289"/>
    <cellStyle name="Input 3 3 2 2 9 2" xfId="37048"/>
    <cellStyle name="Input 3 3 2 3" xfId="23690"/>
    <cellStyle name="Input 3 3 2 3 10" xfId="25811"/>
    <cellStyle name="Input 3 3 2 3 10 2" xfId="34578"/>
    <cellStyle name="Input 3 3 2 3 11" xfId="28849"/>
    <cellStyle name="Input 3 3 2 3 11 2" xfId="37605"/>
    <cellStyle name="Input 3 3 2 3 12" xfId="33160"/>
    <cellStyle name="Input 3 3 2 3 2" xfId="24745"/>
    <cellStyle name="Input 3 3 2 3 2 10" xfId="32446"/>
    <cellStyle name="Input 3 3 2 3 2 10 2" xfId="41200"/>
    <cellStyle name="Input 3 3 2 3 2 11" xfId="33521"/>
    <cellStyle name="Input 3 3 2 3 2 2" xfId="29310"/>
    <cellStyle name="Input 3 3 2 3 2 2 2" xfId="38064"/>
    <cellStyle name="Input 3 3 2 3 2 3" xfId="29720"/>
    <cellStyle name="Input 3 3 2 3 2 3 2" xfId="38474"/>
    <cellStyle name="Input 3 3 2 3 2 4" xfId="30140"/>
    <cellStyle name="Input 3 3 2 3 2 4 2" xfId="38894"/>
    <cellStyle name="Input 3 3 2 3 2 5" xfId="30556"/>
    <cellStyle name="Input 3 3 2 3 2 5 2" xfId="39310"/>
    <cellStyle name="Input 3 3 2 3 2 6" xfId="30957"/>
    <cellStyle name="Input 3 3 2 3 2 6 2" xfId="39711"/>
    <cellStyle name="Input 3 3 2 3 2 7" xfId="31343"/>
    <cellStyle name="Input 3 3 2 3 2 7 2" xfId="40097"/>
    <cellStyle name="Input 3 3 2 3 2 8" xfId="31719"/>
    <cellStyle name="Input 3 3 2 3 2 8 2" xfId="40473"/>
    <cellStyle name="Input 3 3 2 3 2 9" xfId="32085"/>
    <cellStyle name="Input 3 3 2 3 2 9 2" xfId="40839"/>
    <cellStyle name="Input 3 3 2 3 3" xfId="28806"/>
    <cellStyle name="Input 3 3 2 3 3 2" xfId="37562"/>
    <cellStyle name="Input 3 3 2 3 4" xfId="24977"/>
    <cellStyle name="Input 3 3 2 3 4 2" xfId="33751"/>
    <cellStyle name="Input 3 3 2 3 5" xfId="26720"/>
    <cellStyle name="Input 3 3 2 3 5 2" xfId="35483"/>
    <cellStyle name="Input 3 3 2 3 6" xfId="25987"/>
    <cellStyle name="Input 3 3 2 3 6 2" xfId="34753"/>
    <cellStyle name="Input 3 3 2 3 7" xfId="1691"/>
    <cellStyle name="Input 3 3 2 3 7 2" xfId="32504"/>
    <cellStyle name="Input 3 3 2 3 8" xfId="27789"/>
    <cellStyle name="Input 3 3 2 3 8 2" xfId="36549"/>
    <cellStyle name="Input 3 3 2 3 9" xfId="25306"/>
    <cellStyle name="Input 3 3 2 3 9 2" xfId="34075"/>
    <cellStyle name="Input 3 3 2 4" xfId="25984"/>
    <cellStyle name="Input 3 3 2 4 2" xfId="34750"/>
    <cellStyle name="Input 3 3 2 5" xfId="25510"/>
    <cellStyle name="Input 3 3 2 5 2" xfId="34279"/>
    <cellStyle name="Input 3 3 2 6" xfId="25831"/>
    <cellStyle name="Input 3 3 2 6 2" xfId="34597"/>
    <cellStyle name="Input 3 3 2 7" xfId="28389"/>
    <cellStyle name="Input 3 3 2 7 2" xfId="37146"/>
    <cellStyle name="Input 3 3 2 8" xfId="25633"/>
    <cellStyle name="Input 3 3 2 8 2" xfId="34400"/>
    <cellStyle name="Input 3 3 2 9" xfId="26733"/>
    <cellStyle name="Input 3 3 2 9 2" xfId="35496"/>
    <cellStyle name="Input 3 3 3" xfId="24929"/>
    <cellStyle name="Input 3 3 3 2" xfId="33703"/>
    <cellStyle name="Input 3 3 4" xfId="27422"/>
    <cellStyle name="Input 3 3 4 2" xfId="36182"/>
    <cellStyle name="Input 3 3 5" xfId="25752"/>
    <cellStyle name="Input 3 3 5 2" xfId="34519"/>
    <cellStyle name="Input 3 3 6" xfId="26735"/>
    <cellStyle name="Input 3 3 6 2" xfId="35498"/>
    <cellStyle name="Input 3 3 7" xfId="25312"/>
    <cellStyle name="Input 3 3 7 2" xfId="34081"/>
    <cellStyle name="Input 3 3 8" xfId="29326"/>
    <cellStyle name="Input 3 3 8 2" xfId="38080"/>
    <cellStyle name="Input 3 3 9" xfId="26227"/>
    <cellStyle name="Input 3 3 9 2" xfId="34993"/>
    <cellStyle name="Input 3 4" xfId="4494"/>
    <cellStyle name="Input 3 4 10" xfId="26259"/>
    <cellStyle name="Input 3 4 10 2" xfId="35025"/>
    <cellStyle name="Input 3 4 11" xfId="28577"/>
    <cellStyle name="Input 3 4 11 2" xfId="37333"/>
    <cellStyle name="Input 3 4 12" xfId="27981"/>
    <cellStyle name="Input 3 4 12 2" xfId="36741"/>
    <cellStyle name="Input 3 4 13" xfId="26146"/>
    <cellStyle name="Input 3 4 13 2" xfId="34912"/>
    <cellStyle name="Input 3 4 14" xfId="32701"/>
    <cellStyle name="Input 3 4 15" xfId="41769"/>
    <cellStyle name="Input 3 4 16" xfId="43339"/>
    <cellStyle name="Input 3 4 17" xfId="43874"/>
    <cellStyle name="Input 3 4 2" xfId="6746"/>
    <cellStyle name="Input 3 4 2 10" xfId="2378"/>
    <cellStyle name="Input 3 4 2 10 2" xfId="32640"/>
    <cellStyle name="Input 3 4 2 11" xfId="26602"/>
    <cellStyle name="Input 3 4 2 11 2" xfId="35367"/>
    <cellStyle name="Input 3 4 2 12" xfId="2869"/>
    <cellStyle name="Input 3 4 2 12 2" xfId="32666"/>
    <cellStyle name="Input 3 4 2 13" xfId="27239"/>
    <cellStyle name="Input 3 4 2 13 2" xfId="35999"/>
    <cellStyle name="Input 3 4 2 14" xfId="26083"/>
    <cellStyle name="Input 3 4 2 14 2" xfId="34849"/>
    <cellStyle name="Input 3 4 2 15" xfId="41770"/>
    <cellStyle name="Input 3 4 2 16" xfId="43338"/>
    <cellStyle name="Input 3 4 2 17" xfId="43875"/>
    <cellStyle name="Input 3 4 2 2" xfId="18237"/>
    <cellStyle name="Input 3 4 2 2 10" xfId="25165"/>
    <cellStyle name="Input 3 4 2 2 10 2" xfId="33936"/>
    <cellStyle name="Input 3 4 2 2 11" xfId="27862"/>
    <cellStyle name="Input 3 4 2 2 11 2" xfId="36622"/>
    <cellStyle name="Input 3 4 2 2 12" xfId="32981"/>
    <cellStyle name="Input 3 4 2 2 13" xfId="41771"/>
    <cellStyle name="Input 3 4 2 2 14" xfId="43337"/>
    <cellStyle name="Input 3 4 2 2 15" xfId="43876"/>
    <cellStyle name="Input 3 4 2 2 2" xfId="24507"/>
    <cellStyle name="Input 3 4 2 2 2 10" xfId="32260"/>
    <cellStyle name="Input 3 4 2 2 2 10 2" xfId="41014"/>
    <cellStyle name="Input 3 4 2 2 2 11" xfId="33335"/>
    <cellStyle name="Input 3 4 2 2 2 2" xfId="29115"/>
    <cellStyle name="Input 3 4 2 2 2 2 2" xfId="37869"/>
    <cellStyle name="Input 3 4 2 2 2 3" xfId="29528"/>
    <cellStyle name="Input 3 4 2 2 2 3 2" xfId="38282"/>
    <cellStyle name="Input 3 4 2 2 2 4" xfId="29948"/>
    <cellStyle name="Input 3 4 2 2 2 4 2" xfId="38702"/>
    <cellStyle name="Input 3 4 2 2 2 5" xfId="30367"/>
    <cellStyle name="Input 3 4 2 2 2 5 2" xfId="39121"/>
    <cellStyle name="Input 3 4 2 2 2 6" xfId="30768"/>
    <cellStyle name="Input 3 4 2 2 2 6 2" xfId="39522"/>
    <cellStyle name="Input 3 4 2 2 2 7" xfId="31154"/>
    <cellStyle name="Input 3 4 2 2 2 7 2" xfId="39908"/>
    <cellStyle name="Input 3 4 2 2 2 8" xfId="31532"/>
    <cellStyle name="Input 3 4 2 2 2 8 2" xfId="40286"/>
    <cellStyle name="Input 3 4 2 2 2 9" xfId="31898"/>
    <cellStyle name="Input 3 4 2 2 2 9 2" xfId="40652"/>
    <cellStyle name="Input 3 4 2 2 3" xfId="27727"/>
    <cellStyle name="Input 3 4 2 2 3 2" xfId="36487"/>
    <cellStyle name="Input 3 4 2 2 4" xfId="27144"/>
    <cellStyle name="Input 3 4 2 2 4 2" xfId="35904"/>
    <cellStyle name="Input 3 4 2 2 5" xfId="27347"/>
    <cellStyle name="Input 3 4 2 2 5 2" xfId="36107"/>
    <cellStyle name="Input 3 4 2 2 6" xfId="26693"/>
    <cellStyle name="Input 3 4 2 2 6 2" xfId="35457"/>
    <cellStyle name="Input 3 4 2 2 7" xfId="28342"/>
    <cellStyle name="Input 3 4 2 2 7 2" xfId="37101"/>
    <cellStyle name="Input 3 4 2 2 8" xfId="28404"/>
    <cellStyle name="Input 3 4 2 2 8 2" xfId="37161"/>
    <cellStyle name="Input 3 4 2 2 9" xfId="25297"/>
    <cellStyle name="Input 3 4 2 2 9 2" xfId="34067"/>
    <cellStyle name="Input 3 4 2 3" xfId="20909"/>
    <cellStyle name="Input 3 4 2 3 10" xfId="26539"/>
    <cellStyle name="Input 3 4 2 3 10 2" xfId="35304"/>
    <cellStyle name="Input 3 4 2 3 11" xfId="24860"/>
    <cellStyle name="Input 3 4 2 3 11 2" xfId="33634"/>
    <cellStyle name="Input 3 4 2 3 12" xfId="33058"/>
    <cellStyle name="Input 3 4 2 3 2" xfId="24610"/>
    <cellStyle name="Input 3 4 2 3 2 10" xfId="32340"/>
    <cellStyle name="Input 3 4 2 3 2 10 2" xfId="41094"/>
    <cellStyle name="Input 3 4 2 3 2 11" xfId="33415"/>
    <cellStyle name="Input 3 4 2 3 2 2" xfId="29199"/>
    <cellStyle name="Input 3 4 2 3 2 2 2" xfId="37953"/>
    <cellStyle name="Input 3 4 2 3 2 3" xfId="29610"/>
    <cellStyle name="Input 3 4 2 3 2 3 2" xfId="38364"/>
    <cellStyle name="Input 3 4 2 3 2 4" xfId="30031"/>
    <cellStyle name="Input 3 4 2 3 2 4 2" xfId="38785"/>
    <cellStyle name="Input 3 4 2 3 2 5" xfId="30448"/>
    <cellStyle name="Input 3 4 2 3 2 5 2" xfId="39202"/>
    <cellStyle name="Input 3 4 2 3 2 6" xfId="30849"/>
    <cellStyle name="Input 3 4 2 3 2 6 2" xfId="39603"/>
    <cellStyle name="Input 3 4 2 3 2 7" xfId="31235"/>
    <cellStyle name="Input 3 4 2 3 2 7 2" xfId="39989"/>
    <cellStyle name="Input 3 4 2 3 2 8" xfId="31612"/>
    <cellStyle name="Input 3 4 2 3 2 8 2" xfId="40366"/>
    <cellStyle name="Input 3 4 2 3 2 9" xfId="31978"/>
    <cellStyle name="Input 3 4 2 3 2 9 2" xfId="40732"/>
    <cellStyle name="Input 3 4 2 3 3" xfId="28253"/>
    <cellStyle name="Input 3 4 2 3 3 2" xfId="37012"/>
    <cellStyle name="Input 3 4 2 3 4" xfId="27867"/>
    <cellStyle name="Input 3 4 2 3 4 2" xfId="36627"/>
    <cellStyle name="Input 3 4 2 3 5" xfId="26593"/>
    <cellStyle name="Input 3 4 2 3 5 2" xfId="35358"/>
    <cellStyle name="Input 3 4 2 3 6" xfId="27499"/>
    <cellStyle name="Input 3 4 2 3 6 2" xfId="36259"/>
    <cellStyle name="Input 3 4 2 3 7" xfId="28579"/>
    <cellStyle name="Input 3 4 2 3 7 2" xfId="37335"/>
    <cellStyle name="Input 3 4 2 3 8" xfId="28890"/>
    <cellStyle name="Input 3 4 2 3 8 2" xfId="37646"/>
    <cellStyle name="Input 3 4 2 3 9" xfId="24893"/>
    <cellStyle name="Input 3 4 2 3 9 2" xfId="33667"/>
    <cellStyle name="Input 3 4 2 4" xfId="15432"/>
    <cellStyle name="Input 3 4 2 4 10" xfId="26206"/>
    <cellStyle name="Input 3 4 2 4 10 2" xfId="34972"/>
    <cellStyle name="Input 3 4 2 4 11" xfId="32882"/>
    <cellStyle name="Input 3 4 2 4 2" xfId="27197"/>
    <cellStyle name="Input 3 4 2 4 2 2" xfId="35957"/>
    <cellStyle name="Input 3 4 2 4 3" xfId="25241"/>
    <cellStyle name="Input 3 4 2 4 3 2" xfId="34011"/>
    <cellStyle name="Input 3 4 2 4 4" xfId="25796"/>
    <cellStyle name="Input 3 4 2 4 4 2" xfId="34563"/>
    <cellStyle name="Input 3 4 2 4 5" xfId="28263"/>
    <cellStyle name="Input 3 4 2 4 5 2" xfId="37022"/>
    <cellStyle name="Input 3 4 2 4 6" xfId="25946"/>
    <cellStyle name="Input 3 4 2 4 6 2" xfId="34712"/>
    <cellStyle name="Input 3 4 2 4 7" xfId="27375"/>
    <cellStyle name="Input 3 4 2 4 7 2" xfId="36135"/>
    <cellStyle name="Input 3 4 2 4 8" xfId="1653"/>
    <cellStyle name="Input 3 4 2 4 8 2" xfId="32468"/>
    <cellStyle name="Input 3 4 2 4 9" xfId="28614"/>
    <cellStyle name="Input 3 4 2 4 9 2" xfId="37370"/>
    <cellStyle name="Input 3 4 2 5" xfId="24378"/>
    <cellStyle name="Input 3 4 2 5 10" xfId="32157"/>
    <cellStyle name="Input 3 4 2 5 10 2" xfId="40911"/>
    <cellStyle name="Input 3 4 2 5 11" xfId="33232"/>
    <cellStyle name="Input 3 4 2 5 2" xfId="29009"/>
    <cellStyle name="Input 3 4 2 5 2 2" xfId="37763"/>
    <cellStyle name="Input 3 4 2 5 3" xfId="29422"/>
    <cellStyle name="Input 3 4 2 5 3 2" xfId="38176"/>
    <cellStyle name="Input 3 4 2 5 4" xfId="29845"/>
    <cellStyle name="Input 3 4 2 5 4 2" xfId="38599"/>
    <cellStyle name="Input 3 4 2 5 5" xfId="30260"/>
    <cellStyle name="Input 3 4 2 5 5 2" xfId="39014"/>
    <cellStyle name="Input 3 4 2 5 6" xfId="30661"/>
    <cellStyle name="Input 3 4 2 5 6 2" xfId="39415"/>
    <cellStyle name="Input 3 4 2 5 7" xfId="31048"/>
    <cellStyle name="Input 3 4 2 5 7 2" xfId="39802"/>
    <cellStyle name="Input 3 4 2 5 8" xfId="31427"/>
    <cellStyle name="Input 3 4 2 5 8 2" xfId="40181"/>
    <cellStyle name="Input 3 4 2 5 9" xfId="31795"/>
    <cellStyle name="Input 3 4 2 5 9 2" xfId="40549"/>
    <cellStyle name="Input 3 4 2 6" xfId="25683"/>
    <cellStyle name="Input 3 4 2 6 2" xfId="34450"/>
    <cellStyle name="Input 3 4 2 7" xfId="28105"/>
    <cellStyle name="Input 3 4 2 7 2" xfId="36864"/>
    <cellStyle name="Input 3 4 2 8" xfId="28635"/>
    <cellStyle name="Input 3 4 2 8 2" xfId="37391"/>
    <cellStyle name="Input 3 4 2 9" xfId="26124"/>
    <cellStyle name="Input 3 4 2 9 2" xfId="34890"/>
    <cellStyle name="Input 3 4 3" xfId="14029"/>
    <cellStyle name="Input 3 4 3 10" xfId="27940"/>
    <cellStyle name="Input 3 4 3 10 2" xfId="36700"/>
    <cellStyle name="Input 3 4 3 11" xfId="25160"/>
    <cellStyle name="Input 3 4 3 11 2" xfId="33931"/>
    <cellStyle name="Input 3 4 3 12" xfId="32845"/>
    <cellStyle name="Input 3 4 3 2" xfId="24313"/>
    <cellStyle name="Input 3 4 3 2 10" xfId="32117"/>
    <cellStyle name="Input 3 4 3 2 10 2" xfId="40871"/>
    <cellStyle name="Input 3 4 3 2 11" xfId="33192"/>
    <cellStyle name="Input 3 4 3 2 2" xfId="28965"/>
    <cellStyle name="Input 3 4 3 2 2 2" xfId="37719"/>
    <cellStyle name="Input 3 4 3 2 3" xfId="29378"/>
    <cellStyle name="Input 3 4 3 2 3 2" xfId="38132"/>
    <cellStyle name="Input 3 4 3 2 4" xfId="29803"/>
    <cellStyle name="Input 3 4 3 2 4 2" xfId="38557"/>
    <cellStyle name="Input 3 4 3 2 5" xfId="30218"/>
    <cellStyle name="Input 3 4 3 2 5 2" xfId="38972"/>
    <cellStyle name="Input 3 4 3 2 6" xfId="30619"/>
    <cellStyle name="Input 3 4 3 2 6 2" xfId="39373"/>
    <cellStyle name="Input 3 4 3 2 7" xfId="31006"/>
    <cellStyle name="Input 3 4 3 2 7 2" xfId="39760"/>
    <cellStyle name="Input 3 4 3 2 8" xfId="31386"/>
    <cellStyle name="Input 3 4 3 2 8 2" xfId="40140"/>
    <cellStyle name="Input 3 4 3 2 9" xfId="31754"/>
    <cellStyle name="Input 3 4 3 2 9 2" xfId="40508"/>
    <cellStyle name="Input 3 4 3 3" xfId="26922"/>
    <cellStyle name="Input 3 4 3 3 2" xfId="35682"/>
    <cellStyle name="Input 3 4 3 4" xfId="26183"/>
    <cellStyle name="Input 3 4 3 4 2" xfId="34949"/>
    <cellStyle name="Input 3 4 3 5" xfId="28434"/>
    <cellStyle name="Input 3 4 3 5 2" xfId="37191"/>
    <cellStyle name="Input 3 4 3 6" xfId="24916"/>
    <cellStyle name="Input 3 4 3 6 2" xfId="33690"/>
    <cellStyle name="Input 3 4 3 7" xfId="27488"/>
    <cellStyle name="Input 3 4 3 7 2" xfId="36248"/>
    <cellStyle name="Input 3 4 3 8" xfId="26432"/>
    <cellStyle name="Input 3 4 3 8 2" xfId="35197"/>
    <cellStyle name="Input 3 4 3 9" xfId="27425"/>
    <cellStyle name="Input 3 4 3 9 2" xfId="36185"/>
    <cellStyle name="Input 3 4 4" xfId="18161"/>
    <cellStyle name="Input 3 4 4 10" xfId="28056"/>
    <cellStyle name="Input 3 4 4 10 2" xfId="36815"/>
    <cellStyle name="Input 3 4 4 11" xfId="27296"/>
    <cellStyle name="Input 3 4 4 11 2" xfId="36056"/>
    <cellStyle name="Input 3 4 4 12" xfId="32905"/>
    <cellStyle name="Input 3 4 4 2" xfId="24431"/>
    <cellStyle name="Input 3 4 4 2 10" xfId="32184"/>
    <cellStyle name="Input 3 4 4 2 10 2" xfId="40938"/>
    <cellStyle name="Input 3 4 4 2 11" xfId="33259"/>
    <cellStyle name="Input 3 4 4 2 2" xfId="29039"/>
    <cellStyle name="Input 3 4 4 2 2 2" xfId="37793"/>
    <cellStyle name="Input 3 4 4 2 3" xfId="29452"/>
    <cellStyle name="Input 3 4 4 2 3 2" xfId="38206"/>
    <cellStyle name="Input 3 4 4 2 4" xfId="29872"/>
    <cellStyle name="Input 3 4 4 2 4 2" xfId="38626"/>
    <cellStyle name="Input 3 4 4 2 5" xfId="30291"/>
    <cellStyle name="Input 3 4 4 2 5 2" xfId="39045"/>
    <cellStyle name="Input 3 4 4 2 6" xfId="30692"/>
    <cellStyle name="Input 3 4 4 2 6 2" xfId="39446"/>
    <cellStyle name="Input 3 4 4 2 7" xfId="31078"/>
    <cellStyle name="Input 3 4 4 2 7 2" xfId="39832"/>
    <cellStyle name="Input 3 4 4 2 8" xfId="31456"/>
    <cellStyle name="Input 3 4 4 2 8 2" xfId="40210"/>
    <cellStyle name="Input 3 4 4 2 9" xfId="31822"/>
    <cellStyle name="Input 3 4 4 2 9 2" xfId="40576"/>
    <cellStyle name="Input 3 4 4 3" xfId="27651"/>
    <cellStyle name="Input 3 4 4 3 2" xfId="36411"/>
    <cellStyle name="Input 3 4 4 4" xfId="26715"/>
    <cellStyle name="Input 3 4 4 4 2" xfId="35478"/>
    <cellStyle name="Input 3 4 4 5" xfId="26849"/>
    <cellStyle name="Input 3 4 4 5 2" xfId="35610"/>
    <cellStyle name="Input 3 4 4 6" xfId="27096"/>
    <cellStyle name="Input 3 4 4 6 2" xfId="35856"/>
    <cellStyle name="Input 3 4 4 7" xfId="28918"/>
    <cellStyle name="Input 3 4 4 7 2" xfId="37673"/>
    <cellStyle name="Input 3 4 4 8" xfId="28006"/>
    <cellStyle name="Input 3 4 4 8 2" xfId="36765"/>
    <cellStyle name="Input 3 4 4 9" xfId="28821"/>
    <cellStyle name="Input 3 4 4 9 2" xfId="37577"/>
    <cellStyle name="Input 3 4 5" xfId="23603"/>
    <cellStyle name="Input 3 4 5 10" xfId="1655"/>
    <cellStyle name="Input 3 4 5 10 2" xfId="32470"/>
    <cellStyle name="Input 3 4 5 11" xfId="26925"/>
    <cellStyle name="Input 3 4 5 11 2" xfId="35685"/>
    <cellStyle name="Input 3 4 5 12" xfId="33073"/>
    <cellStyle name="Input 3 4 5 2" xfId="24658"/>
    <cellStyle name="Input 3 4 5 2 10" xfId="32359"/>
    <cellStyle name="Input 3 4 5 2 10 2" xfId="41113"/>
    <cellStyle name="Input 3 4 5 2 11" xfId="33434"/>
    <cellStyle name="Input 3 4 5 2 2" xfId="29223"/>
    <cellStyle name="Input 3 4 5 2 2 2" xfId="37977"/>
    <cellStyle name="Input 3 4 5 2 3" xfId="29633"/>
    <cellStyle name="Input 3 4 5 2 3 2" xfId="38387"/>
    <cellStyle name="Input 3 4 5 2 4" xfId="30053"/>
    <cellStyle name="Input 3 4 5 2 4 2" xfId="38807"/>
    <cellStyle name="Input 3 4 5 2 5" xfId="30469"/>
    <cellStyle name="Input 3 4 5 2 5 2" xfId="39223"/>
    <cellStyle name="Input 3 4 5 2 6" xfId="30870"/>
    <cellStyle name="Input 3 4 5 2 6 2" xfId="39624"/>
    <cellStyle name="Input 3 4 5 2 7" xfId="31256"/>
    <cellStyle name="Input 3 4 5 2 7 2" xfId="40010"/>
    <cellStyle name="Input 3 4 5 2 8" xfId="31632"/>
    <cellStyle name="Input 3 4 5 2 8 2" xfId="40386"/>
    <cellStyle name="Input 3 4 5 2 9" xfId="31998"/>
    <cellStyle name="Input 3 4 5 2 9 2" xfId="40752"/>
    <cellStyle name="Input 3 4 5 3" xfId="28719"/>
    <cellStyle name="Input 3 4 5 3 2" xfId="37475"/>
    <cellStyle name="Input 3 4 5 4" xfId="24887"/>
    <cellStyle name="Input 3 4 5 4 2" xfId="33661"/>
    <cellStyle name="Input 3 4 5 5" xfId="28557"/>
    <cellStyle name="Input 3 4 5 5 2" xfId="37313"/>
    <cellStyle name="Input 3 4 5 6" xfId="26577"/>
    <cellStyle name="Input 3 4 5 6 2" xfId="35342"/>
    <cellStyle name="Input 3 4 5 7" xfId="25586"/>
    <cellStyle name="Input 3 4 5 7 2" xfId="34353"/>
    <cellStyle name="Input 3 4 5 8" xfId="25213"/>
    <cellStyle name="Input 3 4 5 8 2" xfId="33984"/>
    <cellStyle name="Input 3 4 5 9" xfId="27035"/>
    <cellStyle name="Input 3 4 5 9 2" xfId="35795"/>
    <cellStyle name="Input 3 4 6" xfId="28315"/>
    <cellStyle name="Input 3 4 6 2" xfId="37074"/>
    <cellStyle name="Input 3 4 7" xfId="26106"/>
    <cellStyle name="Input 3 4 7 2" xfId="34872"/>
    <cellStyle name="Input 3 4 8" xfId="28420"/>
    <cellStyle name="Input 3 4 8 2" xfId="37177"/>
    <cellStyle name="Input 3 4 9" xfId="27325"/>
    <cellStyle name="Input 3 4 9 2" xfId="36085"/>
    <cellStyle name="Input 3 5" xfId="6063"/>
    <cellStyle name="Input 3 5 10" xfId="25223"/>
    <cellStyle name="Input 3 5 10 2" xfId="33994"/>
    <cellStyle name="Input 3 5 11" xfId="29359"/>
    <cellStyle name="Input 3 5 11 2" xfId="38113"/>
    <cellStyle name="Input 3 5 12" xfId="32731"/>
    <cellStyle name="Input 3 5 13" xfId="41772"/>
    <cellStyle name="Input 3 5 14" xfId="43336"/>
    <cellStyle name="Input 3 5 15" xfId="43877"/>
    <cellStyle name="Input 3 5 2" xfId="18191"/>
    <cellStyle name="Input 3 5 2 10" xfId="25164"/>
    <cellStyle name="Input 3 5 2 10 2" xfId="33935"/>
    <cellStyle name="Input 3 5 2 11" xfId="25155"/>
    <cellStyle name="Input 3 5 2 11 2" xfId="33926"/>
    <cellStyle name="Input 3 5 2 12" xfId="32935"/>
    <cellStyle name="Input 3 5 2 2" xfId="24461"/>
    <cellStyle name="Input 3 5 2 2 10" xfId="32214"/>
    <cellStyle name="Input 3 5 2 2 10 2" xfId="40968"/>
    <cellStyle name="Input 3 5 2 2 11" xfId="33289"/>
    <cellStyle name="Input 3 5 2 2 2" xfId="29069"/>
    <cellStyle name="Input 3 5 2 2 2 2" xfId="37823"/>
    <cellStyle name="Input 3 5 2 2 3" xfId="29482"/>
    <cellStyle name="Input 3 5 2 2 3 2" xfId="38236"/>
    <cellStyle name="Input 3 5 2 2 4" xfId="29902"/>
    <cellStyle name="Input 3 5 2 2 4 2" xfId="38656"/>
    <cellStyle name="Input 3 5 2 2 5" xfId="30321"/>
    <cellStyle name="Input 3 5 2 2 5 2" xfId="39075"/>
    <cellStyle name="Input 3 5 2 2 6" xfId="30722"/>
    <cellStyle name="Input 3 5 2 2 6 2" xfId="39476"/>
    <cellStyle name="Input 3 5 2 2 7" xfId="31108"/>
    <cellStyle name="Input 3 5 2 2 7 2" xfId="39862"/>
    <cellStyle name="Input 3 5 2 2 8" xfId="31486"/>
    <cellStyle name="Input 3 5 2 2 8 2" xfId="40240"/>
    <cellStyle name="Input 3 5 2 2 9" xfId="31852"/>
    <cellStyle name="Input 3 5 2 2 9 2" xfId="40606"/>
    <cellStyle name="Input 3 5 2 3" xfId="27681"/>
    <cellStyle name="Input 3 5 2 3 2" xfId="36441"/>
    <cellStyle name="Input 3 5 2 4" xfId="26087"/>
    <cellStyle name="Input 3 5 2 4 2" xfId="34853"/>
    <cellStyle name="Input 3 5 2 5" xfId="27809"/>
    <cellStyle name="Input 3 5 2 5 2" xfId="36569"/>
    <cellStyle name="Input 3 5 2 6" xfId="28469"/>
    <cellStyle name="Input 3 5 2 6 2" xfId="37226"/>
    <cellStyle name="Input 3 5 2 7" xfId="24803"/>
    <cellStyle name="Input 3 5 2 7 2" xfId="33579"/>
    <cellStyle name="Input 3 5 2 8" xfId="25212"/>
    <cellStyle name="Input 3 5 2 8 2" xfId="33983"/>
    <cellStyle name="Input 3 5 2 9" xfId="28681"/>
    <cellStyle name="Input 3 5 2 9 2" xfId="37437"/>
    <cellStyle name="Input 3 5 3" xfId="23633"/>
    <cellStyle name="Input 3 5 3 10" xfId="26533"/>
    <cellStyle name="Input 3 5 3 10 2" xfId="35298"/>
    <cellStyle name="Input 3 5 3 11" xfId="26584"/>
    <cellStyle name="Input 3 5 3 11 2" xfId="35349"/>
    <cellStyle name="Input 3 5 3 12" xfId="33103"/>
    <cellStyle name="Input 3 5 3 2" xfId="24688"/>
    <cellStyle name="Input 3 5 3 2 10" xfId="32389"/>
    <cellStyle name="Input 3 5 3 2 10 2" xfId="41143"/>
    <cellStyle name="Input 3 5 3 2 11" xfId="33464"/>
    <cellStyle name="Input 3 5 3 2 2" xfId="29253"/>
    <cellStyle name="Input 3 5 3 2 2 2" xfId="38007"/>
    <cellStyle name="Input 3 5 3 2 3" xfId="29663"/>
    <cellStyle name="Input 3 5 3 2 3 2" xfId="38417"/>
    <cellStyle name="Input 3 5 3 2 4" xfId="30083"/>
    <cellStyle name="Input 3 5 3 2 4 2" xfId="38837"/>
    <cellStyle name="Input 3 5 3 2 5" xfId="30499"/>
    <cellStyle name="Input 3 5 3 2 5 2" xfId="39253"/>
    <cellStyle name="Input 3 5 3 2 6" xfId="30900"/>
    <cellStyle name="Input 3 5 3 2 6 2" xfId="39654"/>
    <cellStyle name="Input 3 5 3 2 7" xfId="31286"/>
    <cellStyle name="Input 3 5 3 2 7 2" xfId="40040"/>
    <cellStyle name="Input 3 5 3 2 8" xfId="31662"/>
    <cellStyle name="Input 3 5 3 2 8 2" xfId="40416"/>
    <cellStyle name="Input 3 5 3 2 9" xfId="32028"/>
    <cellStyle name="Input 3 5 3 2 9 2" xfId="40782"/>
    <cellStyle name="Input 3 5 3 3" xfId="28749"/>
    <cellStyle name="Input 3 5 3 3 2" xfId="37505"/>
    <cellStyle name="Input 3 5 3 4" xfId="28844"/>
    <cellStyle name="Input 3 5 3 4 2" xfId="37600"/>
    <cellStyle name="Input 3 5 3 5" xfId="27085"/>
    <cellStyle name="Input 3 5 3 5 2" xfId="35845"/>
    <cellStyle name="Input 3 5 3 6" xfId="27977"/>
    <cellStyle name="Input 3 5 3 6 2" xfId="36737"/>
    <cellStyle name="Input 3 5 3 7" xfId="25116"/>
    <cellStyle name="Input 3 5 3 7 2" xfId="33888"/>
    <cellStyle name="Input 3 5 3 8" xfId="28904"/>
    <cellStyle name="Input 3 5 3 8 2" xfId="37660"/>
    <cellStyle name="Input 3 5 3 9" xfId="28144"/>
    <cellStyle name="Input 3 5 3 9 2" xfId="36903"/>
    <cellStyle name="Input 3 5 4" xfId="28476"/>
    <cellStyle name="Input 3 5 4 2" xfId="37233"/>
    <cellStyle name="Input 3 5 5" xfId="28302"/>
    <cellStyle name="Input 3 5 5 2" xfId="37061"/>
    <cellStyle name="Input 3 5 6" xfId="28146"/>
    <cellStyle name="Input 3 5 6 2" xfId="36905"/>
    <cellStyle name="Input 3 5 7" xfId="25516"/>
    <cellStyle name="Input 3 5 7 2" xfId="34285"/>
    <cellStyle name="Input 3 5 8" xfId="25452"/>
    <cellStyle name="Input 3 5 8 2" xfId="34221"/>
    <cellStyle name="Input 3 5 9" xfId="27353"/>
    <cellStyle name="Input 3 5 9 2" xfId="36113"/>
    <cellStyle name="Input 3 6" xfId="1679"/>
    <cellStyle name="Input 3 6 2" xfId="32492"/>
    <cellStyle name="Input 3 6 3" xfId="41773"/>
    <cellStyle name="Input 3 6 4" xfId="43335"/>
    <cellStyle name="Input 3 6 5" xfId="43878"/>
    <cellStyle name="Input 3 7" xfId="25554"/>
    <cellStyle name="Input 3 7 2" xfId="34321"/>
    <cellStyle name="Input 3 8" xfId="26553"/>
    <cellStyle name="Input 3 8 2" xfId="35318"/>
    <cellStyle name="Input 3 9" xfId="29335"/>
    <cellStyle name="Input 3 9 2" xfId="38089"/>
    <cellStyle name="Input 30" xfId="4495"/>
    <cellStyle name="Input 30 10" xfId="28672"/>
    <cellStyle name="Input 30 10 2" xfId="37428"/>
    <cellStyle name="Input 30 11" xfId="28412"/>
    <cellStyle name="Input 30 11 2" xfId="37169"/>
    <cellStyle name="Input 30 12" xfId="25590"/>
    <cellStyle name="Input 30 12 2" xfId="34357"/>
    <cellStyle name="Input 30 13" xfId="28919"/>
    <cellStyle name="Input 30 13 2" xfId="37674"/>
    <cellStyle name="Input 30 14" xfId="32702"/>
    <cellStyle name="Input 30 15" xfId="41774"/>
    <cellStyle name="Input 30 2" xfId="6120"/>
    <cellStyle name="Input 30 2 10" xfId="25722"/>
    <cellStyle name="Input 30 2 10 2" xfId="34489"/>
    <cellStyle name="Input 30 2 11" xfId="28362"/>
    <cellStyle name="Input 30 2 11 2" xfId="37121"/>
    <cellStyle name="Input 30 2 12" xfId="28576"/>
    <cellStyle name="Input 30 2 12 2" xfId="37332"/>
    <cellStyle name="Input 30 2 13" xfId="28268"/>
    <cellStyle name="Input 30 2 13 2" xfId="37027"/>
    <cellStyle name="Input 30 2 14" xfId="25207"/>
    <cellStyle name="Input 30 2 14 2" xfId="33978"/>
    <cellStyle name="Input 30 2 15" xfId="41775"/>
    <cellStyle name="Input 30 2 16" xfId="43334"/>
    <cellStyle name="Input 30 2 17" xfId="43879"/>
    <cellStyle name="Input 30 2 2" xfId="18222"/>
    <cellStyle name="Input 30 2 2 10" xfId="30983"/>
    <cellStyle name="Input 30 2 2 10 2" xfId="39737"/>
    <cellStyle name="Input 30 2 2 11" xfId="31364"/>
    <cellStyle name="Input 30 2 2 11 2" xfId="40118"/>
    <cellStyle name="Input 30 2 2 12" xfId="32966"/>
    <cellStyle name="Input 30 2 2 2" xfId="24492"/>
    <cellStyle name="Input 30 2 2 2 10" xfId="32245"/>
    <cellStyle name="Input 30 2 2 2 10 2" xfId="40999"/>
    <cellStyle name="Input 30 2 2 2 11" xfId="33320"/>
    <cellStyle name="Input 30 2 2 2 2" xfId="29100"/>
    <cellStyle name="Input 30 2 2 2 2 2" xfId="37854"/>
    <cellStyle name="Input 30 2 2 2 3" xfId="29513"/>
    <cellStyle name="Input 30 2 2 2 3 2" xfId="38267"/>
    <cellStyle name="Input 30 2 2 2 4" xfId="29933"/>
    <cellStyle name="Input 30 2 2 2 4 2" xfId="38687"/>
    <cellStyle name="Input 30 2 2 2 5" xfId="30352"/>
    <cellStyle name="Input 30 2 2 2 5 2" xfId="39106"/>
    <cellStyle name="Input 30 2 2 2 6" xfId="30753"/>
    <cellStyle name="Input 30 2 2 2 6 2" xfId="39507"/>
    <cellStyle name="Input 30 2 2 2 7" xfId="31139"/>
    <cellStyle name="Input 30 2 2 2 7 2" xfId="39893"/>
    <cellStyle name="Input 30 2 2 2 8" xfId="31517"/>
    <cellStyle name="Input 30 2 2 2 8 2" xfId="40271"/>
    <cellStyle name="Input 30 2 2 2 9" xfId="31883"/>
    <cellStyle name="Input 30 2 2 2 9 2" xfId="40637"/>
    <cellStyle name="Input 30 2 2 3" xfId="27712"/>
    <cellStyle name="Input 30 2 2 3 2" xfId="36472"/>
    <cellStyle name="Input 30 2 2 4" xfId="26427"/>
    <cellStyle name="Input 30 2 2 4 2" xfId="35192"/>
    <cellStyle name="Input 30 2 2 5" xfId="26027"/>
    <cellStyle name="Input 30 2 2 5 2" xfId="34793"/>
    <cellStyle name="Input 30 2 2 6" xfId="26564"/>
    <cellStyle name="Input 30 2 2 6 2" xfId="35329"/>
    <cellStyle name="Input 30 2 2 7" xfId="26249"/>
    <cellStyle name="Input 30 2 2 7 2" xfId="35015"/>
    <cellStyle name="Input 30 2 2 8" xfId="30190"/>
    <cellStyle name="Input 30 2 2 8 2" xfId="38944"/>
    <cellStyle name="Input 30 2 2 9" xfId="30593"/>
    <cellStyle name="Input 30 2 2 9 2" xfId="39347"/>
    <cellStyle name="Input 30 2 3" xfId="20567"/>
    <cellStyle name="Input 30 2 3 10" xfId="25813"/>
    <cellStyle name="Input 30 2 3 10 2" xfId="34580"/>
    <cellStyle name="Input 30 2 3 11" xfId="25785"/>
    <cellStyle name="Input 30 2 3 11 2" xfId="34552"/>
    <cellStyle name="Input 30 2 3 12" xfId="33049"/>
    <cellStyle name="Input 30 2 3 2" xfId="24596"/>
    <cellStyle name="Input 30 2 3 2 10" xfId="32330"/>
    <cellStyle name="Input 30 2 3 2 10 2" xfId="41084"/>
    <cellStyle name="Input 30 2 3 2 11" xfId="33405"/>
    <cellStyle name="Input 30 2 3 2 2" xfId="29189"/>
    <cellStyle name="Input 30 2 3 2 2 2" xfId="37943"/>
    <cellStyle name="Input 30 2 3 2 3" xfId="29599"/>
    <cellStyle name="Input 30 2 3 2 3 2" xfId="38353"/>
    <cellStyle name="Input 30 2 3 2 4" xfId="30021"/>
    <cellStyle name="Input 30 2 3 2 4 2" xfId="38775"/>
    <cellStyle name="Input 30 2 3 2 5" xfId="30438"/>
    <cellStyle name="Input 30 2 3 2 5 2" xfId="39192"/>
    <cellStyle name="Input 30 2 3 2 6" xfId="30839"/>
    <cellStyle name="Input 30 2 3 2 6 2" xfId="39593"/>
    <cellStyle name="Input 30 2 3 2 7" xfId="31225"/>
    <cellStyle name="Input 30 2 3 2 7 2" xfId="39979"/>
    <cellStyle name="Input 30 2 3 2 8" xfId="31602"/>
    <cellStyle name="Input 30 2 3 2 8 2" xfId="40356"/>
    <cellStyle name="Input 30 2 3 2 9" xfId="31968"/>
    <cellStyle name="Input 30 2 3 2 9 2" xfId="40722"/>
    <cellStyle name="Input 30 2 3 3" xfId="28194"/>
    <cellStyle name="Input 30 2 3 3 2" xfId="36953"/>
    <cellStyle name="Input 30 2 3 4" xfId="27874"/>
    <cellStyle name="Input 30 2 3 4 2" xfId="36634"/>
    <cellStyle name="Input 30 2 3 5" xfId="27955"/>
    <cellStyle name="Input 30 2 3 5 2" xfId="36715"/>
    <cellStyle name="Input 30 2 3 6" xfId="26297"/>
    <cellStyle name="Input 30 2 3 6 2" xfId="35063"/>
    <cellStyle name="Input 30 2 3 7" xfId="25318"/>
    <cellStyle name="Input 30 2 3 7 2" xfId="34087"/>
    <cellStyle name="Input 30 2 3 8" xfId="29334"/>
    <cellStyle name="Input 30 2 3 8 2" xfId="38088"/>
    <cellStyle name="Input 30 2 3 9" xfId="26494"/>
    <cellStyle name="Input 30 2 3 9 2" xfId="35259"/>
    <cellStyle name="Input 30 2 4" xfId="15068"/>
    <cellStyle name="Input 30 2 4 10" xfId="26136"/>
    <cellStyle name="Input 30 2 4 10 2" xfId="34902"/>
    <cellStyle name="Input 30 2 4 11" xfId="32867"/>
    <cellStyle name="Input 30 2 4 2" xfId="27129"/>
    <cellStyle name="Input 30 2 4 2 2" xfId="35889"/>
    <cellStyle name="Input 30 2 4 3" xfId="28585"/>
    <cellStyle name="Input 30 2 4 3 2" xfId="37341"/>
    <cellStyle name="Input 30 2 4 4" xfId="25483"/>
    <cellStyle name="Input 30 2 4 4 2" xfId="34252"/>
    <cellStyle name="Input 30 2 4 5" xfId="26017"/>
    <cellStyle name="Input 30 2 4 5 2" xfId="34783"/>
    <cellStyle name="Input 30 2 4 6" xfId="25482"/>
    <cellStyle name="Input 30 2 4 6 2" xfId="34251"/>
    <cellStyle name="Input 30 2 4 7" xfId="26568"/>
    <cellStyle name="Input 30 2 4 7 2" xfId="35333"/>
    <cellStyle name="Input 30 2 4 8" xfId="25644"/>
    <cellStyle name="Input 30 2 4 8 2" xfId="34411"/>
    <cellStyle name="Input 30 2 4 9" xfId="25026"/>
    <cellStyle name="Input 30 2 4 9 2" xfId="33800"/>
    <cellStyle name="Input 30 2 5" xfId="24357"/>
    <cellStyle name="Input 30 2 5 10" xfId="32141"/>
    <cellStyle name="Input 30 2 5 10 2" xfId="40895"/>
    <cellStyle name="Input 30 2 5 11" xfId="33216"/>
    <cellStyle name="Input 30 2 5 2" xfId="28992"/>
    <cellStyle name="Input 30 2 5 2 2" xfId="37746"/>
    <cellStyle name="Input 30 2 5 3" xfId="29405"/>
    <cellStyle name="Input 30 2 5 3 2" xfId="38159"/>
    <cellStyle name="Input 30 2 5 4" xfId="29829"/>
    <cellStyle name="Input 30 2 5 4 2" xfId="38583"/>
    <cellStyle name="Input 30 2 5 5" xfId="30244"/>
    <cellStyle name="Input 30 2 5 5 2" xfId="38998"/>
    <cellStyle name="Input 30 2 5 6" xfId="30645"/>
    <cellStyle name="Input 30 2 5 6 2" xfId="39399"/>
    <cellStyle name="Input 30 2 5 7" xfId="31032"/>
    <cellStyle name="Input 30 2 5 7 2" xfId="39786"/>
    <cellStyle name="Input 30 2 5 8" xfId="31411"/>
    <cellStyle name="Input 30 2 5 8 2" xfId="40165"/>
    <cellStyle name="Input 30 2 5 9" xfId="31779"/>
    <cellStyle name="Input 30 2 5 9 2" xfId="40533"/>
    <cellStyle name="Input 30 2 6" xfId="25577"/>
    <cellStyle name="Input 30 2 6 2" xfId="34344"/>
    <cellStyle name="Input 30 2 7" xfId="25431"/>
    <cellStyle name="Input 30 2 7 2" xfId="34200"/>
    <cellStyle name="Input 30 2 8" xfId="24959"/>
    <cellStyle name="Input 30 2 8 2" xfId="33733"/>
    <cellStyle name="Input 30 2 9" xfId="1778"/>
    <cellStyle name="Input 30 2 9 2" xfId="32586"/>
    <cellStyle name="Input 30 3" xfId="14030"/>
    <cellStyle name="Input 30 3 10" xfId="27439"/>
    <cellStyle name="Input 30 3 10 2" xfId="36199"/>
    <cellStyle name="Input 30 3 11" xfId="28892"/>
    <cellStyle name="Input 30 3 11 2" xfId="37648"/>
    <cellStyle name="Input 30 3 12" xfId="32846"/>
    <cellStyle name="Input 30 3 2" xfId="24314"/>
    <cellStyle name="Input 30 3 2 10" xfId="32118"/>
    <cellStyle name="Input 30 3 2 10 2" xfId="40872"/>
    <cellStyle name="Input 30 3 2 11" xfId="33193"/>
    <cellStyle name="Input 30 3 2 2" xfId="28966"/>
    <cellStyle name="Input 30 3 2 2 2" xfId="37720"/>
    <cellStyle name="Input 30 3 2 3" xfId="29379"/>
    <cellStyle name="Input 30 3 2 3 2" xfId="38133"/>
    <cellStyle name="Input 30 3 2 4" xfId="29804"/>
    <cellStyle name="Input 30 3 2 4 2" xfId="38558"/>
    <cellStyle name="Input 30 3 2 5" xfId="30219"/>
    <cellStyle name="Input 30 3 2 5 2" xfId="38973"/>
    <cellStyle name="Input 30 3 2 6" xfId="30620"/>
    <cellStyle name="Input 30 3 2 6 2" xfId="39374"/>
    <cellStyle name="Input 30 3 2 7" xfId="31007"/>
    <cellStyle name="Input 30 3 2 7 2" xfId="39761"/>
    <cellStyle name="Input 30 3 2 8" xfId="31387"/>
    <cellStyle name="Input 30 3 2 8 2" xfId="40141"/>
    <cellStyle name="Input 30 3 2 9" xfId="31755"/>
    <cellStyle name="Input 30 3 2 9 2" xfId="40509"/>
    <cellStyle name="Input 30 3 3" xfId="26923"/>
    <cellStyle name="Input 30 3 3 2" xfId="35683"/>
    <cellStyle name="Input 30 3 4" xfId="27618"/>
    <cellStyle name="Input 30 3 4 2" xfId="36378"/>
    <cellStyle name="Input 30 3 5" xfId="27791"/>
    <cellStyle name="Input 30 3 5 2" xfId="36551"/>
    <cellStyle name="Input 30 3 6" xfId="25296"/>
    <cellStyle name="Input 30 3 6 2" xfId="34066"/>
    <cellStyle name="Input 30 3 7" xfId="25131"/>
    <cellStyle name="Input 30 3 7 2" xfId="33902"/>
    <cellStyle name="Input 30 3 8" xfId="26992"/>
    <cellStyle name="Input 30 3 8 2" xfId="35752"/>
    <cellStyle name="Input 30 3 9" xfId="27903"/>
    <cellStyle name="Input 30 3 9 2" xfId="36663"/>
    <cellStyle name="Input 30 4" xfId="18162"/>
    <cellStyle name="Input 30 4 10" xfId="25718"/>
    <cellStyle name="Input 30 4 10 2" xfId="34485"/>
    <cellStyle name="Input 30 4 11" xfId="25877"/>
    <cellStyle name="Input 30 4 11 2" xfId="34643"/>
    <cellStyle name="Input 30 4 12" xfId="32906"/>
    <cellStyle name="Input 30 4 2" xfId="24432"/>
    <cellStyle name="Input 30 4 2 10" xfId="32185"/>
    <cellStyle name="Input 30 4 2 10 2" xfId="40939"/>
    <cellStyle name="Input 30 4 2 11" xfId="33260"/>
    <cellStyle name="Input 30 4 2 2" xfId="29040"/>
    <cellStyle name="Input 30 4 2 2 2" xfId="37794"/>
    <cellStyle name="Input 30 4 2 3" xfId="29453"/>
    <cellStyle name="Input 30 4 2 3 2" xfId="38207"/>
    <cellStyle name="Input 30 4 2 4" xfId="29873"/>
    <cellStyle name="Input 30 4 2 4 2" xfId="38627"/>
    <cellStyle name="Input 30 4 2 5" xfId="30292"/>
    <cellStyle name="Input 30 4 2 5 2" xfId="39046"/>
    <cellStyle name="Input 30 4 2 6" xfId="30693"/>
    <cellStyle name="Input 30 4 2 6 2" xfId="39447"/>
    <cellStyle name="Input 30 4 2 7" xfId="31079"/>
    <cellStyle name="Input 30 4 2 7 2" xfId="39833"/>
    <cellStyle name="Input 30 4 2 8" xfId="31457"/>
    <cellStyle name="Input 30 4 2 8 2" xfId="40211"/>
    <cellStyle name="Input 30 4 2 9" xfId="31823"/>
    <cellStyle name="Input 30 4 2 9 2" xfId="40577"/>
    <cellStyle name="Input 30 4 3" xfId="27652"/>
    <cellStyle name="Input 30 4 3 2" xfId="36412"/>
    <cellStyle name="Input 30 4 4" xfId="26191"/>
    <cellStyle name="Input 30 4 4 2" xfId="34957"/>
    <cellStyle name="Input 30 4 5" xfId="27590"/>
    <cellStyle name="Input 30 4 5 2" xfId="36350"/>
    <cellStyle name="Input 30 4 6" xfId="26761"/>
    <cellStyle name="Input 30 4 6 2" xfId="35523"/>
    <cellStyle name="Input 30 4 7" xfId="25384"/>
    <cellStyle name="Input 30 4 7 2" xfId="34153"/>
    <cellStyle name="Input 30 4 8" xfId="28152"/>
    <cellStyle name="Input 30 4 8 2" xfId="36911"/>
    <cellStyle name="Input 30 4 9" xfId="26598"/>
    <cellStyle name="Input 30 4 9 2" xfId="35363"/>
    <cellStyle name="Input 30 5" xfId="23604"/>
    <cellStyle name="Input 30 5 10" xfId="25337"/>
    <cellStyle name="Input 30 5 10 2" xfId="34106"/>
    <cellStyle name="Input 30 5 11" xfId="27600"/>
    <cellStyle name="Input 30 5 11 2" xfId="36360"/>
    <cellStyle name="Input 30 5 12" xfId="33074"/>
    <cellStyle name="Input 30 5 2" xfId="24659"/>
    <cellStyle name="Input 30 5 2 10" xfId="32360"/>
    <cellStyle name="Input 30 5 2 10 2" xfId="41114"/>
    <cellStyle name="Input 30 5 2 11" xfId="33435"/>
    <cellStyle name="Input 30 5 2 2" xfId="29224"/>
    <cellStyle name="Input 30 5 2 2 2" xfId="37978"/>
    <cellStyle name="Input 30 5 2 3" xfId="29634"/>
    <cellStyle name="Input 30 5 2 3 2" xfId="38388"/>
    <cellStyle name="Input 30 5 2 4" xfId="30054"/>
    <cellStyle name="Input 30 5 2 4 2" xfId="38808"/>
    <cellStyle name="Input 30 5 2 5" xfId="30470"/>
    <cellStyle name="Input 30 5 2 5 2" xfId="39224"/>
    <cellStyle name="Input 30 5 2 6" xfId="30871"/>
    <cellStyle name="Input 30 5 2 6 2" xfId="39625"/>
    <cellStyle name="Input 30 5 2 7" xfId="31257"/>
    <cellStyle name="Input 30 5 2 7 2" xfId="40011"/>
    <cellStyle name="Input 30 5 2 8" xfId="31633"/>
    <cellStyle name="Input 30 5 2 8 2" xfId="40387"/>
    <cellStyle name="Input 30 5 2 9" xfId="31999"/>
    <cellStyle name="Input 30 5 2 9 2" xfId="40753"/>
    <cellStyle name="Input 30 5 3" xfId="28720"/>
    <cellStyle name="Input 30 5 3 2" xfId="37476"/>
    <cellStyle name="Input 30 5 4" xfId="24882"/>
    <cellStyle name="Input 30 5 4 2" xfId="33656"/>
    <cellStyle name="Input 30 5 5" xfId="26625"/>
    <cellStyle name="Input 30 5 5 2" xfId="35390"/>
    <cellStyle name="Input 30 5 6" xfId="25341"/>
    <cellStyle name="Input 30 5 6 2" xfId="34110"/>
    <cellStyle name="Input 30 5 7" xfId="25466"/>
    <cellStyle name="Input 30 5 7 2" xfId="34235"/>
    <cellStyle name="Input 30 5 8" xfId="24993"/>
    <cellStyle name="Input 30 5 8 2" xfId="33767"/>
    <cellStyle name="Input 30 5 9" xfId="27242"/>
    <cellStyle name="Input 30 5 9 2" xfId="36002"/>
    <cellStyle name="Input 30 6" xfId="25761"/>
    <cellStyle name="Input 30 6 2" xfId="34528"/>
    <cellStyle name="Input 30 7" xfId="27367"/>
    <cellStyle name="Input 30 7 2" xfId="36127"/>
    <cellStyle name="Input 30 8" xfId="25406"/>
    <cellStyle name="Input 30 8 2" xfId="34175"/>
    <cellStyle name="Input 30 9" xfId="25081"/>
    <cellStyle name="Input 30 9 2" xfId="33853"/>
    <cellStyle name="Input 31" xfId="6812"/>
    <cellStyle name="Input 31 2" xfId="18244"/>
    <cellStyle name="Input 31 2 10" xfId="28239"/>
    <cellStyle name="Input 31 2 10 2" xfId="36998"/>
    <cellStyle name="Input 31 2 11" xfId="29343"/>
    <cellStyle name="Input 31 2 11 2" xfId="38097"/>
    <cellStyle name="Input 31 2 12" xfId="32988"/>
    <cellStyle name="Input 31 2 13" xfId="41776"/>
    <cellStyle name="Input 31 2 14" xfId="43333"/>
    <cellStyle name="Input 31 2 15" xfId="43880"/>
    <cellStyle name="Input 31 2 2" xfId="24514"/>
    <cellStyle name="Input 31 2 2 10" xfId="32267"/>
    <cellStyle name="Input 31 2 2 10 2" xfId="41021"/>
    <cellStyle name="Input 31 2 2 11" xfId="33342"/>
    <cellStyle name="Input 31 2 2 2" xfId="29122"/>
    <cellStyle name="Input 31 2 2 2 2" xfId="37876"/>
    <cellStyle name="Input 31 2 2 3" xfId="29535"/>
    <cellStyle name="Input 31 2 2 3 2" xfId="38289"/>
    <cellStyle name="Input 31 2 2 4" xfId="29955"/>
    <cellStyle name="Input 31 2 2 4 2" xfId="38709"/>
    <cellStyle name="Input 31 2 2 5" xfId="30374"/>
    <cellStyle name="Input 31 2 2 5 2" xfId="39128"/>
    <cellStyle name="Input 31 2 2 6" xfId="30775"/>
    <cellStyle name="Input 31 2 2 6 2" xfId="39529"/>
    <cellStyle name="Input 31 2 2 7" xfId="31161"/>
    <cellStyle name="Input 31 2 2 7 2" xfId="39915"/>
    <cellStyle name="Input 31 2 2 8" xfId="31539"/>
    <cellStyle name="Input 31 2 2 8 2" xfId="40293"/>
    <cellStyle name="Input 31 2 2 9" xfId="31905"/>
    <cellStyle name="Input 31 2 2 9 2" xfId="40659"/>
    <cellStyle name="Input 31 2 3" xfId="27734"/>
    <cellStyle name="Input 31 2 3 2" xfId="36494"/>
    <cellStyle name="Input 31 2 4" xfId="27924"/>
    <cellStyle name="Input 31 2 4 2" xfId="36684"/>
    <cellStyle name="Input 31 2 5" xfId="28605"/>
    <cellStyle name="Input 31 2 5 2" xfId="37361"/>
    <cellStyle name="Input 31 2 6" xfId="28610"/>
    <cellStyle name="Input 31 2 6 2" xfId="37366"/>
    <cellStyle name="Input 31 2 7" xfId="25487"/>
    <cellStyle name="Input 31 2 7 2" xfId="34256"/>
    <cellStyle name="Input 31 2 8" xfId="26836"/>
    <cellStyle name="Input 31 2 8 2" xfId="35597"/>
    <cellStyle name="Input 31 2 9" xfId="26965"/>
    <cellStyle name="Input 31 2 9 2" xfId="35725"/>
    <cellStyle name="Input 31 3" xfId="23655"/>
    <cellStyle name="Input 31 3 10" xfId="25244"/>
    <cellStyle name="Input 31 3 10 2" xfId="34014"/>
    <cellStyle name="Input 31 3 11" xfId="26978"/>
    <cellStyle name="Input 31 3 11 2" xfId="35738"/>
    <cellStyle name="Input 31 3 12" xfId="33125"/>
    <cellStyle name="Input 31 3 2" xfId="24710"/>
    <cellStyle name="Input 31 3 2 10" xfId="32411"/>
    <cellStyle name="Input 31 3 2 10 2" xfId="41165"/>
    <cellStyle name="Input 31 3 2 11" xfId="33486"/>
    <cellStyle name="Input 31 3 2 2" xfId="29275"/>
    <cellStyle name="Input 31 3 2 2 2" xfId="38029"/>
    <cellStyle name="Input 31 3 2 3" xfId="29685"/>
    <cellStyle name="Input 31 3 2 3 2" xfId="38439"/>
    <cellStyle name="Input 31 3 2 4" xfId="30105"/>
    <cellStyle name="Input 31 3 2 4 2" xfId="38859"/>
    <cellStyle name="Input 31 3 2 5" xfId="30521"/>
    <cellStyle name="Input 31 3 2 5 2" xfId="39275"/>
    <cellStyle name="Input 31 3 2 6" xfId="30922"/>
    <cellStyle name="Input 31 3 2 6 2" xfId="39676"/>
    <cellStyle name="Input 31 3 2 7" xfId="31308"/>
    <cellStyle name="Input 31 3 2 7 2" xfId="40062"/>
    <cellStyle name="Input 31 3 2 8" xfId="31684"/>
    <cellStyle name="Input 31 3 2 8 2" xfId="40438"/>
    <cellStyle name="Input 31 3 2 9" xfId="32050"/>
    <cellStyle name="Input 31 3 2 9 2" xfId="40804"/>
    <cellStyle name="Input 31 3 3" xfId="28771"/>
    <cellStyle name="Input 31 3 3 2" xfId="37527"/>
    <cellStyle name="Input 31 3 4" xfId="24796"/>
    <cellStyle name="Input 31 3 4 2" xfId="33572"/>
    <cellStyle name="Input 31 3 5" xfId="24849"/>
    <cellStyle name="Input 31 3 5 2" xfId="33623"/>
    <cellStyle name="Input 31 3 6" xfId="26466"/>
    <cellStyle name="Input 31 3 6 2" xfId="35231"/>
    <cellStyle name="Input 31 3 7" xfId="25125"/>
    <cellStyle name="Input 31 3 7 2" xfId="33897"/>
    <cellStyle name="Input 31 3 8" xfId="27624"/>
    <cellStyle name="Input 31 3 8 2" xfId="36384"/>
    <cellStyle name="Input 31 3 9" xfId="27602"/>
    <cellStyle name="Input 31 3 9 2" xfId="36362"/>
    <cellStyle name="Input 31 4" xfId="24407"/>
    <cellStyle name="Input 31 4 10" xfId="32166"/>
    <cellStyle name="Input 31 4 10 2" xfId="40920"/>
    <cellStyle name="Input 31 4 11" xfId="33241"/>
    <cellStyle name="Input 31 4 2" xfId="29020"/>
    <cellStyle name="Input 31 4 2 2" xfId="37774"/>
    <cellStyle name="Input 31 4 3" xfId="29433"/>
    <cellStyle name="Input 31 4 3 2" xfId="38187"/>
    <cellStyle name="Input 31 4 4" xfId="29854"/>
    <cellStyle name="Input 31 4 4 2" xfId="38608"/>
    <cellStyle name="Input 31 4 5" xfId="30271"/>
    <cellStyle name="Input 31 4 5 2" xfId="39025"/>
    <cellStyle name="Input 31 4 6" xfId="30672"/>
    <cellStyle name="Input 31 4 6 2" xfId="39426"/>
    <cellStyle name="Input 31 4 7" xfId="31058"/>
    <cellStyle name="Input 31 4 7 2" xfId="39812"/>
    <cellStyle name="Input 31 4 8" xfId="31436"/>
    <cellStyle name="Input 31 4 8 2" xfId="40190"/>
    <cellStyle name="Input 31 4 9" xfId="31804"/>
    <cellStyle name="Input 31 4 9 2" xfId="40558"/>
    <cellStyle name="Input 31 5" xfId="32763"/>
    <cellStyle name="Input 32" xfId="6876"/>
    <cellStyle name="Input 32 10" xfId="25320"/>
    <cellStyle name="Input 32 10 2" xfId="34089"/>
    <cellStyle name="Input 32 11" xfId="28103"/>
    <cellStyle name="Input 32 11 2" xfId="36862"/>
    <cellStyle name="Input 32 12" xfId="32777"/>
    <cellStyle name="Input 32 13" xfId="41777"/>
    <cellStyle name="Input 32 2" xfId="18258"/>
    <cellStyle name="Input 32 2 10" xfId="26241"/>
    <cellStyle name="Input 32 2 10 2" xfId="35007"/>
    <cellStyle name="Input 32 2 11" xfId="1752"/>
    <cellStyle name="Input 32 2 11 2" xfId="32560"/>
    <cellStyle name="Input 32 2 12" xfId="33002"/>
    <cellStyle name="Input 32 2 13" xfId="41778"/>
    <cellStyle name="Input 32 2 14" xfId="43332"/>
    <cellStyle name="Input 32 2 15" xfId="43881"/>
    <cellStyle name="Input 32 2 2" xfId="24528"/>
    <cellStyle name="Input 32 2 2 10" xfId="32281"/>
    <cellStyle name="Input 32 2 2 10 2" xfId="41035"/>
    <cellStyle name="Input 32 2 2 11" xfId="33356"/>
    <cellStyle name="Input 32 2 2 2" xfId="29136"/>
    <cellStyle name="Input 32 2 2 2 2" xfId="37890"/>
    <cellStyle name="Input 32 2 2 3" xfId="29549"/>
    <cellStyle name="Input 32 2 2 3 2" xfId="38303"/>
    <cellStyle name="Input 32 2 2 4" xfId="29969"/>
    <cellStyle name="Input 32 2 2 4 2" xfId="38723"/>
    <cellStyle name="Input 32 2 2 5" xfId="30388"/>
    <cellStyle name="Input 32 2 2 5 2" xfId="39142"/>
    <cellStyle name="Input 32 2 2 6" xfId="30789"/>
    <cellStyle name="Input 32 2 2 6 2" xfId="39543"/>
    <cellStyle name="Input 32 2 2 7" xfId="31175"/>
    <cellStyle name="Input 32 2 2 7 2" xfId="39929"/>
    <cellStyle name="Input 32 2 2 8" xfId="31553"/>
    <cellStyle name="Input 32 2 2 8 2" xfId="40307"/>
    <cellStyle name="Input 32 2 2 9" xfId="31919"/>
    <cellStyle name="Input 32 2 2 9 2" xfId="40673"/>
    <cellStyle name="Input 32 2 3" xfId="27748"/>
    <cellStyle name="Input 32 2 3 2" xfId="36508"/>
    <cellStyle name="Input 32 2 4" xfId="27921"/>
    <cellStyle name="Input 32 2 4 2" xfId="36681"/>
    <cellStyle name="Input 32 2 5" xfId="27609"/>
    <cellStyle name="Input 32 2 5 2" xfId="36369"/>
    <cellStyle name="Input 32 2 6" xfId="26856"/>
    <cellStyle name="Input 32 2 6 2" xfId="35617"/>
    <cellStyle name="Input 32 2 7" xfId="28135"/>
    <cellStyle name="Input 32 2 7 2" xfId="36894"/>
    <cellStyle name="Input 32 2 8" xfId="28138"/>
    <cellStyle name="Input 32 2 8 2" xfId="36897"/>
    <cellStyle name="Input 32 2 9" xfId="2866"/>
    <cellStyle name="Input 32 2 9 2" xfId="32665"/>
    <cellStyle name="Input 32 3" xfId="23669"/>
    <cellStyle name="Input 32 3 10" xfId="30623"/>
    <cellStyle name="Input 32 3 10 2" xfId="39377"/>
    <cellStyle name="Input 32 3 11" xfId="31010"/>
    <cellStyle name="Input 32 3 11 2" xfId="39764"/>
    <cellStyle name="Input 32 3 12" xfId="33139"/>
    <cellStyle name="Input 32 3 2" xfId="24724"/>
    <cellStyle name="Input 32 3 2 10" xfId="32425"/>
    <cellStyle name="Input 32 3 2 10 2" xfId="41179"/>
    <cellStyle name="Input 32 3 2 11" xfId="33500"/>
    <cellStyle name="Input 32 3 2 2" xfId="29289"/>
    <cellStyle name="Input 32 3 2 2 2" xfId="38043"/>
    <cellStyle name="Input 32 3 2 3" xfId="29699"/>
    <cellStyle name="Input 32 3 2 3 2" xfId="38453"/>
    <cellStyle name="Input 32 3 2 4" xfId="30119"/>
    <cellStyle name="Input 32 3 2 4 2" xfId="38873"/>
    <cellStyle name="Input 32 3 2 5" xfId="30535"/>
    <cellStyle name="Input 32 3 2 5 2" xfId="39289"/>
    <cellStyle name="Input 32 3 2 6" xfId="30936"/>
    <cellStyle name="Input 32 3 2 6 2" xfId="39690"/>
    <cellStyle name="Input 32 3 2 7" xfId="31322"/>
    <cellStyle name="Input 32 3 2 7 2" xfId="40076"/>
    <cellStyle name="Input 32 3 2 8" xfId="31698"/>
    <cellStyle name="Input 32 3 2 8 2" xfId="40452"/>
    <cellStyle name="Input 32 3 2 9" xfId="32064"/>
    <cellStyle name="Input 32 3 2 9 2" xfId="40818"/>
    <cellStyle name="Input 32 3 3" xfId="28785"/>
    <cellStyle name="Input 32 3 3 2" xfId="37541"/>
    <cellStyle name="Input 32 3 4" xfId="25058"/>
    <cellStyle name="Input 32 3 4 2" xfId="33832"/>
    <cellStyle name="Input 32 3 5" xfId="25528"/>
    <cellStyle name="Input 32 3 5 2" xfId="34296"/>
    <cellStyle name="Input 32 3 6" xfId="28659"/>
    <cellStyle name="Input 32 3 6 2" xfId="37415"/>
    <cellStyle name="Input 32 3 7" xfId="25627"/>
    <cellStyle name="Input 32 3 7 2" xfId="34394"/>
    <cellStyle name="Input 32 3 8" xfId="28436"/>
    <cellStyle name="Input 32 3 8 2" xfId="37193"/>
    <cellStyle name="Input 32 3 9" xfId="30222"/>
    <cellStyle name="Input 32 3 9 2" xfId="38976"/>
    <cellStyle name="Input 32 4" xfId="28595"/>
    <cellStyle name="Input 32 4 2" xfId="37351"/>
    <cellStyle name="Input 32 5" xfId="26991"/>
    <cellStyle name="Input 32 5 2" xfId="35751"/>
    <cellStyle name="Input 32 6" xfId="25658"/>
    <cellStyle name="Input 32 6 2" xfId="34425"/>
    <cellStyle name="Input 32 7" xfId="25373"/>
    <cellStyle name="Input 32 7 2" xfId="34142"/>
    <cellStyle name="Input 32 8" xfId="29735"/>
    <cellStyle name="Input 32 8 2" xfId="38489"/>
    <cellStyle name="Input 32 9" xfId="28590"/>
    <cellStyle name="Input 32 9 2" xfId="37346"/>
    <cellStyle name="Input 33" xfId="9853"/>
    <cellStyle name="Input 33 10" xfId="28403"/>
    <cellStyle name="Input 33 10 2" xfId="37160"/>
    <cellStyle name="Input 33 11" xfId="27273"/>
    <cellStyle name="Input 33 11 2" xfId="36033"/>
    <cellStyle name="Input 33 12" xfId="32820"/>
    <cellStyle name="Input 33 13" xfId="41779"/>
    <cellStyle name="Input 33 14" xfId="43331"/>
    <cellStyle name="Input 33 15" xfId="43882"/>
    <cellStyle name="Input 33 2" xfId="24297"/>
    <cellStyle name="Input 33 2 10" xfId="32102"/>
    <cellStyle name="Input 33 2 10 2" xfId="40856"/>
    <cellStyle name="Input 33 2 11" xfId="33177"/>
    <cellStyle name="Input 33 2 12" xfId="41780"/>
    <cellStyle name="Input 33 2 13" xfId="43330"/>
    <cellStyle name="Input 33 2 14" xfId="43883"/>
    <cellStyle name="Input 33 2 2" xfId="28949"/>
    <cellStyle name="Input 33 2 2 2" xfId="37704"/>
    <cellStyle name="Input 33 2 3" xfId="29363"/>
    <cellStyle name="Input 33 2 3 2" xfId="38117"/>
    <cellStyle name="Input 33 2 4" xfId="29788"/>
    <cellStyle name="Input 33 2 4 2" xfId="38542"/>
    <cellStyle name="Input 33 2 5" xfId="30203"/>
    <cellStyle name="Input 33 2 5 2" xfId="38957"/>
    <cellStyle name="Input 33 2 6" xfId="30604"/>
    <cellStyle name="Input 33 2 6 2" xfId="39358"/>
    <cellStyle name="Input 33 2 7" xfId="30991"/>
    <cellStyle name="Input 33 2 7 2" xfId="39745"/>
    <cellStyle name="Input 33 2 8" xfId="31371"/>
    <cellStyle name="Input 33 2 8 2" xfId="40125"/>
    <cellStyle name="Input 33 2 9" xfId="31739"/>
    <cellStyle name="Input 33 2 9 2" xfId="40493"/>
    <cellStyle name="Input 33 3" xfId="26197"/>
    <cellStyle name="Input 33 3 2" xfId="34963"/>
    <cellStyle name="Input 33 4" xfId="26339"/>
    <cellStyle name="Input 33 4 2" xfId="35105"/>
    <cellStyle name="Input 33 5" xfId="26850"/>
    <cellStyle name="Input 33 5 2" xfId="35611"/>
    <cellStyle name="Input 33 6" xfId="28653"/>
    <cellStyle name="Input 33 6 2" xfId="37409"/>
    <cellStyle name="Input 33 7" xfId="27371"/>
    <cellStyle name="Input 33 7 2" xfId="36131"/>
    <cellStyle name="Input 33 8" xfId="28217"/>
    <cellStyle name="Input 33 8 2" xfId="36976"/>
    <cellStyle name="Input 33 9" xfId="27445"/>
    <cellStyle name="Input 33 9 2" xfId="36205"/>
    <cellStyle name="Input 34" xfId="18295"/>
    <cellStyle name="Input 34 10" xfId="25096"/>
    <cellStyle name="Input 34 10 2" xfId="33868"/>
    <cellStyle name="Input 34 11" xfId="27492"/>
    <cellStyle name="Input 34 11 2" xfId="36252"/>
    <cellStyle name="Input 34 12" xfId="33038"/>
    <cellStyle name="Input 34 13" xfId="41781"/>
    <cellStyle name="Input 34 14" xfId="43329"/>
    <cellStyle name="Input 34 15" xfId="43884"/>
    <cellStyle name="Input 34 2" xfId="24564"/>
    <cellStyle name="Input 34 2 10" xfId="32317"/>
    <cellStyle name="Input 34 2 10 2" xfId="41071"/>
    <cellStyle name="Input 34 2 11" xfId="33392"/>
    <cellStyle name="Input 34 2 12" xfId="41782"/>
    <cellStyle name="Input 34 2 13" xfId="43328"/>
    <cellStyle name="Input 34 2 14" xfId="43885"/>
    <cellStyle name="Input 34 2 2" xfId="29172"/>
    <cellStyle name="Input 34 2 2 2" xfId="37926"/>
    <cellStyle name="Input 34 2 3" xfId="29585"/>
    <cellStyle name="Input 34 2 3 2" xfId="38339"/>
    <cellStyle name="Input 34 2 4" xfId="30005"/>
    <cellStyle name="Input 34 2 4 2" xfId="38759"/>
    <cellStyle name="Input 34 2 5" xfId="30424"/>
    <cellStyle name="Input 34 2 5 2" xfId="39178"/>
    <cellStyle name="Input 34 2 6" xfId="30825"/>
    <cellStyle name="Input 34 2 6 2" xfId="39579"/>
    <cellStyle name="Input 34 2 7" xfId="31211"/>
    <cellStyle name="Input 34 2 7 2" xfId="39965"/>
    <cellStyle name="Input 34 2 8" xfId="31589"/>
    <cellStyle name="Input 34 2 8 2" xfId="40343"/>
    <cellStyle name="Input 34 2 9" xfId="31955"/>
    <cellStyle name="Input 34 2 9 2" xfId="40709"/>
    <cellStyle name="Input 34 3" xfId="27784"/>
    <cellStyle name="Input 34 3 2" xfId="36544"/>
    <cellStyle name="Input 34 4" xfId="28331"/>
    <cellStyle name="Input 34 4 2" xfId="37090"/>
    <cellStyle name="Input 34 5" xfId="26438"/>
    <cellStyle name="Input 34 5 2" xfId="35203"/>
    <cellStyle name="Input 34 6" xfId="27264"/>
    <cellStyle name="Input 34 6 2" xfId="36024"/>
    <cellStyle name="Input 34 7" xfId="27858"/>
    <cellStyle name="Input 34 7 2" xfId="36618"/>
    <cellStyle name="Input 34 8" xfId="25719"/>
    <cellStyle name="Input 34 8 2" xfId="34486"/>
    <cellStyle name="Input 34 9" xfId="27171"/>
    <cellStyle name="Input 34 9 2" xfId="35931"/>
    <cellStyle name="Input 35" xfId="18455"/>
    <cellStyle name="Input 35 10" xfId="26684"/>
    <cellStyle name="Input 35 10 2" xfId="35448"/>
    <cellStyle name="Input 35 11" xfId="27802"/>
    <cellStyle name="Input 35 11 2" xfId="36562"/>
    <cellStyle name="Input 35 12" xfId="33040"/>
    <cellStyle name="Input 35 13" xfId="41783"/>
    <cellStyle name="Input 35 14" xfId="43327"/>
    <cellStyle name="Input 35 15" xfId="43886"/>
    <cellStyle name="Input 35 2" xfId="24566"/>
    <cellStyle name="Input 35 2 10" xfId="32319"/>
    <cellStyle name="Input 35 2 10 2" xfId="41073"/>
    <cellStyle name="Input 35 2 11" xfId="33394"/>
    <cellStyle name="Input 35 2 2" xfId="29174"/>
    <cellStyle name="Input 35 2 2 2" xfId="37928"/>
    <cellStyle name="Input 35 2 3" xfId="29587"/>
    <cellStyle name="Input 35 2 3 2" xfId="38341"/>
    <cellStyle name="Input 35 2 4" xfId="30007"/>
    <cellStyle name="Input 35 2 4 2" xfId="38761"/>
    <cellStyle name="Input 35 2 5" xfId="30426"/>
    <cellStyle name="Input 35 2 5 2" xfId="39180"/>
    <cellStyle name="Input 35 2 6" xfId="30827"/>
    <cellStyle name="Input 35 2 6 2" xfId="39581"/>
    <cellStyle name="Input 35 2 7" xfId="31213"/>
    <cellStyle name="Input 35 2 7 2" xfId="39967"/>
    <cellStyle name="Input 35 2 8" xfId="31591"/>
    <cellStyle name="Input 35 2 8 2" xfId="40345"/>
    <cellStyle name="Input 35 2 9" xfId="31957"/>
    <cellStyle name="Input 35 2 9 2" xfId="40711"/>
    <cellStyle name="Input 35 3" xfId="27815"/>
    <cellStyle name="Input 35 3 2" xfId="36575"/>
    <cellStyle name="Input 35 4" xfId="27916"/>
    <cellStyle name="Input 35 4 2" xfId="36676"/>
    <cellStyle name="Input 35 5" xfId="26134"/>
    <cellStyle name="Input 35 5 2" xfId="34900"/>
    <cellStyle name="Input 35 6" xfId="27548"/>
    <cellStyle name="Input 35 6 2" xfId="36308"/>
    <cellStyle name="Input 35 7" xfId="26627"/>
    <cellStyle name="Input 35 7 2" xfId="35392"/>
    <cellStyle name="Input 35 8" xfId="27947"/>
    <cellStyle name="Input 35 8 2" xfId="36707"/>
    <cellStyle name="Input 35 9" xfId="27950"/>
    <cellStyle name="Input 35 9 2" xfId="36710"/>
    <cellStyle name="Input 36" xfId="23701"/>
    <cellStyle name="Input 36 10" xfId="28039"/>
    <cellStyle name="Input 36 10 2" xfId="36798"/>
    <cellStyle name="Input 36 11" xfId="25367"/>
    <cellStyle name="Input 36 11 2" xfId="34136"/>
    <cellStyle name="Input 36 12" xfId="33171"/>
    <cellStyle name="Input 36 13" xfId="41784"/>
    <cellStyle name="Input 36 2" xfId="24756"/>
    <cellStyle name="Input 36 2 10" xfId="32457"/>
    <cellStyle name="Input 36 2 10 2" xfId="41211"/>
    <cellStyle name="Input 36 2 11" xfId="33532"/>
    <cellStyle name="Input 36 2 2" xfId="29321"/>
    <cellStyle name="Input 36 2 2 2" xfId="38075"/>
    <cellStyle name="Input 36 2 3" xfId="29731"/>
    <cellStyle name="Input 36 2 3 2" xfId="38485"/>
    <cellStyle name="Input 36 2 4" xfId="30151"/>
    <cellStyle name="Input 36 2 4 2" xfId="38905"/>
    <cellStyle name="Input 36 2 5" xfId="30567"/>
    <cellStyle name="Input 36 2 5 2" xfId="39321"/>
    <cellStyle name="Input 36 2 6" xfId="30968"/>
    <cellStyle name="Input 36 2 6 2" xfId="39722"/>
    <cellStyle name="Input 36 2 7" xfId="31354"/>
    <cellStyle name="Input 36 2 7 2" xfId="40108"/>
    <cellStyle name="Input 36 2 8" xfId="31730"/>
    <cellStyle name="Input 36 2 8 2" xfId="40484"/>
    <cellStyle name="Input 36 2 9" xfId="32096"/>
    <cellStyle name="Input 36 2 9 2" xfId="40850"/>
    <cellStyle name="Input 36 3" xfId="28817"/>
    <cellStyle name="Input 36 3 2" xfId="37573"/>
    <cellStyle name="Input 36 4" xfId="24951"/>
    <cellStyle name="Input 36 4 2" xfId="33725"/>
    <cellStyle name="Input 36 5" xfId="1791"/>
    <cellStyle name="Input 36 5 2" xfId="32599"/>
    <cellStyle name="Input 36 6" xfId="24841"/>
    <cellStyle name="Input 36 6 2" xfId="33615"/>
    <cellStyle name="Input 36 7" xfId="26364"/>
    <cellStyle name="Input 36 7 2" xfId="35130"/>
    <cellStyle name="Input 36 8" xfId="29346"/>
    <cellStyle name="Input 36 8 2" xfId="38100"/>
    <cellStyle name="Input 36 9" xfId="27115"/>
    <cellStyle name="Input 36 9 2" xfId="35875"/>
    <cellStyle name="Input 37" xfId="10073"/>
    <cellStyle name="Input 37 10" xfId="26519"/>
    <cellStyle name="Input 37 10 2" xfId="35284"/>
    <cellStyle name="Input 37 11" xfId="32823"/>
    <cellStyle name="Input 37 12" xfId="41785"/>
    <cellStyle name="Input 37 13" xfId="43326"/>
    <cellStyle name="Input 37 14" xfId="43887"/>
    <cellStyle name="Input 37 2" xfId="26225"/>
    <cellStyle name="Input 37 2 2" xfId="34991"/>
    <cellStyle name="Input 37 3" xfId="25344"/>
    <cellStyle name="Input 37 3 2" xfId="34113"/>
    <cellStyle name="Input 37 4" xfId="28247"/>
    <cellStyle name="Input 37 4 2" xfId="37006"/>
    <cellStyle name="Input 37 5" xfId="25698"/>
    <cellStyle name="Input 37 5 2" xfId="34465"/>
    <cellStyle name="Input 37 6" xfId="25951"/>
    <cellStyle name="Input 37 6 2" xfId="34717"/>
    <cellStyle name="Input 37 7" xfId="28868"/>
    <cellStyle name="Input 37 7 2" xfId="37624"/>
    <cellStyle name="Input 37 8" xfId="24946"/>
    <cellStyle name="Input 37 8 2" xfId="33720"/>
    <cellStyle name="Input 37 9" xfId="28303"/>
    <cellStyle name="Input 37 9 2" xfId="37062"/>
    <cellStyle name="Input 38" xfId="10120"/>
    <cellStyle name="Input 38 10" xfId="25307"/>
    <cellStyle name="Input 38 10 2" xfId="34076"/>
    <cellStyle name="Input 38 11" xfId="32824"/>
    <cellStyle name="Input 38 12" xfId="41786"/>
    <cellStyle name="Input 38 13" xfId="43325"/>
    <cellStyle name="Input 38 14" xfId="43888"/>
    <cellStyle name="Input 38 2" xfId="26233"/>
    <cellStyle name="Input 38 2 2" xfId="34999"/>
    <cellStyle name="Input 38 3" xfId="25940"/>
    <cellStyle name="Input 38 3 2" xfId="34706"/>
    <cellStyle name="Input 38 4" xfId="26882"/>
    <cellStyle name="Input 38 4 2" xfId="35642"/>
    <cellStyle name="Input 38 5" xfId="28694"/>
    <cellStyle name="Input 38 5 2" xfId="37450"/>
    <cellStyle name="Input 38 6" xfId="28083"/>
    <cellStyle name="Input 38 6 2" xfId="36842"/>
    <cellStyle name="Input 38 7" xfId="28545"/>
    <cellStyle name="Input 38 7 2" xfId="37301"/>
    <cellStyle name="Input 38 8" xfId="24928"/>
    <cellStyle name="Input 38 8 2" xfId="33702"/>
    <cellStyle name="Input 38 9" xfId="2933"/>
    <cellStyle name="Input 38 9 2" xfId="32684"/>
    <cellStyle name="Input 39" xfId="18060"/>
    <cellStyle name="Input 39 10" xfId="25993"/>
    <cellStyle name="Input 39 10 2" xfId="34759"/>
    <cellStyle name="Input 39 11" xfId="32887"/>
    <cellStyle name="Input 39 12" xfId="41787"/>
    <cellStyle name="Input 39 2" xfId="27619"/>
    <cellStyle name="Input 39 2 2" xfId="36379"/>
    <cellStyle name="Input 39 3" xfId="28549"/>
    <cellStyle name="Input 39 3 2" xfId="37305"/>
    <cellStyle name="Input 39 4" xfId="26033"/>
    <cellStyle name="Input 39 4 2" xfId="34799"/>
    <cellStyle name="Input 39 5" xfId="28043"/>
    <cellStyle name="Input 39 5 2" xfId="36802"/>
    <cellStyle name="Input 39 6" xfId="26014"/>
    <cellStyle name="Input 39 6 2" xfId="34780"/>
    <cellStyle name="Input 39 7" xfId="27612"/>
    <cellStyle name="Input 39 7 2" xfId="36372"/>
    <cellStyle name="Input 39 8" xfId="25004"/>
    <cellStyle name="Input 39 8 2" xfId="33778"/>
    <cellStyle name="Input 39 9" xfId="29761"/>
    <cellStyle name="Input 39 9 2" xfId="38515"/>
    <cellStyle name="Input 4" xfId="642"/>
    <cellStyle name="Input 4 10" xfId="24773"/>
    <cellStyle name="Input 4 10 2" xfId="33549"/>
    <cellStyle name="Input 4 11" xfId="25977"/>
    <cellStyle name="Input 4 11 2" xfId="34743"/>
    <cellStyle name="Input 4 12" xfId="28861"/>
    <cellStyle name="Input 4 12 2" xfId="37617"/>
    <cellStyle name="Input 4 13" xfId="24858"/>
    <cellStyle name="Input 4 13 2" xfId="33632"/>
    <cellStyle name="Input 4 14" xfId="41788"/>
    <cellStyle name="Input 4 2" xfId="919"/>
    <cellStyle name="Input 4 2 10" xfId="26181"/>
    <cellStyle name="Input 4 2 10 2" xfId="34947"/>
    <cellStyle name="Input 4 2 11" xfId="1693"/>
    <cellStyle name="Input 4 2 11 2" xfId="32506"/>
    <cellStyle name="Input 4 2 12" xfId="25936"/>
    <cellStyle name="Input 4 2 12 2" xfId="34702"/>
    <cellStyle name="Input 4 2 13" xfId="26335"/>
    <cellStyle name="Input 4 2 13 2" xfId="35101"/>
    <cellStyle name="Input 4 2 14" xfId="25099"/>
    <cellStyle name="Input 4 2 14 2" xfId="33871"/>
    <cellStyle name="Input 4 2 15" xfId="25944"/>
    <cellStyle name="Input 4 2 15 2" xfId="34710"/>
    <cellStyle name="Input 4 2 16" xfId="41789"/>
    <cellStyle name="Input 4 2 2" xfId="6750"/>
    <cellStyle name="Input 4 2 2 10" xfId="27313"/>
    <cellStyle name="Input 4 2 2 10 2" xfId="36073"/>
    <cellStyle name="Input 4 2 2 11" xfId="26861"/>
    <cellStyle name="Input 4 2 2 11 2" xfId="35622"/>
    <cellStyle name="Input 4 2 2 12" xfId="28578"/>
    <cellStyle name="Input 4 2 2 12 2" xfId="37334"/>
    <cellStyle name="Input 4 2 2 13" xfId="1731"/>
    <cellStyle name="Input 4 2 2 13 2" xfId="32542"/>
    <cellStyle name="Input 4 2 2 14" xfId="26964"/>
    <cellStyle name="Input 4 2 2 14 2" xfId="35724"/>
    <cellStyle name="Input 4 2 2 15" xfId="41790"/>
    <cellStyle name="Input 4 2 2 16" xfId="43437"/>
    <cellStyle name="Input 4 2 2 17" xfId="43889"/>
    <cellStyle name="Input 4 2 2 2" xfId="18241"/>
    <cellStyle name="Input 4 2 2 2 10" xfId="26110"/>
    <cellStyle name="Input 4 2 2 2 10 2" xfId="34876"/>
    <cellStyle name="Input 4 2 2 2 11" xfId="28371"/>
    <cellStyle name="Input 4 2 2 2 11 2" xfId="37129"/>
    <cellStyle name="Input 4 2 2 2 12" xfId="32985"/>
    <cellStyle name="Input 4 2 2 2 13" xfId="41791"/>
    <cellStyle name="Input 4 2 2 2 14" xfId="43814"/>
    <cellStyle name="Input 4 2 2 2 15" xfId="43890"/>
    <cellStyle name="Input 4 2 2 2 2" xfId="24511"/>
    <cellStyle name="Input 4 2 2 2 2 10" xfId="32264"/>
    <cellStyle name="Input 4 2 2 2 2 10 2" xfId="41018"/>
    <cellStyle name="Input 4 2 2 2 2 11" xfId="33339"/>
    <cellStyle name="Input 4 2 2 2 2 2" xfId="29119"/>
    <cellStyle name="Input 4 2 2 2 2 2 2" xfId="37873"/>
    <cellStyle name="Input 4 2 2 2 2 3" xfId="29532"/>
    <cellStyle name="Input 4 2 2 2 2 3 2" xfId="38286"/>
    <cellStyle name="Input 4 2 2 2 2 4" xfId="29952"/>
    <cellStyle name="Input 4 2 2 2 2 4 2" xfId="38706"/>
    <cellStyle name="Input 4 2 2 2 2 5" xfId="30371"/>
    <cellStyle name="Input 4 2 2 2 2 5 2" xfId="39125"/>
    <cellStyle name="Input 4 2 2 2 2 6" xfId="30772"/>
    <cellStyle name="Input 4 2 2 2 2 6 2" xfId="39526"/>
    <cellStyle name="Input 4 2 2 2 2 7" xfId="31158"/>
    <cellStyle name="Input 4 2 2 2 2 7 2" xfId="39912"/>
    <cellStyle name="Input 4 2 2 2 2 8" xfId="31536"/>
    <cellStyle name="Input 4 2 2 2 2 8 2" xfId="40290"/>
    <cellStyle name="Input 4 2 2 2 2 9" xfId="31902"/>
    <cellStyle name="Input 4 2 2 2 2 9 2" xfId="40656"/>
    <cellStyle name="Input 4 2 2 2 3" xfId="27731"/>
    <cellStyle name="Input 4 2 2 2 3 2" xfId="36491"/>
    <cellStyle name="Input 4 2 2 2 4" xfId="25605"/>
    <cellStyle name="Input 4 2 2 2 4 2" xfId="34372"/>
    <cellStyle name="Input 4 2 2 2 5" xfId="1755"/>
    <cellStyle name="Input 4 2 2 2 5 2" xfId="32563"/>
    <cellStyle name="Input 4 2 2 2 6" xfId="27166"/>
    <cellStyle name="Input 4 2 2 2 6 2" xfId="35926"/>
    <cellStyle name="Input 4 2 2 2 7" xfId="27149"/>
    <cellStyle name="Input 4 2 2 2 7 2" xfId="35909"/>
    <cellStyle name="Input 4 2 2 2 8" xfId="25757"/>
    <cellStyle name="Input 4 2 2 2 8 2" xfId="34524"/>
    <cellStyle name="Input 4 2 2 2 9" xfId="26659"/>
    <cellStyle name="Input 4 2 2 2 9 2" xfId="35424"/>
    <cellStyle name="Input 4 2 2 3" xfId="20910"/>
    <cellStyle name="Input 4 2 2 3 10" xfId="25203"/>
    <cellStyle name="Input 4 2 2 3 10 2" xfId="33974"/>
    <cellStyle name="Input 4 2 2 3 11" xfId="28391"/>
    <cellStyle name="Input 4 2 2 3 11 2" xfId="37148"/>
    <cellStyle name="Input 4 2 2 3 12" xfId="33059"/>
    <cellStyle name="Input 4 2 2 3 2" xfId="24611"/>
    <cellStyle name="Input 4 2 2 3 2 10" xfId="32341"/>
    <cellStyle name="Input 4 2 2 3 2 10 2" xfId="41095"/>
    <cellStyle name="Input 4 2 2 3 2 11" xfId="33416"/>
    <cellStyle name="Input 4 2 2 3 2 2" xfId="29200"/>
    <cellStyle name="Input 4 2 2 3 2 2 2" xfId="37954"/>
    <cellStyle name="Input 4 2 2 3 2 3" xfId="29611"/>
    <cellStyle name="Input 4 2 2 3 2 3 2" xfId="38365"/>
    <cellStyle name="Input 4 2 2 3 2 4" xfId="30032"/>
    <cellStyle name="Input 4 2 2 3 2 4 2" xfId="38786"/>
    <cellStyle name="Input 4 2 2 3 2 5" xfId="30449"/>
    <cellStyle name="Input 4 2 2 3 2 5 2" xfId="39203"/>
    <cellStyle name="Input 4 2 2 3 2 6" xfId="30850"/>
    <cellStyle name="Input 4 2 2 3 2 6 2" xfId="39604"/>
    <cellStyle name="Input 4 2 2 3 2 7" xfId="31236"/>
    <cellStyle name="Input 4 2 2 3 2 7 2" xfId="39990"/>
    <cellStyle name="Input 4 2 2 3 2 8" xfId="31613"/>
    <cellStyle name="Input 4 2 2 3 2 8 2" xfId="40367"/>
    <cellStyle name="Input 4 2 2 3 2 9" xfId="31979"/>
    <cellStyle name="Input 4 2 2 3 2 9 2" xfId="40733"/>
    <cellStyle name="Input 4 2 2 3 3" xfId="28254"/>
    <cellStyle name="Input 4 2 2 3 3 2" xfId="37013"/>
    <cellStyle name="Input 4 2 2 3 4" xfId="26764"/>
    <cellStyle name="Input 4 2 2 3 4 2" xfId="35526"/>
    <cellStyle name="Input 4 2 2 3 5" xfId="26638"/>
    <cellStyle name="Input 4 2 2 3 5 2" xfId="35403"/>
    <cellStyle name="Input 4 2 2 3 6" xfId="24855"/>
    <cellStyle name="Input 4 2 2 3 6 2" xfId="33629"/>
    <cellStyle name="Input 4 2 2 3 7" xfId="25315"/>
    <cellStyle name="Input 4 2 2 3 7 2" xfId="34084"/>
    <cellStyle name="Input 4 2 2 3 8" xfId="25906"/>
    <cellStyle name="Input 4 2 2 3 8 2" xfId="34672"/>
    <cellStyle name="Input 4 2 2 3 9" xfId="29772"/>
    <cellStyle name="Input 4 2 2 3 9 2" xfId="38526"/>
    <cellStyle name="Input 4 2 2 4" xfId="15435"/>
    <cellStyle name="Input 4 2 2 4 10" xfId="26306"/>
    <cellStyle name="Input 4 2 2 4 10 2" xfId="35072"/>
    <cellStyle name="Input 4 2 2 4 11" xfId="32885"/>
    <cellStyle name="Input 4 2 2 4 2" xfId="27200"/>
    <cellStyle name="Input 4 2 2 4 2 2" xfId="35960"/>
    <cellStyle name="Input 4 2 2 4 3" xfId="26876"/>
    <cellStyle name="Input 4 2 2 4 3 2" xfId="35636"/>
    <cellStyle name="Input 4 2 2 4 4" xfId="28279"/>
    <cellStyle name="Input 4 2 2 4 4 2" xfId="37038"/>
    <cellStyle name="Input 4 2 2 4 5" xfId="28508"/>
    <cellStyle name="Input 4 2 2 4 5 2" xfId="37264"/>
    <cellStyle name="Input 4 2 2 4 6" xfId="25966"/>
    <cellStyle name="Input 4 2 2 4 6 2" xfId="34732"/>
    <cellStyle name="Input 4 2 2 4 7" xfId="26159"/>
    <cellStyle name="Input 4 2 2 4 7 2" xfId="34925"/>
    <cellStyle name="Input 4 2 2 4 8" xfId="1756"/>
    <cellStyle name="Input 4 2 2 4 8 2" xfId="32564"/>
    <cellStyle name="Input 4 2 2 4 9" xfId="25773"/>
    <cellStyle name="Input 4 2 2 4 9 2" xfId="34540"/>
    <cellStyle name="Input 4 2 2 5" xfId="24381"/>
    <cellStyle name="Input 4 2 2 5 10" xfId="32160"/>
    <cellStyle name="Input 4 2 2 5 10 2" xfId="40914"/>
    <cellStyle name="Input 4 2 2 5 11" xfId="33235"/>
    <cellStyle name="Input 4 2 2 5 2" xfId="29012"/>
    <cellStyle name="Input 4 2 2 5 2 2" xfId="37766"/>
    <cellStyle name="Input 4 2 2 5 3" xfId="29425"/>
    <cellStyle name="Input 4 2 2 5 3 2" xfId="38179"/>
    <cellStyle name="Input 4 2 2 5 4" xfId="29848"/>
    <cellStyle name="Input 4 2 2 5 4 2" xfId="38602"/>
    <cellStyle name="Input 4 2 2 5 5" xfId="30263"/>
    <cellStyle name="Input 4 2 2 5 5 2" xfId="39017"/>
    <cellStyle name="Input 4 2 2 5 6" xfId="30664"/>
    <cellStyle name="Input 4 2 2 5 6 2" xfId="39418"/>
    <cellStyle name="Input 4 2 2 5 7" xfId="31051"/>
    <cellStyle name="Input 4 2 2 5 7 2" xfId="39805"/>
    <cellStyle name="Input 4 2 2 5 8" xfId="31430"/>
    <cellStyle name="Input 4 2 2 5 8 2" xfId="40184"/>
    <cellStyle name="Input 4 2 2 5 9" xfId="31798"/>
    <cellStyle name="Input 4 2 2 5 9 2" xfId="40552"/>
    <cellStyle name="Input 4 2 2 6" xfId="25686"/>
    <cellStyle name="Input 4 2 2 6 2" xfId="34453"/>
    <cellStyle name="Input 4 2 2 7" xfId="25821"/>
    <cellStyle name="Input 4 2 2 7 2" xfId="34587"/>
    <cellStyle name="Input 4 2 2 8" xfId="26600"/>
    <cellStyle name="Input 4 2 2 8 2" xfId="35365"/>
    <cellStyle name="Input 4 2 2 9" xfId="26731"/>
    <cellStyle name="Input 4 2 2 9 2" xfId="35494"/>
    <cellStyle name="Input 4 2 3" xfId="14031"/>
    <cellStyle name="Input 4 2 3 10" xfId="25954"/>
    <cellStyle name="Input 4 2 3 10 2" xfId="34720"/>
    <cellStyle name="Input 4 2 3 11" xfId="26480"/>
    <cellStyle name="Input 4 2 3 11 2" xfId="35245"/>
    <cellStyle name="Input 4 2 3 12" xfId="32847"/>
    <cellStyle name="Input 4 2 3 2" xfId="24315"/>
    <cellStyle name="Input 4 2 3 2 10" xfId="32119"/>
    <cellStyle name="Input 4 2 3 2 10 2" xfId="40873"/>
    <cellStyle name="Input 4 2 3 2 11" xfId="33194"/>
    <cellStyle name="Input 4 2 3 2 2" xfId="28967"/>
    <cellStyle name="Input 4 2 3 2 2 2" xfId="37721"/>
    <cellStyle name="Input 4 2 3 2 3" xfId="29380"/>
    <cellStyle name="Input 4 2 3 2 3 2" xfId="38134"/>
    <cellStyle name="Input 4 2 3 2 4" xfId="29805"/>
    <cellStyle name="Input 4 2 3 2 4 2" xfId="38559"/>
    <cellStyle name="Input 4 2 3 2 5" xfId="30220"/>
    <cellStyle name="Input 4 2 3 2 5 2" xfId="38974"/>
    <cellStyle name="Input 4 2 3 2 6" xfId="30621"/>
    <cellStyle name="Input 4 2 3 2 6 2" xfId="39375"/>
    <cellStyle name="Input 4 2 3 2 7" xfId="31008"/>
    <cellStyle name="Input 4 2 3 2 7 2" xfId="39762"/>
    <cellStyle name="Input 4 2 3 2 8" xfId="31388"/>
    <cellStyle name="Input 4 2 3 2 8 2" xfId="40142"/>
    <cellStyle name="Input 4 2 3 2 9" xfId="31756"/>
    <cellStyle name="Input 4 2 3 2 9 2" xfId="40510"/>
    <cellStyle name="Input 4 2 3 3" xfId="26924"/>
    <cellStyle name="Input 4 2 3 3 2" xfId="35684"/>
    <cellStyle name="Input 4 2 3 4" xfId="28690"/>
    <cellStyle name="Input 4 2 3 4 2" xfId="37446"/>
    <cellStyle name="Input 4 2 3 5" xfId="25677"/>
    <cellStyle name="Input 4 2 3 5 2" xfId="34444"/>
    <cellStyle name="Input 4 2 3 6" xfId="25774"/>
    <cellStyle name="Input 4 2 3 6 2" xfId="34541"/>
    <cellStyle name="Input 4 2 3 7" xfId="28480"/>
    <cellStyle name="Input 4 2 3 7 2" xfId="37237"/>
    <cellStyle name="Input 4 2 3 8" xfId="26307"/>
    <cellStyle name="Input 4 2 3 8 2" xfId="35073"/>
    <cellStyle name="Input 4 2 3 9" xfId="28130"/>
    <cellStyle name="Input 4 2 3 9 2" xfId="36889"/>
    <cellStyle name="Input 4 2 4" xfId="18163"/>
    <cellStyle name="Input 4 2 4 10" xfId="25541"/>
    <cellStyle name="Input 4 2 4 10 2" xfId="34308"/>
    <cellStyle name="Input 4 2 4 11" xfId="26979"/>
    <cellStyle name="Input 4 2 4 11 2" xfId="35739"/>
    <cellStyle name="Input 4 2 4 12" xfId="32907"/>
    <cellStyle name="Input 4 2 4 2" xfId="24433"/>
    <cellStyle name="Input 4 2 4 2 10" xfId="32186"/>
    <cellStyle name="Input 4 2 4 2 10 2" xfId="40940"/>
    <cellStyle name="Input 4 2 4 2 11" xfId="33261"/>
    <cellStyle name="Input 4 2 4 2 2" xfId="29041"/>
    <cellStyle name="Input 4 2 4 2 2 2" xfId="37795"/>
    <cellStyle name="Input 4 2 4 2 3" xfId="29454"/>
    <cellStyle name="Input 4 2 4 2 3 2" xfId="38208"/>
    <cellStyle name="Input 4 2 4 2 4" xfId="29874"/>
    <cellStyle name="Input 4 2 4 2 4 2" xfId="38628"/>
    <cellStyle name="Input 4 2 4 2 5" xfId="30293"/>
    <cellStyle name="Input 4 2 4 2 5 2" xfId="39047"/>
    <cellStyle name="Input 4 2 4 2 6" xfId="30694"/>
    <cellStyle name="Input 4 2 4 2 6 2" xfId="39448"/>
    <cellStyle name="Input 4 2 4 2 7" xfId="31080"/>
    <cellStyle name="Input 4 2 4 2 7 2" xfId="39834"/>
    <cellStyle name="Input 4 2 4 2 8" xfId="31458"/>
    <cellStyle name="Input 4 2 4 2 8 2" xfId="40212"/>
    <cellStyle name="Input 4 2 4 2 9" xfId="31824"/>
    <cellStyle name="Input 4 2 4 2 9 2" xfId="40578"/>
    <cellStyle name="Input 4 2 4 3" xfId="27653"/>
    <cellStyle name="Input 4 2 4 3 2" xfId="36413"/>
    <cellStyle name="Input 4 2 4 4" xfId="27245"/>
    <cellStyle name="Input 4 2 4 4 2" xfId="36005"/>
    <cellStyle name="Input 4 2 4 5" xfId="28478"/>
    <cellStyle name="Input 4 2 4 5 2" xfId="37235"/>
    <cellStyle name="Input 4 2 4 6" xfId="24776"/>
    <cellStyle name="Input 4 2 4 6 2" xfId="33552"/>
    <cellStyle name="Input 4 2 4 7" xfId="27209"/>
    <cellStyle name="Input 4 2 4 7 2" xfId="35969"/>
    <cellStyle name="Input 4 2 4 8" xfId="27500"/>
    <cellStyle name="Input 4 2 4 8 2" xfId="36260"/>
    <cellStyle name="Input 4 2 4 9" xfId="25960"/>
    <cellStyle name="Input 4 2 4 9 2" xfId="34726"/>
    <cellStyle name="Input 4 2 5" xfId="23605"/>
    <cellStyle name="Input 4 2 5 10" xfId="25844"/>
    <cellStyle name="Input 4 2 5 10 2" xfId="34610"/>
    <cellStyle name="Input 4 2 5 11" xfId="27541"/>
    <cellStyle name="Input 4 2 5 11 2" xfId="36301"/>
    <cellStyle name="Input 4 2 5 12" xfId="33075"/>
    <cellStyle name="Input 4 2 5 2" xfId="24660"/>
    <cellStyle name="Input 4 2 5 2 10" xfId="32361"/>
    <cellStyle name="Input 4 2 5 2 10 2" xfId="41115"/>
    <cellStyle name="Input 4 2 5 2 11" xfId="33436"/>
    <cellStyle name="Input 4 2 5 2 2" xfId="29225"/>
    <cellStyle name="Input 4 2 5 2 2 2" xfId="37979"/>
    <cellStyle name="Input 4 2 5 2 3" xfId="29635"/>
    <cellStyle name="Input 4 2 5 2 3 2" xfId="38389"/>
    <cellStyle name="Input 4 2 5 2 4" xfId="30055"/>
    <cellStyle name="Input 4 2 5 2 4 2" xfId="38809"/>
    <cellStyle name="Input 4 2 5 2 5" xfId="30471"/>
    <cellStyle name="Input 4 2 5 2 5 2" xfId="39225"/>
    <cellStyle name="Input 4 2 5 2 6" xfId="30872"/>
    <cellStyle name="Input 4 2 5 2 6 2" xfId="39626"/>
    <cellStyle name="Input 4 2 5 2 7" xfId="31258"/>
    <cellStyle name="Input 4 2 5 2 7 2" xfId="40012"/>
    <cellStyle name="Input 4 2 5 2 8" xfId="31634"/>
    <cellStyle name="Input 4 2 5 2 8 2" xfId="40388"/>
    <cellStyle name="Input 4 2 5 2 9" xfId="32000"/>
    <cellStyle name="Input 4 2 5 2 9 2" xfId="40754"/>
    <cellStyle name="Input 4 2 5 3" xfId="28721"/>
    <cellStyle name="Input 4 2 5 3 2" xfId="37477"/>
    <cellStyle name="Input 4 2 5 4" xfId="24879"/>
    <cellStyle name="Input 4 2 5 4 2" xfId="33653"/>
    <cellStyle name="Input 4 2 5 5" xfId="25816"/>
    <cellStyle name="Input 4 2 5 5 2" xfId="34582"/>
    <cellStyle name="Input 4 2 5 6" xfId="26005"/>
    <cellStyle name="Input 4 2 5 6 2" xfId="34771"/>
    <cellStyle name="Input 4 2 5 7" xfId="25015"/>
    <cellStyle name="Input 4 2 5 7 2" xfId="33789"/>
    <cellStyle name="Input 4 2 5 8" xfId="25566"/>
    <cellStyle name="Input 4 2 5 8 2" xfId="34333"/>
    <cellStyle name="Input 4 2 5 9" xfId="26070"/>
    <cellStyle name="Input 4 2 5 9 2" xfId="34836"/>
    <cellStyle name="Input 4 2 6" xfId="24635"/>
    <cellStyle name="Input 4 2 6 10" xfId="32344"/>
    <cellStyle name="Input 4 2 6 10 2" xfId="41098"/>
    <cellStyle name="Input 4 2 6 11" xfId="33419"/>
    <cellStyle name="Input 4 2 6 2" xfId="29207"/>
    <cellStyle name="Input 4 2 6 2 2" xfId="37961"/>
    <cellStyle name="Input 4 2 6 3" xfId="29618"/>
    <cellStyle name="Input 4 2 6 3 2" xfId="38372"/>
    <cellStyle name="Input 4 2 6 4" xfId="30038"/>
    <cellStyle name="Input 4 2 6 4 2" xfId="38792"/>
    <cellStyle name="Input 4 2 6 5" xfId="30454"/>
    <cellStyle name="Input 4 2 6 5 2" xfId="39208"/>
    <cellStyle name="Input 4 2 6 6" xfId="30855"/>
    <cellStyle name="Input 4 2 6 6 2" xfId="39609"/>
    <cellStyle name="Input 4 2 6 7" xfId="31241"/>
    <cellStyle name="Input 4 2 6 7 2" xfId="39995"/>
    <cellStyle name="Input 4 2 6 8" xfId="31617"/>
    <cellStyle name="Input 4 2 6 8 2" xfId="40371"/>
    <cellStyle name="Input 4 2 6 9" xfId="31983"/>
    <cellStyle name="Input 4 2 6 9 2" xfId="40737"/>
    <cellStyle name="Input 4 2 7" xfId="4496"/>
    <cellStyle name="Input 4 2 7 2" xfId="32703"/>
    <cellStyle name="Input 4 2 8" xfId="26563"/>
    <cellStyle name="Input 4 2 8 2" xfId="35328"/>
    <cellStyle name="Input 4 2 9" xfId="25142"/>
    <cellStyle name="Input 4 2 9 2" xfId="33913"/>
    <cellStyle name="Input 4 3" xfId="6064"/>
    <cellStyle name="Input 4 3 10" xfId="25706"/>
    <cellStyle name="Input 4 3 10 2" xfId="34473"/>
    <cellStyle name="Input 4 3 11" xfId="2190"/>
    <cellStyle name="Input 4 3 11 2" xfId="32630"/>
    <cellStyle name="Input 4 3 12" xfId="32732"/>
    <cellStyle name="Input 4 3 13" xfId="41792"/>
    <cellStyle name="Input 4 3 14" xfId="43748"/>
    <cellStyle name="Input 4 3 15" xfId="43891"/>
    <cellStyle name="Input 4 3 2" xfId="18192"/>
    <cellStyle name="Input 4 3 2 10" xfId="26420"/>
    <cellStyle name="Input 4 3 2 10 2" xfId="35185"/>
    <cellStyle name="Input 4 3 2 11" xfId="27336"/>
    <cellStyle name="Input 4 3 2 11 2" xfId="36096"/>
    <cellStyle name="Input 4 3 2 12" xfId="32936"/>
    <cellStyle name="Input 4 3 2 13" xfId="41793"/>
    <cellStyle name="Input 4 3 2 14" xfId="43697"/>
    <cellStyle name="Input 4 3 2 15" xfId="43892"/>
    <cellStyle name="Input 4 3 2 2" xfId="24462"/>
    <cellStyle name="Input 4 3 2 2 10" xfId="32215"/>
    <cellStyle name="Input 4 3 2 2 10 2" xfId="40969"/>
    <cellStyle name="Input 4 3 2 2 11" xfId="33290"/>
    <cellStyle name="Input 4 3 2 2 2" xfId="29070"/>
    <cellStyle name="Input 4 3 2 2 2 2" xfId="37824"/>
    <cellStyle name="Input 4 3 2 2 3" xfId="29483"/>
    <cellStyle name="Input 4 3 2 2 3 2" xfId="38237"/>
    <cellStyle name="Input 4 3 2 2 4" xfId="29903"/>
    <cellStyle name="Input 4 3 2 2 4 2" xfId="38657"/>
    <cellStyle name="Input 4 3 2 2 5" xfId="30322"/>
    <cellStyle name="Input 4 3 2 2 5 2" xfId="39076"/>
    <cellStyle name="Input 4 3 2 2 6" xfId="30723"/>
    <cellStyle name="Input 4 3 2 2 6 2" xfId="39477"/>
    <cellStyle name="Input 4 3 2 2 7" xfId="31109"/>
    <cellStyle name="Input 4 3 2 2 7 2" xfId="39863"/>
    <cellStyle name="Input 4 3 2 2 8" xfId="31487"/>
    <cellStyle name="Input 4 3 2 2 8 2" xfId="40241"/>
    <cellStyle name="Input 4 3 2 2 9" xfId="31853"/>
    <cellStyle name="Input 4 3 2 2 9 2" xfId="40607"/>
    <cellStyle name="Input 4 3 2 3" xfId="27682"/>
    <cellStyle name="Input 4 3 2 3 2" xfId="36442"/>
    <cellStyle name="Input 4 3 2 4" xfId="25655"/>
    <cellStyle name="Input 4 3 2 4 2" xfId="34422"/>
    <cellStyle name="Input 4 3 2 5" xfId="25404"/>
    <cellStyle name="Input 4 3 2 5 2" xfId="34173"/>
    <cellStyle name="Input 4 3 2 6" xfId="27827"/>
    <cellStyle name="Input 4 3 2 6 2" xfId="36587"/>
    <cellStyle name="Input 4 3 2 7" xfId="26187"/>
    <cellStyle name="Input 4 3 2 7 2" xfId="34953"/>
    <cellStyle name="Input 4 3 2 8" xfId="27287"/>
    <cellStyle name="Input 4 3 2 8 2" xfId="36047"/>
    <cellStyle name="Input 4 3 2 9" xfId="27251"/>
    <cellStyle name="Input 4 3 2 9 2" xfId="36011"/>
    <cellStyle name="Input 4 3 3" xfId="23634"/>
    <cellStyle name="Input 4 3 3 10" xfId="25704"/>
    <cellStyle name="Input 4 3 3 10 2" xfId="34471"/>
    <cellStyle name="Input 4 3 3 11" xfId="28358"/>
    <cellStyle name="Input 4 3 3 11 2" xfId="37117"/>
    <cellStyle name="Input 4 3 3 12" xfId="33104"/>
    <cellStyle name="Input 4 3 3 2" xfId="24689"/>
    <cellStyle name="Input 4 3 3 2 10" xfId="32390"/>
    <cellStyle name="Input 4 3 3 2 10 2" xfId="41144"/>
    <cellStyle name="Input 4 3 3 2 11" xfId="33465"/>
    <cellStyle name="Input 4 3 3 2 2" xfId="29254"/>
    <cellStyle name="Input 4 3 3 2 2 2" xfId="38008"/>
    <cellStyle name="Input 4 3 3 2 3" xfId="29664"/>
    <cellStyle name="Input 4 3 3 2 3 2" xfId="38418"/>
    <cellStyle name="Input 4 3 3 2 4" xfId="30084"/>
    <cellStyle name="Input 4 3 3 2 4 2" xfId="38838"/>
    <cellStyle name="Input 4 3 3 2 5" xfId="30500"/>
    <cellStyle name="Input 4 3 3 2 5 2" xfId="39254"/>
    <cellStyle name="Input 4 3 3 2 6" xfId="30901"/>
    <cellStyle name="Input 4 3 3 2 6 2" xfId="39655"/>
    <cellStyle name="Input 4 3 3 2 7" xfId="31287"/>
    <cellStyle name="Input 4 3 3 2 7 2" xfId="40041"/>
    <cellStyle name="Input 4 3 3 2 8" xfId="31663"/>
    <cellStyle name="Input 4 3 3 2 8 2" xfId="40417"/>
    <cellStyle name="Input 4 3 3 2 9" xfId="32029"/>
    <cellStyle name="Input 4 3 3 2 9 2" xfId="40783"/>
    <cellStyle name="Input 4 3 3 3" xfId="28750"/>
    <cellStyle name="Input 4 3 3 3 2" xfId="37506"/>
    <cellStyle name="Input 4 3 3 4" xfId="24769"/>
    <cellStyle name="Input 4 3 3 4 2" xfId="33545"/>
    <cellStyle name="Input 4 3 3 5" xfId="1759"/>
    <cellStyle name="Input 4 3 3 5 2" xfId="32567"/>
    <cellStyle name="Input 4 3 3 6" xfId="28288"/>
    <cellStyle name="Input 4 3 3 6 2" xfId="37047"/>
    <cellStyle name="Input 4 3 3 7" xfId="25992"/>
    <cellStyle name="Input 4 3 3 7 2" xfId="34758"/>
    <cellStyle name="Input 4 3 3 8" xfId="26579"/>
    <cellStyle name="Input 4 3 3 8 2" xfId="35344"/>
    <cellStyle name="Input 4 3 3 9" xfId="25551"/>
    <cellStyle name="Input 4 3 3 9 2" xfId="34318"/>
    <cellStyle name="Input 4 3 4" xfId="25904"/>
    <cellStyle name="Input 4 3 4 2" xfId="34670"/>
    <cellStyle name="Input 4 3 5" xfId="27997"/>
    <cellStyle name="Input 4 3 5 2" xfId="36757"/>
    <cellStyle name="Input 4 3 6" xfId="27851"/>
    <cellStyle name="Input 4 3 6 2" xfId="36611"/>
    <cellStyle name="Input 4 3 7" xfId="28441"/>
    <cellStyle name="Input 4 3 7 2" xfId="37198"/>
    <cellStyle name="Input 4 3 8" xfId="27949"/>
    <cellStyle name="Input 4 3 8 2" xfId="36709"/>
    <cellStyle name="Input 4 3 9" xfId="26934"/>
    <cellStyle name="Input 4 3 9 2" xfId="35694"/>
    <cellStyle name="Input 4 4" xfId="6110"/>
    <cellStyle name="Input 4 4 10" xfId="26843"/>
    <cellStyle name="Input 4 4 10 2" xfId="35604"/>
    <cellStyle name="Input 4 4 11" xfId="26251"/>
    <cellStyle name="Input 4 4 11 2" xfId="35017"/>
    <cellStyle name="Input 4 4 12" xfId="27629"/>
    <cellStyle name="Input 4 4 12 2" xfId="36389"/>
    <cellStyle name="Input 4 4 13" xfId="27578"/>
    <cellStyle name="Input 4 4 13 2" xfId="36338"/>
    <cellStyle name="Input 4 4 14" xfId="30169"/>
    <cellStyle name="Input 4 4 14 2" xfId="38923"/>
    <cellStyle name="Input 4 4 15" xfId="41794"/>
    <cellStyle name="Input 4 4 16" xfId="43693"/>
    <cellStyle name="Input 4 4 17" xfId="43893"/>
    <cellStyle name="Input 4 4 2" xfId="18214"/>
    <cellStyle name="Input 4 4 2 10" xfId="25565"/>
    <cellStyle name="Input 4 4 2 10 2" xfId="34332"/>
    <cellStyle name="Input 4 4 2 11" xfId="28528"/>
    <cellStyle name="Input 4 4 2 11 2" xfId="37284"/>
    <cellStyle name="Input 4 4 2 12" xfId="32958"/>
    <cellStyle name="Input 4 4 2 2" xfId="24484"/>
    <cellStyle name="Input 4 4 2 2 10" xfId="32237"/>
    <cellStyle name="Input 4 4 2 2 10 2" xfId="40991"/>
    <cellStyle name="Input 4 4 2 2 11" xfId="33312"/>
    <cellStyle name="Input 4 4 2 2 2" xfId="29092"/>
    <cellStyle name="Input 4 4 2 2 2 2" xfId="37846"/>
    <cellStyle name="Input 4 4 2 2 3" xfId="29505"/>
    <cellStyle name="Input 4 4 2 2 3 2" xfId="38259"/>
    <cellStyle name="Input 4 4 2 2 4" xfId="29925"/>
    <cellStyle name="Input 4 4 2 2 4 2" xfId="38679"/>
    <cellStyle name="Input 4 4 2 2 5" xfId="30344"/>
    <cellStyle name="Input 4 4 2 2 5 2" xfId="39098"/>
    <cellStyle name="Input 4 4 2 2 6" xfId="30745"/>
    <cellStyle name="Input 4 4 2 2 6 2" xfId="39499"/>
    <cellStyle name="Input 4 4 2 2 7" xfId="31131"/>
    <cellStyle name="Input 4 4 2 2 7 2" xfId="39885"/>
    <cellStyle name="Input 4 4 2 2 8" xfId="31509"/>
    <cellStyle name="Input 4 4 2 2 8 2" xfId="40263"/>
    <cellStyle name="Input 4 4 2 2 9" xfId="31875"/>
    <cellStyle name="Input 4 4 2 2 9 2" xfId="40629"/>
    <cellStyle name="Input 4 4 2 3" xfId="27704"/>
    <cellStyle name="Input 4 4 2 3 2" xfId="36464"/>
    <cellStyle name="Input 4 4 2 4" xfId="26202"/>
    <cellStyle name="Input 4 4 2 4 2" xfId="34968"/>
    <cellStyle name="Input 4 4 2 5" xfId="28028"/>
    <cellStyle name="Input 4 4 2 5 2" xfId="36787"/>
    <cellStyle name="Input 4 4 2 6" xfId="27051"/>
    <cellStyle name="Input 4 4 2 6 2" xfId="35811"/>
    <cellStyle name="Input 4 4 2 7" xfId="28226"/>
    <cellStyle name="Input 4 4 2 7 2" xfId="36985"/>
    <cellStyle name="Input 4 4 2 8" xfId="25220"/>
    <cellStyle name="Input 4 4 2 8 2" xfId="33991"/>
    <cellStyle name="Input 4 4 2 9" xfId="27533"/>
    <cellStyle name="Input 4 4 2 9 2" xfId="36293"/>
    <cellStyle name="Input 4 4 3" xfId="20559"/>
    <cellStyle name="Input 4 4 3 10" xfId="24927"/>
    <cellStyle name="Input 4 4 3 10 2" xfId="33701"/>
    <cellStyle name="Input 4 4 3 11" xfId="28275"/>
    <cellStyle name="Input 4 4 3 11 2" xfId="37034"/>
    <cellStyle name="Input 4 4 3 12" xfId="33041"/>
    <cellStyle name="Input 4 4 3 2" xfId="24588"/>
    <cellStyle name="Input 4 4 3 2 10" xfId="32322"/>
    <cellStyle name="Input 4 4 3 2 10 2" xfId="41076"/>
    <cellStyle name="Input 4 4 3 2 11" xfId="33397"/>
    <cellStyle name="Input 4 4 3 2 2" xfId="29181"/>
    <cellStyle name="Input 4 4 3 2 2 2" xfId="37935"/>
    <cellStyle name="Input 4 4 3 2 3" xfId="29591"/>
    <cellStyle name="Input 4 4 3 2 3 2" xfId="38345"/>
    <cellStyle name="Input 4 4 3 2 4" xfId="30013"/>
    <cellStyle name="Input 4 4 3 2 4 2" xfId="38767"/>
    <cellStyle name="Input 4 4 3 2 5" xfId="30430"/>
    <cellStyle name="Input 4 4 3 2 5 2" xfId="39184"/>
    <cellStyle name="Input 4 4 3 2 6" xfId="30831"/>
    <cellStyle name="Input 4 4 3 2 6 2" xfId="39585"/>
    <cellStyle name="Input 4 4 3 2 7" xfId="31217"/>
    <cellStyle name="Input 4 4 3 2 7 2" xfId="39971"/>
    <cellStyle name="Input 4 4 3 2 8" xfId="31594"/>
    <cellStyle name="Input 4 4 3 2 8 2" xfId="40348"/>
    <cellStyle name="Input 4 4 3 2 9" xfId="31960"/>
    <cellStyle name="Input 4 4 3 2 9 2" xfId="40714"/>
    <cellStyle name="Input 4 4 3 3" xfId="28186"/>
    <cellStyle name="Input 4 4 3 3 2" xfId="36945"/>
    <cellStyle name="Input 4 4 3 4" xfId="28206"/>
    <cellStyle name="Input 4 4 3 4 2" xfId="36965"/>
    <cellStyle name="Input 4 4 3 5" xfId="26160"/>
    <cellStyle name="Input 4 4 3 5 2" xfId="34926"/>
    <cellStyle name="Input 4 4 3 6" xfId="26594"/>
    <cellStyle name="Input 4 4 3 6 2" xfId="35359"/>
    <cellStyle name="Input 4 4 3 7" xfId="27915"/>
    <cellStyle name="Input 4 4 3 7 2" xfId="36675"/>
    <cellStyle name="Input 4 4 3 8" xfId="28622"/>
    <cellStyle name="Input 4 4 3 8 2" xfId="37378"/>
    <cellStyle name="Input 4 4 3 9" xfId="25894"/>
    <cellStyle name="Input 4 4 3 9 2" xfId="34660"/>
    <cellStyle name="Input 4 4 4" xfId="15060"/>
    <cellStyle name="Input 4 4 4 10" xfId="26586"/>
    <cellStyle name="Input 4 4 4 10 2" xfId="35351"/>
    <cellStyle name="Input 4 4 4 11" xfId="32859"/>
    <cellStyle name="Input 4 4 4 2" xfId="27121"/>
    <cellStyle name="Input 4 4 4 2 2" xfId="35881"/>
    <cellStyle name="Input 4 4 4 3" xfId="26885"/>
    <cellStyle name="Input 4 4 4 3 2" xfId="35645"/>
    <cellStyle name="Input 4 4 4 4" xfId="25000"/>
    <cellStyle name="Input 4 4 4 4 2" xfId="33774"/>
    <cellStyle name="Input 4 4 4 5" xfId="28597"/>
    <cellStyle name="Input 4 4 4 5 2" xfId="37353"/>
    <cellStyle name="Input 4 4 4 6" xfId="28095"/>
    <cellStyle name="Input 4 4 4 6 2" xfId="36854"/>
    <cellStyle name="Input 4 4 4 7" xfId="26559"/>
    <cellStyle name="Input 4 4 4 7 2" xfId="35324"/>
    <cellStyle name="Input 4 4 4 8" xfId="27865"/>
    <cellStyle name="Input 4 4 4 8 2" xfId="36625"/>
    <cellStyle name="Input 4 4 4 9" xfId="27576"/>
    <cellStyle name="Input 4 4 4 9 2" xfId="36336"/>
    <cellStyle name="Input 4 4 5" xfId="24349"/>
    <cellStyle name="Input 4 4 5 10" xfId="32133"/>
    <cellStyle name="Input 4 4 5 10 2" xfId="40887"/>
    <cellStyle name="Input 4 4 5 11" xfId="33208"/>
    <cellStyle name="Input 4 4 5 2" xfId="28984"/>
    <cellStyle name="Input 4 4 5 2 2" xfId="37738"/>
    <cellStyle name="Input 4 4 5 3" xfId="29397"/>
    <cellStyle name="Input 4 4 5 3 2" xfId="38151"/>
    <cellStyle name="Input 4 4 5 4" xfId="29821"/>
    <cellStyle name="Input 4 4 5 4 2" xfId="38575"/>
    <cellStyle name="Input 4 4 5 5" xfId="30236"/>
    <cellStyle name="Input 4 4 5 5 2" xfId="38990"/>
    <cellStyle name="Input 4 4 5 6" xfId="30637"/>
    <cellStyle name="Input 4 4 5 6 2" xfId="39391"/>
    <cellStyle name="Input 4 4 5 7" xfId="31024"/>
    <cellStyle name="Input 4 4 5 7 2" xfId="39778"/>
    <cellStyle name="Input 4 4 5 8" xfId="31403"/>
    <cellStyle name="Input 4 4 5 8 2" xfId="40157"/>
    <cellStyle name="Input 4 4 5 9" xfId="31771"/>
    <cellStyle name="Input 4 4 5 9 2" xfId="40525"/>
    <cellStyle name="Input 4 4 6" xfId="25569"/>
    <cellStyle name="Input 4 4 6 2" xfId="34336"/>
    <cellStyle name="Input 4 4 7" xfId="27030"/>
    <cellStyle name="Input 4 4 7 2" xfId="35790"/>
    <cellStyle name="Input 4 4 8" xfId="27812"/>
    <cellStyle name="Input 4 4 8 2" xfId="36572"/>
    <cellStyle name="Input 4 4 9" xfId="28691"/>
    <cellStyle name="Input 4 4 9 2" xfId="37447"/>
    <cellStyle name="Input 4 5" xfId="2487"/>
    <cellStyle name="Input 4 5 2" xfId="32649"/>
    <cellStyle name="Input 4 6" xfId="25022"/>
    <cellStyle name="Input 4 6 2" xfId="33796"/>
    <cellStyle name="Input 4 7" xfId="25991"/>
    <cellStyle name="Input 4 7 2" xfId="34757"/>
    <cellStyle name="Input 4 8" xfId="25140"/>
    <cellStyle name="Input 4 8 2" xfId="33911"/>
    <cellStyle name="Input 4 9" xfId="2828"/>
    <cellStyle name="Input 4 9 2" xfId="32662"/>
    <cellStyle name="Input 40" xfId="1673"/>
    <cellStyle name="Input 40 2" xfId="32486"/>
    <cellStyle name="Input 40 3" xfId="41795"/>
    <cellStyle name="Input 40 4" xfId="43817"/>
    <cellStyle name="Input 40 5" xfId="43894"/>
    <cellStyle name="Input 41" xfId="2431"/>
    <cellStyle name="Input 41 2" xfId="32648"/>
    <cellStyle name="Input 41 3" xfId="41796"/>
    <cellStyle name="Input 41 4" xfId="43436"/>
    <cellStyle name="Input 41 5" xfId="43895"/>
    <cellStyle name="Input 42" xfId="25555"/>
    <cellStyle name="Input 42 2" xfId="34322"/>
    <cellStyle name="Input 42 3" xfId="41797"/>
    <cellStyle name="Input 42 4" xfId="43434"/>
    <cellStyle name="Input 42 5" xfId="43896"/>
    <cellStyle name="Input 43" xfId="29178"/>
    <cellStyle name="Input 43 2" xfId="37932"/>
    <cellStyle name="Input 43 3" xfId="41798"/>
    <cellStyle name="Input 43 4" xfId="43433"/>
    <cellStyle name="Input 43 5" xfId="43897"/>
    <cellStyle name="Input 44" xfId="28943"/>
    <cellStyle name="Input 44 2" xfId="37698"/>
    <cellStyle name="Input 44 3" xfId="41799"/>
    <cellStyle name="Input 44 4" xfId="43432"/>
    <cellStyle name="Input 44 5" xfId="43898"/>
    <cellStyle name="Input 45" xfId="25041"/>
    <cellStyle name="Input 45 2" xfId="33815"/>
    <cellStyle name="Input 45 3" xfId="41800"/>
    <cellStyle name="Input 45 4" xfId="43324"/>
    <cellStyle name="Input 45 5" xfId="43899"/>
    <cellStyle name="Input 46" xfId="1730"/>
    <cellStyle name="Input 46 2" xfId="32541"/>
    <cellStyle name="Input 46 3" xfId="41801"/>
    <cellStyle name="Input 46 4" xfId="43323"/>
    <cellStyle name="Input 46 5" xfId="43900"/>
    <cellStyle name="Input 47" xfId="26105"/>
    <cellStyle name="Input 47 2" xfId="34871"/>
    <cellStyle name="Input 47 3" xfId="42973"/>
    <cellStyle name="Input 48" xfId="27914"/>
    <cellStyle name="Input 48 2" xfId="36674"/>
    <cellStyle name="Input 48 3" xfId="43014"/>
    <cellStyle name="Input 49" xfId="26834"/>
    <cellStyle name="Input 49 2" xfId="35595"/>
    <cellStyle name="Input 49 3" xfId="43009"/>
    <cellStyle name="Input 5" xfId="636"/>
    <cellStyle name="Input 5 10" xfId="25788"/>
    <cellStyle name="Input 5 10 2" xfId="34555"/>
    <cellStyle name="Input 5 11" xfId="27204"/>
    <cellStyle name="Input 5 11 2" xfId="35964"/>
    <cellStyle name="Input 5 12" xfId="41802"/>
    <cellStyle name="Input 5 2" xfId="6065"/>
    <cellStyle name="Input 5 2 10" xfId="27978"/>
    <cellStyle name="Input 5 2 10 2" xfId="36738"/>
    <cellStyle name="Input 5 2 11" xfId="25121"/>
    <cellStyle name="Input 5 2 11 2" xfId="33893"/>
    <cellStyle name="Input 5 2 12" xfId="32733"/>
    <cellStyle name="Input 5 2 13" xfId="41803"/>
    <cellStyle name="Input 5 2 2" xfId="18193"/>
    <cellStyle name="Input 5 2 2 10" xfId="2419"/>
    <cellStyle name="Input 5 2 2 10 2" xfId="32646"/>
    <cellStyle name="Input 5 2 2 11" xfId="26848"/>
    <cellStyle name="Input 5 2 2 11 2" xfId="35609"/>
    <cellStyle name="Input 5 2 2 12" xfId="32937"/>
    <cellStyle name="Input 5 2 2 13" xfId="41804"/>
    <cellStyle name="Input 5 2 2 14" xfId="43322"/>
    <cellStyle name="Input 5 2 2 15" xfId="43901"/>
    <cellStyle name="Input 5 2 2 2" xfId="24463"/>
    <cellStyle name="Input 5 2 2 2 10" xfId="32216"/>
    <cellStyle name="Input 5 2 2 2 10 2" xfId="40970"/>
    <cellStyle name="Input 5 2 2 2 11" xfId="33291"/>
    <cellStyle name="Input 5 2 2 2 12" xfId="41805"/>
    <cellStyle name="Input 5 2 2 2 13" xfId="43321"/>
    <cellStyle name="Input 5 2 2 2 14" xfId="43902"/>
    <cellStyle name="Input 5 2 2 2 2" xfId="29071"/>
    <cellStyle name="Input 5 2 2 2 2 2" xfId="37825"/>
    <cellStyle name="Input 5 2 2 2 3" xfId="29484"/>
    <cellStyle name="Input 5 2 2 2 3 2" xfId="38238"/>
    <cellStyle name="Input 5 2 2 2 4" xfId="29904"/>
    <cellStyle name="Input 5 2 2 2 4 2" xfId="38658"/>
    <cellStyle name="Input 5 2 2 2 5" xfId="30323"/>
    <cellStyle name="Input 5 2 2 2 5 2" xfId="39077"/>
    <cellStyle name="Input 5 2 2 2 6" xfId="30724"/>
    <cellStyle name="Input 5 2 2 2 6 2" xfId="39478"/>
    <cellStyle name="Input 5 2 2 2 7" xfId="31110"/>
    <cellStyle name="Input 5 2 2 2 7 2" xfId="39864"/>
    <cellStyle name="Input 5 2 2 2 8" xfId="31488"/>
    <cellStyle name="Input 5 2 2 2 8 2" xfId="40242"/>
    <cellStyle name="Input 5 2 2 2 9" xfId="31854"/>
    <cellStyle name="Input 5 2 2 2 9 2" xfId="40608"/>
    <cellStyle name="Input 5 2 2 3" xfId="27683"/>
    <cellStyle name="Input 5 2 2 3 2" xfId="36443"/>
    <cellStyle name="Input 5 2 2 4" xfId="25185"/>
    <cellStyle name="Input 5 2 2 4 2" xfId="33956"/>
    <cellStyle name="Input 5 2 2 5" xfId="27253"/>
    <cellStyle name="Input 5 2 2 5 2" xfId="36013"/>
    <cellStyle name="Input 5 2 2 6" xfId="28482"/>
    <cellStyle name="Input 5 2 2 6 2" xfId="37239"/>
    <cellStyle name="Input 5 2 2 7" xfId="25274"/>
    <cellStyle name="Input 5 2 2 7 2" xfId="34044"/>
    <cellStyle name="Input 5 2 2 8" xfId="27790"/>
    <cellStyle name="Input 5 2 2 8 2" xfId="36550"/>
    <cellStyle name="Input 5 2 2 9" xfId="24979"/>
    <cellStyle name="Input 5 2 2 9 2" xfId="33753"/>
    <cellStyle name="Input 5 2 3" xfId="23635"/>
    <cellStyle name="Input 5 2 3 10" xfId="24787"/>
    <cellStyle name="Input 5 2 3 10 2" xfId="33563"/>
    <cellStyle name="Input 5 2 3 11" xfId="1768"/>
    <cellStyle name="Input 5 2 3 11 2" xfId="32576"/>
    <cellStyle name="Input 5 2 3 12" xfId="33105"/>
    <cellStyle name="Input 5 2 3 2" xfId="24690"/>
    <cellStyle name="Input 5 2 3 2 10" xfId="32391"/>
    <cellStyle name="Input 5 2 3 2 10 2" xfId="41145"/>
    <cellStyle name="Input 5 2 3 2 11" xfId="33466"/>
    <cellStyle name="Input 5 2 3 2 2" xfId="29255"/>
    <cellStyle name="Input 5 2 3 2 2 2" xfId="38009"/>
    <cellStyle name="Input 5 2 3 2 3" xfId="29665"/>
    <cellStyle name="Input 5 2 3 2 3 2" xfId="38419"/>
    <cellStyle name="Input 5 2 3 2 4" xfId="30085"/>
    <cellStyle name="Input 5 2 3 2 4 2" xfId="38839"/>
    <cellStyle name="Input 5 2 3 2 5" xfId="30501"/>
    <cellStyle name="Input 5 2 3 2 5 2" xfId="39255"/>
    <cellStyle name="Input 5 2 3 2 6" xfId="30902"/>
    <cellStyle name="Input 5 2 3 2 6 2" xfId="39656"/>
    <cellStyle name="Input 5 2 3 2 7" xfId="31288"/>
    <cellStyle name="Input 5 2 3 2 7 2" xfId="40042"/>
    <cellStyle name="Input 5 2 3 2 8" xfId="31664"/>
    <cellStyle name="Input 5 2 3 2 8 2" xfId="40418"/>
    <cellStyle name="Input 5 2 3 2 9" xfId="32030"/>
    <cellStyle name="Input 5 2 3 2 9 2" xfId="40784"/>
    <cellStyle name="Input 5 2 3 3" xfId="28751"/>
    <cellStyle name="Input 5 2 3 3 2" xfId="37507"/>
    <cellStyle name="Input 5 2 3 4" xfId="28877"/>
    <cellStyle name="Input 5 2 3 4 2" xfId="37633"/>
    <cellStyle name="Input 5 2 3 5" xfId="28171"/>
    <cellStyle name="Input 5 2 3 5 2" xfId="36930"/>
    <cellStyle name="Input 5 2 3 6" xfId="25442"/>
    <cellStyle name="Input 5 2 3 6 2" xfId="34211"/>
    <cellStyle name="Input 5 2 3 7" xfId="27393"/>
    <cellStyle name="Input 5 2 3 7 2" xfId="36153"/>
    <cellStyle name="Input 5 2 3 8" xfId="28822"/>
    <cellStyle name="Input 5 2 3 8 2" xfId="37578"/>
    <cellStyle name="Input 5 2 3 9" xfId="28052"/>
    <cellStyle name="Input 5 2 3 9 2" xfId="36811"/>
    <cellStyle name="Input 5 2 4" xfId="25436"/>
    <cellStyle name="Input 5 2 4 2" xfId="34205"/>
    <cellStyle name="Input 5 2 5" xfId="25822"/>
    <cellStyle name="Input 5 2 5 2" xfId="34588"/>
    <cellStyle name="Input 5 2 6" xfId="1803"/>
    <cellStyle name="Input 5 2 6 2" xfId="32611"/>
    <cellStyle name="Input 5 2 7" xfId="27936"/>
    <cellStyle name="Input 5 2 7 2" xfId="36696"/>
    <cellStyle name="Input 5 2 8" xfId="29337"/>
    <cellStyle name="Input 5 2 8 2" xfId="38091"/>
    <cellStyle name="Input 5 2 9" xfId="1725"/>
    <cellStyle name="Input 5 2 9 2" xfId="32536"/>
    <cellStyle name="Input 5 3" xfId="24926"/>
    <cellStyle name="Input 5 3 2" xfId="33700"/>
    <cellStyle name="Input 5 4" xfId="27229"/>
    <cellStyle name="Input 5 4 2" xfId="35989"/>
    <cellStyle name="Input 5 5" xfId="27240"/>
    <cellStyle name="Input 5 5 2" xfId="36000"/>
    <cellStyle name="Input 5 6" xfId="26686"/>
    <cellStyle name="Input 5 6 2" xfId="35450"/>
    <cellStyle name="Input 5 7" xfId="28599"/>
    <cellStyle name="Input 5 7 2" xfId="37355"/>
    <cellStyle name="Input 5 8" xfId="29344"/>
    <cellStyle name="Input 5 8 2" xfId="38098"/>
    <cellStyle name="Input 5 9" xfId="26646"/>
    <cellStyle name="Input 5 9 2" xfId="35411"/>
    <cellStyle name="Input 50" xfId="43015"/>
    <cellStyle name="Input 51" xfId="43008"/>
    <cellStyle name="Input 52" xfId="43025"/>
    <cellStyle name="Input 53" xfId="43012"/>
    <cellStyle name="Input 54" xfId="43020"/>
    <cellStyle name="Input 55" xfId="43007"/>
    <cellStyle name="Input 56" xfId="43019"/>
    <cellStyle name="Input 57" xfId="43013"/>
    <cellStyle name="Input 58" xfId="43024"/>
    <cellStyle name="Input 59" xfId="43021"/>
    <cellStyle name="Input 6" xfId="645"/>
    <cellStyle name="Input 6 10" xfId="26395"/>
    <cellStyle name="Input 6 10 2" xfId="35161"/>
    <cellStyle name="Input 6 11" xfId="27230"/>
    <cellStyle name="Input 6 11 2" xfId="35990"/>
    <cellStyle name="Input 6 12" xfId="41806"/>
    <cellStyle name="Input 6 2" xfId="6066"/>
    <cellStyle name="Input 6 2 10" xfId="28862"/>
    <cellStyle name="Input 6 2 10 2" xfId="37618"/>
    <cellStyle name="Input 6 2 11" xfId="28024"/>
    <cellStyle name="Input 6 2 11 2" xfId="36783"/>
    <cellStyle name="Input 6 2 12" xfId="32734"/>
    <cellStyle name="Input 6 2 13" xfId="41807"/>
    <cellStyle name="Input 6 2 2" xfId="18194"/>
    <cellStyle name="Input 6 2 2 10" xfId="26285"/>
    <cellStyle name="Input 6 2 2 10 2" xfId="35051"/>
    <cellStyle name="Input 6 2 2 11" xfId="26935"/>
    <cellStyle name="Input 6 2 2 11 2" xfId="35695"/>
    <cellStyle name="Input 6 2 2 12" xfId="32938"/>
    <cellStyle name="Input 6 2 2 13" xfId="41808"/>
    <cellStyle name="Input 6 2 2 14" xfId="43320"/>
    <cellStyle name="Input 6 2 2 15" xfId="43903"/>
    <cellStyle name="Input 6 2 2 2" xfId="24464"/>
    <cellStyle name="Input 6 2 2 2 10" xfId="32217"/>
    <cellStyle name="Input 6 2 2 2 10 2" xfId="40971"/>
    <cellStyle name="Input 6 2 2 2 11" xfId="33292"/>
    <cellStyle name="Input 6 2 2 2 12" xfId="41809"/>
    <cellStyle name="Input 6 2 2 2 13" xfId="43319"/>
    <cellStyle name="Input 6 2 2 2 14" xfId="43904"/>
    <cellStyle name="Input 6 2 2 2 2" xfId="29072"/>
    <cellStyle name="Input 6 2 2 2 2 2" xfId="37826"/>
    <cellStyle name="Input 6 2 2 2 3" xfId="29485"/>
    <cellStyle name="Input 6 2 2 2 3 2" xfId="38239"/>
    <cellStyle name="Input 6 2 2 2 4" xfId="29905"/>
    <cellStyle name="Input 6 2 2 2 4 2" xfId="38659"/>
    <cellStyle name="Input 6 2 2 2 5" xfId="30324"/>
    <cellStyle name="Input 6 2 2 2 5 2" xfId="39078"/>
    <cellStyle name="Input 6 2 2 2 6" xfId="30725"/>
    <cellStyle name="Input 6 2 2 2 6 2" xfId="39479"/>
    <cellStyle name="Input 6 2 2 2 7" xfId="31111"/>
    <cellStyle name="Input 6 2 2 2 7 2" xfId="39865"/>
    <cellStyle name="Input 6 2 2 2 8" xfId="31489"/>
    <cellStyle name="Input 6 2 2 2 8 2" xfId="40243"/>
    <cellStyle name="Input 6 2 2 2 9" xfId="31855"/>
    <cellStyle name="Input 6 2 2 2 9 2" xfId="40609"/>
    <cellStyle name="Input 6 2 2 3" xfId="27684"/>
    <cellStyle name="Input 6 2 2 3 2" xfId="36444"/>
    <cellStyle name="Input 6 2 2 4" xfId="26418"/>
    <cellStyle name="Input 6 2 2 4 2" xfId="35183"/>
    <cellStyle name="Input 6 2 2 5" xfId="28473"/>
    <cellStyle name="Input 6 2 2 5 2" xfId="37230"/>
    <cellStyle name="Input 6 2 2 6" xfId="28075"/>
    <cellStyle name="Input 6 2 2 6 2" xfId="36834"/>
    <cellStyle name="Input 6 2 2 7" xfId="28863"/>
    <cellStyle name="Input 6 2 2 7 2" xfId="37619"/>
    <cellStyle name="Input 6 2 2 8" xfId="25715"/>
    <cellStyle name="Input 6 2 2 8 2" xfId="34482"/>
    <cellStyle name="Input 6 2 2 9" xfId="27520"/>
    <cellStyle name="Input 6 2 2 9 2" xfId="36280"/>
    <cellStyle name="Input 6 2 3" xfId="23636"/>
    <cellStyle name="Input 6 2 3 10" xfId="26737"/>
    <cellStyle name="Input 6 2 3 10 2" xfId="35500"/>
    <cellStyle name="Input 6 2 3 11" xfId="25747"/>
    <cellStyle name="Input 6 2 3 11 2" xfId="34514"/>
    <cellStyle name="Input 6 2 3 12" xfId="33106"/>
    <cellStyle name="Input 6 2 3 2" xfId="24691"/>
    <cellStyle name="Input 6 2 3 2 10" xfId="32392"/>
    <cellStyle name="Input 6 2 3 2 10 2" xfId="41146"/>
    <cellStyle name="Input 6 2 3 2 11" xfId="33467"/>
    <cellStyle name="Input 6 2 3 2 2" xfId="29256"/>
    <cellStyle name="Input 6 2 3 2 2 2" xfId="38010"/>
    <cellStyle name="Input 6 2 3 2 3" xfId="29666"/>
    <cellStyle name="Input 6 2 3 2 3 2" xfId="38420"/>
    <cellStyle name="Input 6 2 3 2 4" xfId="30086"/>
    <cellStyle name="Input 6 2 3 2 4 2" xfId="38840"/>
    <cellStyle name="Input 6 2 3 2 5" xfId="30502"/>
    <cellStyle name="Input 6 2 3 2 5 2" xfId="39256"/>
    <cellStyle name="Input 6 2 3 2 6" xfId="30903"/>
    <cellStyle name="Input 6 2 3 2 6 2" xfId="39657"/>
    <cellStyle name="Input 6 2 3 2 7" xfId="31289"/>
    <cellStyle name="Input 6 2 3 2 7 2" xfId="40043"/>
    <cellStyle name="Input 6 2 3 2 8" xfId="31665"/>
    <cellStyle name="Input 6 2 3 2 8 2" xfId="40419"/>
    <cellStyle name="Input 6 2 3 2 9" xfId="32031"/>
    <cellStyle name="Input 6 2 3 2 9 2" xfId="40785"/>
    <cellStyle name="Input 6 2 3 3" xfId="28752"/>
    <cellStyle name="Input 6 2 3 3 2" xfId="37508"/>
    <cellStyle name="Input 6 2 3 4" xfId="24815"/>
    <cellStyle name="Input 6 2 3 4 2" xfId="33591"/>
    <cellStyle name="Input 6 2 3 5" xfId="24998"/>
    <cellStyle name="Input 6 2 3 5 2" xfId="33772"/>
    <cellStyle name="Input 6 2 3 6" xfId="25414"/>
    <cellStyle name="Input 6 2 3 6 2" xfId="34183"/>
    <cellStyle name="Input 6 2 3 7" xfId="27582"/>
    <cellStyle name="Input 6 2 3 7 2" xfId="36342"/>
    <cellStyle name="Input 6 2 3 8" xfId="25786"/>
    <cellStyle name="Input 6 2 3 8 2" xfId="34553"/>
    <cellStyle name="Input 6 2 3 9" xfId="28667"/>
    <cellStyle name="Input 6 2 3 9 2" xfId="37423"/>
    <cellStyle name="Input 6 2 4" xfId="26314"/>
    <cellStyle name="Input 6 2 4 2" xfId="35080"/>
    <cellStyle name="Input 6 2 5" xfId="27301"/>
    <cellStyle name="Input 6 2 5 2" xfId="36061"/>
    <cellStyle name="Input 6 2 6" xfId="27006"/>
    <cellStyle name="Input 6 2 6 2" xfId="35766"/>
    <cellStyle name="Input 6 2 7" xfId="25750"/>
    <cellStyle name="Input 6 2 7 2" xfId="34517"/>
    <cellStyle name="Input 6 2 8" xfId="25166"/>
    <cellStyle name="Input 6 2 8 2" xfId="33937"/>
    <cellStyle name="Input 6 2 9" xfId="26144"/>
    <cellStyle name="Input 6 2 9 2" xfId="34910"/>
    <cellStyle name="Input 6 3" xfId="24984"/>
    <cellStyle name="Input 6 3 2" xfId="33758"/>
    <cellStyle name="Input 6 4" xfId="28464"/>
    <cellStyle name="Input 6 4 2" xfId="37221"/>
    <cellStyle name="Input 6 5" xfId="26878"/>
    <cellStyle name="Input 6 5 2" xfId="35638"/>
    <cellStyle name="Input 6 6" xfId="28561"/>
    <cellStyle name="Input 6 6 2" xfId="37317"/>
    <cellStyle name="Input 6 7" xfId="28240"/>
    <cellStyle name="Input 6 7 2" xfId="36999"/>
    <cellStyle name="Input 6 8" xfId="28079"/>
    <cellStyle name="Input 6 8 2" xfId="36838"/>
    <cellStyle name="Input 6 9" xfId="26113"/>
    <cellStyle name="Input 6 9 2" xfId="34879"/>
    <cellStyle name="Input 60" xfId="43123"/>
    <cellStyle name="Input 61" xfId="43122"/>
    <cellStyle name="Input 62" xfId="41220"/>
    <cellStyle name="Input 7" xfId="634"/>
    <cellStyle name="Input 7 10" xfId="26874"/>
    <cellStyle name="Input 7 10 2" xfId="35634"/>
    <cellStyle name="Input 7 11" xfId="25124"/>
    <cellStyle name="Input 7 11 2" xfId="33896"/>
    <cellStyle name="Input 7 12" xfId="41810"/>
    <cellStyle name="Input 7 2" xfId="6067"/>
    <cellStyle name="Input 7 2 10" xfId="24948"/>
    <cellStyle name="Input 7 2 10 2" xfId="33722"/>
    <cellStyle name="Input 7 2 11" xfId="25781"/>
    <cellStyle name="Input 7 2 11 2" xfId="34548"/>
    <cellStyle name="Input 7 2 12" xfId="32735"/>
    <cellStyle name="Input 7 2 13" xfId="41811"/>
    <cellStyle name="Input 7 2 2" xfId="18195"/>
    <cellStyle name="Input 7 2 2 10" xfId="28029"/>
    <cellStyle name="Input 7 2 2 10 2" xfId="36788"/>
    <cellStyle name="Input 7 2 2 11" xfId="2666"/>
    <cellStyle name="Input 7 2 2 11 2" xfId="32653"/>
    <cellStyle name="Input 7 2 2 12" xfId="32939"/>
    <cellStyle name="Input 7 2 2 13" xfId="41812"/>
    <cellStyle name="Input 7 2 2 14" xfId="43318"/>
    <cellStyle name="Input 7 2 2 15" xfId="43905"/>
    <cellStyle name="Input 7 2 2 2" xfId="24465"/>
    <cellStyle name="Input 7 2 2 2 10" xfId="32218"/>
    <cellStyle name="Input 7 2 2 2 10 2" xfId="40972"/>
    <cellStyle name="Input 7 2 2 2 11" xfId="33293"/>
    <cellStyle name="Input 7 2 2 2 12" xfId="41813"/>
    <cellStyle name="Input 7 2 2 2 13" xfId="43317"/>
    <cellStyle name="Input 7 2 2 2 14" xfId="43906"/>
    <cellStyle name="Input 7 2 2 2 2" xfId="29073"/>
    <cellStyle name="Input 7 2 2 2 2 2" xfId="37827"/>
    <cellStyle name="Input 7 2 2 2 3" xfId="29486"/>
    <cellStyle name="Input 7 2 2 2 3 2" xfId="38240"/>
    <cellStyle name="Input 7 2 2 2 4" xfId="29906"/>
    <cellStyle name="Input 7 2 2 2 4 2" xfId="38660"/>
    <cellStyle name="Input 7 2 2 2 5" xfId="30325"/>
    <cellStyle name="Input 7 2 2 2 5 2" xfId="39079"/>
    <cellStyle name="Input 7 2 2 2 6" xfId="30726"/>
    <cellStyle name="Input 7 2 2 2 6 2" xfId="39480"/>
    <cellStyle name="Input 7 2 2 2 7" xfId="31112"/>
    <cellStyle name="Input 7 2 2 2 7 2" xfId="39866"/>
    <cellStyle name="Input 7 2 2 2 8" xfId="31490"/>
    <cellStyle name="Input 7 2 2 2 8 2" xfId="40244"/>
    <cellStyle name="Input 7 2 2 2 9" xfId="31856"/>
    <cellStyle name="Input 7 2 2 2 9 2" xfId="40610"/>
    <cellStyle name="Input 7 2 2 3" xfId="27685"/>
    <cellStyle name="Input 7 2 2 3 2" xfId="36445"/>
    <cellStyle name="Input 7 2 2 4" xfId="28935"/>
    <cellStyle name="Input 7 2 2 4 2" xfId="37690"/>
    <cellStyle name="Input 7 2 2 5" xfId="25285"/>
    <cellStyle name="Input 7 2 2 5 2" xfId="34055"/>
    <cellStyle name="Input 7 2 2 6" xfId="25826"/>
    <cellStyle name="Input 7 2 2 6 2" xfId="34592"/>
    <cellStyle name="Input 7 2 2 7" xfId="28387"/>
    <cellStyle name="Input 7 2 2 7 2" xfId="37145"/>
    <cellStyle name="Input 7 2 2 8" xfId="27379"/>
    <cellStyle name="Input 7 2 2 8 2" xfId="36139"/>
    <cellStyle name="Input 7 2 2 9" xfId="1669"/>
    <cellStyle name="Input 7 2 2 9 2" xfId="32482"/>
    <cellStyle name="Input 7 2 3" xfId="23637"/>
    <cellStyle name="Input 7 2 3 10" xfId="28472"/>
    <cellStyle name="Input 7 2 3 10 2" xfId="37229"/>
    <cellStyle name="Input 7 2 3 11" xfId="28632"/>
    <cellStyle name="Input 7 2 3 11 2" xfId="37388"/>
    <cellStyle name="Input 7 2 3 12" xfId="33107"/>
    <cellStyle name="Input 7 2 3 2" xfId="24692"/>
    <cellStyle name="Input 7 2 3 2 10" xfId="32393"/>
    <cellStyle name="Input 7 2 3 2 10 2" xfId="41147"/>
    <cellStyle name="Input 7 2 3 2 11" xfId="33468"/>
    <cellStyle name="Input 7 2 3 2 2" xfId="29257"/>
    <cellStyle name="Input 7 2 3 2 2 2" xfId="38011"/>
    <cellStyle name="Input 7 2 3 2 3" xfId="29667"/>
    <cellStyle name="Input 7 2 3 2 3 2" xfId="38421"/>
    <cellStyle name="Input 7 2 3 2 4" xfId="30087"/>
    <cellStyle name="Input 7 2 3 2 4 2" xfId="38841"/>
    <cellStyle name="Input 7 2 3 2 5" xfId="30503"/>
    <cellStyle name="Input 7 2 3 2 5 2" xfId="39257"/>
    <cellStyle name="Input 7 2 3 2 6" xfId="30904"/>
    <cellStyle name="Input 7 2 3 2 6 2" xfId="39658"/>
    <cellStyle name="Input 7 2 3 2 7" xfId="31290"/>
    <cellStyle name="Input 7 2 3 2 7 2" xfId="40044"/>
    <cellStyle name="Input 7 2 3 2 8" xfId="31666"/>
    <cellStyle name="Input 7 2 3 2 8 2" xfId="40420"/>
    <cellStyle name="Input 7 2 3 2 9" xfId="32032"/>
    <cellStyle name="Input 7 2 3 2 9 2" xfId="40786"/>
    <cellStyle name="Input 7 2 3 3" xfId="28753"/>
    <cellStyle name="Input 7 2 3 3 2" xfId="37509"/>
    <cellStyle name="Input 7 2 3 4" xfId="28870"/>
    <cellStyle name="Input 7 2 3 4 2" xfId="37626"/>
    <cellStyle name="Input 7 2 3 5" xfId="2742"/>
    <cellStyle name="Input 7 2 3 5 2" xfId="32655"/>
    <cellStyle name="Input 7 2 3 6" xfId="25547"/>
    <cellStyle name="Input 7 2 3 6 2" xfId="34314"/>
    <cellStyle name="Input 7 2 3 7" xfId="27289"/>
    <cellStyle name="Input 7 2 3 7 2" xfId="36049"/>
    <cellStyle name="Input 7 2 3 8" xfId="26682"/>
    <cellStyle name="Input 7 2 3 8 2" xfId="35446"/>
    <cellStyle name="Input 7 2 3 9" xfId="27180"/>
    <cellStyle name="Input 7 2 3 9 2" xfId="35940"/>
    <cellStyle name="Input 7 2 4" xfId="28116"/>
    <cellStyle name="Input 7 2 4 2" xfId="36875"/>
    <cellStyle name="Input 7 2 5" xfId="28220"/>
    <cellStyle name="Input 7 2 5 2" xfId="36979"/>
    <cellStyle name="Input 7 2 6" xfId="27622"/>
    <cellStyle name="Input 7 2 6 2" xfId="36382"/>
    <cellStyle name="Input 7 2 7" xfId="26958"/>
    <cellStyle name="Input 7 2 7 2" xfId="35718"/>
    <cellStyle name="Input 7 2 8" xfId="28920"/>
    <cellStyle name="Input 7 2 8 2" xfId="37675"/>
    <cellStyle name="Input 7 2 9" xfId="27315"/>
    <cellStyle name="Input 7 2 9 2" xfId="36075"/>
    <cellStyle name="Input 7 3" xfId="24989"/>
    <cellStyle name="Input 7 3 2" xfId="33763"/>
    <cellStyle name="Input 7 4" xfId="25512"/>
    <cellStyle name="Input 7 4 2" xfId="34281"/>
    <cellStyle name="Input 7 5" xfId="25721"/>
    <cellStyle name="Input 7 5 2" xfId="34488"/>
    <cellStyle name="Input 7 6" xfId="26673"/>
    <cellStyle name="Input 7 6 2" xfId="35437"/>
    <cellStyle name="Input 7 7" xfId="25743"/>
    <cellStyle name="Input 7 7 2" xfId="34510"/>
    <cellStyle name="Input 7 8" xfId="25507"/>
    <cellStyle name="Input 7 8 2" xfId="34276"/>
    <cellStyle name="Input 7 9" xfId="28656"/>
    <cellStyle name="Input 7 9 2" xfId="37412"/>
    <cellStyle name="Input 8" xfId="643"/>
    <cellStyle name="Input 8 10" xfId="30584"/>
    <cellStyle name="Input 8 10 2" xfId="39338"/>
    <cellStyle name="Input 8 11" xfId="30977"/>
    <cellStyle name="Input 8 11 2" xfId="39731"/>
    <cellStyle name="Input 8 12" xfId="41814"/>
    <cellStyle name="Input 8 2" xfId="6068"/>
    <cellStyle name="Input 8 2 10" xfId="26193"/>
    <cellStyle name="Input 8 2 10 2" xfId="34959"/>
    <cellStyle name="Input 8 2 11" xfId="26315"/>
    <cellStyle name="Input 8 2 11 2" xfId="35081"/>
    <cellStyle name="Input 8 2 12" xfId="32736"/>
    <cellStyle name="Input 8 2 13" xfId="41815"/>
    <cellStyle name="Input 8 2 2" xfId="18196"/>
    <cellStyle name="Input 8 2 2 10" xfId="25343"/>
    <cellStyle name="Input 8 2 2 10 2" xfId="34112"/>
    <cellStyle name="Input 8 2 2 11" xfId="27844"/>
    <cellStyle name="Input 8 2 2 11 2" xfId="36604"/>
    <cellStyle name="Input 8 2 2 12" xfId="32940"/>
    <cellStyle name="Input 8 2 2 13" xfId="41816"/>
    <cellStyle name="Input 8 2 2 14" xfId="43316"/>
    <cellStyle name="Input 8 2 2 15" xfId="43907"/>
    <cellStyle name="Input 8 2 2 2" xfId="24466"/>
    <cellStyle name="Input 8 2 2 2 10" xfId="32219"/>
    <cellStyle name="Input 8 2 2 2 10 2" xfId="40973"/>
    <cellStyle name="Input 8 2 2 2 11" xfId="33294"/>
    <cellStyle name="Input 8 2 2 2 12" xfId="41817"/>
    <cellStyle name="Input 8 2 2 2 13" xfId="43315"/>
    <cellStyle name="Input 8 2 2 2 14" xfId="43908"/>
    <cellStyle name="Input 8 2 2 2 2" xfId="29074"/>
    <cellStyle name="Input 8 2 2 2 2 2" xfId="37828"/>
    <cellStyle name="Input 8 2 2 2 3" xfId="29487"/>
    <cellStyle name="Input 8 2 2 2 3 2" xfId="38241"/>
    <cellStyle name="Input 8 2 2 2 4" xfId="29907"/>
    <cellStyle name="Input 8 2 2 2 4 2" xfId="38661"/>
    <cellStyle name="Input 8 2 2 2 5" xfId="30326"/>
    <cellStyle name="Input 8 2 2 2 5 2" xfId="39080"/>
    <cellStyle name="Input 8 2 2 2 6" xfId="30727"/>
    <cellStyle name="Input 8 2 2 2 6 2" xfId="39481"/>
    <cellStyle name="Input 8 2 2 2 7" xfId="31113"/>
    <cellStyle name="Input 8 2 2 2 7 2" xfId="39867"/>
    <cellStyle name="Input 8 2 2 2 8" xfId="31491"/>
    <cellStyle name="Input 8 2 2 2 8 2" xfId="40245"/>
    <cellStyle name="Input 8 2 2 2 9" xfId="31857"/>
    <cellStyle name="Input 8 2 2 2 9 2" xfId="40611"/>
    <cellStyle name="Input 8 2 2 3" xfId="27686"/>
    <cellStyle name="Input 8 2 2 3 2" xfId="36446"/>
    <cellStyle name="Input 8 2 2 4" xfId="27928"/>
    <cellStyle name="Input 8 2 2 4 2" xfId="36688"/>
    <cellStyle name="Input 8 2 2 5" xfId="25217"/>
    <cellStyle name="Input 8 2 2 5 2" xfId="33988"/>
    <cellStyle name="Input 8 2 2 6" xfId="28411"/>
    <cellStyle name="Input 8 2 2 6 2" xfId="37168"/>
    <cellStyle name="Input 8 2 2 7" xfId="28281"/>
    <cellStyle name="Input 8 2 2 7 2" xfId="37040"/>
    <cellStyle name="Input 8 2 2 8" xfId="26279"/>
    <cellStyle name="Input 8 2 2 8 2" xfId="35045"/>
    <cellStyle name="Input 8 2 2 9" xfId="27380"/>
    <cellStyle name="Input 8 2 2 9 2" xfId="36140"/>
    <cellStyle name="Input 8 2 3" xfId="23638"/>
    <cellStyle name="Input 8 2 3 10" xfId="25248"/>
    <cellStyle name="Input 8 2 3 10 2" xfId="34018"/>
    <cellStyle name="Input 8 2 3 11" xfId="28222"/>
    <cellStyle name="Input 8 2 3 11 2" xfId="36981"/>
    <cellStyle name="Input 8 2 3 12" xfId="33108"/>
    <cellStyle name="Input 8 2 3 2" xfId="24693"/>
    <cellStyle name="Input 8 2 3 2 10" xfId="32394"/>
    <cellStyle name="Input 8 2 3 2 10 2" xfId="41148"/>
    <cellStyle name="Input 8 2 3 2 11" xfId="33469"/>
    <cellStyle name="Input 8 2 3 2 2" xfId="29258"/>
    <cellStyle name="Input 8 2 3 2 2 2" xfId="38012"/>
    <cellStyle name="Input 8 2 3 2 3" xfId="29668"/>
    <cellStyle name="Input 8 2 3 2 3 2" xfId="38422"/>
    <cellStyle name="Input 8 2 3 2 4" xfId="30088"/>
    <cellStyle name="Input 8 2 3 2 4 2" xfId="38842"/>
    <cellStyle name="Input 8 2 3 2 5" xfId="30504"/>
    <cellStyle name="Input 8 2 3 2 5 2" xfId="39258"/>
    <cellStyle name="Input 8 2 3 2 6" xfId="30905"/>
    <cellStyle name="Input 8 2 3 2 6 2" xfId="39659"/>
    <cellStyle name="Input 8 2 3 2 7" xfId="31291"/>
    <cellStyle name="Input 8 2 3 2 7 2" xfId="40045"/>
    <cellStyle name="Input 8 2 3 2 8" xfId="31667"/>
    <cellStyle name="Input 8 2 3 2 8 2" xfId="40421"/>
    <cellStyle name="Input 8 2 3 2 9" xfId="32033"/>
    <cellStyle name="Input 8 2 3 2 9 2" xfId="40787"/>
    <cellStyle name="Input 8 2 3 3" xfId="28754"/>
    <cellStyle name="Input 8 2 3 3 2" xfId="37510"/>
    <cellStyle name="Input 8 2 3 4" xfId="24805"/>
    <cellStyle name="Input 8 2 3 4 2" xfId="33581"/>
    <cellStyle name="Input 8 2 3 5" xfId="24825"/>
    <cellStyle name="Input 8 2 3 5 2" xfId="33600"/>
    <cellStyle name="Input 8 2 3 6" xfId="25525"/>
    <cellStyle name="Input 8 2 3 6 2" xfId="34293"/>
    <cellStyle name="Input 8 2 3 7" xfId="25634"/>
    <cellStyle name="Input 8 2 3 7 2" xfId="34401"/>
    <cellStyle name="Input 8 2 3 8" xfId="25047"/>
    <cellStyle name="Input 8 2 3 8 2" xfId="33821"/>
    <cellStyle name="Input 8 2 3 9" xfId="25338"/>
    <cellStyle name="Input 8 2 3 9 2" xfId="34107"/>
    <cellStyle name="Input 8 2 4" xfId="27033"/>
    <cellStyle name="Input 8 2 4 2" xfId="35793"/>
    <cellStyle name="Input 8 2 5" xfId="26210"/>
    <cellStyle name="Input 8 2 5 2" xfId="34976"/>
    <cellStyle name="Input 8 2 6" xfId="26832"/>
    <cellStyle name="Input 8 2 6 2" xfId="35593"/>
    <cellStyle name="Input 8 2 7" xfId="25838"/>
    <cellStyle name="Input 8 2 7 2" xfId="34604"/>
    <cellStyle name="Input 8 2 8" xfId="26868"/>
    <cellStyle name="Input 8 2 8 2" xfId="35629"/>
    <cellStyle name="Input 8 2 9" xfId="26213"/>
    <cellStyle name="Input 8 2 9 2" xfId="34979"/>
    <cellStyle name="Input 8 3" xfId="24988"/>
    <cellStyle name="Input 8 3 2" xfId="33762"/>
    <cellStyle name="Input 8 4" xfId="26024"/>
    <cellStyle name="Input 8 4 2" xfId="34790"/>
    <cellStyle name="Input 8 5" xfId="27991"/>
    <cellStyle name="Input 8 5 2" xfId="36751"/>
    <cellStyle name="Input 8 6" xfId="27466"/>
    <cellStyle name="Input 8 6 2" xfId="36226"/>
    <cellStyle name="Input 8 7" xfId="27573"/>
    <cellStyle name="Input 8 7 2" xfId="36333"/>
    <cellStyle name="Input 8 8" xfId="26722"/>
    <cellStyle name="Input 8 8 2" xfId="35485"/>
    <cellStyle name="Input 8 9" xfId="30179"/>
    <cellStyle name="Input 8 9 2" xfId="38933"/>
    <cellStyle name="Input 9" xfId="635"/>
    <cellStyle name="Input 9 10" xfId="27067"/>
    <cellStyle name="Input 9 10 2" xfId="35827"/>
    <cellStyle name="Input 9 11" xfId="27159"/>
    <cellStyle name="Input 9 11 2" xfId="35919"/>
    <cellStyle name="Input 9 12" xfId="41818"/>
    <cellStyle name="Input 9 2" xfId="6069"/>
    <cellStyle name="Input 9 2 10" xfId="26653"/>
    <cellStyle name="Input 9 2 10 2" xfId="35418"/>
    <cellStyle name="Input 9 2 11" xfId="25610"/>
    <cellStyle name="Input 9 2 11 2" xfId="34377"/>
    <cellStyle name="Input 9 2 12" xfId="32737"/>
    <cellStyle name="Input 9 2 13" xfId="41819"/>
    <cellStyle name="Input 9 2 2" xfId="18197"/>
    <cellStyle name="Input 9 2 2 10" xfId="28519"/>
    <cellStyle name="Input 9 2 2 10 2" xfId="37275"/>
    <cellStyle name="Input 9 2 2 11" xfId="2342"/>
    <cellStyle name="Input 9 2 2 11 2" xfId="32636"/>
    <cellStyle name="Input 9 2 2 12" xfId="32941"/>
    <cellStyle name="Input 9 2 2 13" xfId="41820"/>
    <cellStyle name="Input 9 2 2 14" xfId="43314"/>
    <cellStyle name="Input 9 2 2 15" xfId="43909"/>
    <cellStyle name="Input 9 2 2 2" xfId="24467"/>
    <cellStyle name="Input 9 2 2 2 10" xfId="32220"/>
    <cellStyle name="Input 9 2 2 2 10 2" xfId="40974"/>
    <cellStyle name="Input 9 2 2 2 11" xfId="33295"/>
    <cellStyle name="Input 9 2 2 2 12" xfId="41821"/>
    <cellStyle name="Input 9 2 2 2 13" xfId="43313"/>
    <cellStyle name="Input 9 2 2 2 14" xfId="43910"/>
    <cellStyle name="Input 9 2 2 2 2" xfId="29075"/>
    <cellStyle name="Input 9 2 2 2 2 2" xfId="37829"/>
    <cellStyle name="Input 9 2 2 2 3" xfId="29488"/>
    <cellStyle name="Input 9 2 2 2 3 2" xfId="38242"/>
    <cellStyle name="Input 9 2 2 2 4" xfId="29908"/>
    <cellStyle name="Input 9 2 2 2 4 2" xfId="38662"/>
    <cellStyle name="Input 9 2 2 2 5" xfId="30327"/>
    <cellStyle name="Input 9 2 2 2 5 2" xfId="39081"/>
    <cellStyle name="Input 9 2 2 2 6" xfId="30728"/>
    <cellStyle name="Input 9 2 2 2 6 2" xfId="39482"/>
    <cellStyle name="Input 9 2 2 2 7" xfId="31114"/>
    <cellStyle name="Input 9 2 2 2 7 2" xfId="39868"/>
    <cellStyle name="Input 9 2 2 2 8" xfId="31492"/>
    <cellStyle name="Input 9 2 2 2 8 2" xfId="40246"/>
    <cellStyle name="Input 9 2 2 2 9" xfId="31858"/>
    <cellStyle name="Input 9 2 2 2 9 2" xfId="40612"/>
    <cellStyle name="Input 9 2 2 3" xfId="27687"/>
    <cellStyle name="Input 9 2 2 3 2" xfId="36447"/>
    <cellStyle name="Input 9 2 2 4" xfId="26822"/>
    <cellStyle name="Input 9 2 2 4 2" xfId="35583"/>
    <cellStyle name="Input 9 2 2 5" xfId="25103"/>
    <cellStyle name="Input 9 2 2 5 2" xfId="33875"/>
    <cellStyle name="Input 9 2 2 6" xfId="28016"/>
    <cellStyle name="Input 9 2 2 6 2" xfId="36775"/>
    <cellStyle name="Input 9 2 2 7" xfId="29351"/>
    <cellStyle name="Input 9 2 2 7 2" xfId="38105"/>
    <cellStyle name="Input 9 2 2 8" xfId="25444"/>
    <cellStyle name="Input 9 2 2 8 2" xfId="34213"/>
    <cellStyle name="Input 9 2 2 9" xfId="26302"/>
    <cellStyle name="Input 9 2 2 9 2" xfId="35068"/>
    <cellStyle name="Input 9 2 3" xfId="23639"/>
    <cellStyle name="Input 9 2 3 10" xfId="28692"/>
    <cellStyle name="Input 9 2 3 10 2" xfId="37448"/>
    <cellStyle name="Input 9 2 3 11" xfId="25858"/>
    <cellStyle name="Input 9 2 3 11 2" xfId="34624"/>
    <cellStyle name="Input 9 2 3 12" xfId="33109"/>
    <cellStyle name="Input 9 2 3 2" xfId="24694"/>
    <cellStyle name="Input 9 2 3 2 10" xfId="32395"/>
    <cellStyle name="Input 9 2 3 2 10 2" xfId="41149"/>
    <cellStyle name="Input 9 2 3 2 11" xfId="33470"/>
    <cellStyle name="Input 9 2 3 2 2" xfId="29259"/>
    <cellStyle name="Input 9 2 3 2 2 2" xfId="38013"/>
    <cellStyle name="Input 9 2 3 2 3" xfId="29669"/>
    <cellStyle name="Input 9 2 3 2 3 2" xfId="38423"/>
    <cellStyle name="Input 9 2 3 2 4" xfId="30089"/>
    <cellStyle name="Input 9 2 3 2 4 2" xfId="38843"/>
    <cellStyle name="Input 9 2 3 2 5" xfId="30505"/>
    <cellStyle name="Input 9 2 3 2 5 2" xfId="39259"/>
    <cellStyle name="Input 9 2 3 2 6" xfId="30906"/>
    <cellStyle name="Input 9 2 3 2 6 2" xfId="39660"/>
    <cellStyle name="Input 9 2 3 2 7" xfId="31292"/>
    <cellStyle name="Input 9 2 3 2 7 2" xfId="40046"/>
    <cellStyle name="Input 9 2 3 2 8" xfId="31668"/>
    <cellStyle name="Input 9 2 3 2 8 2" xfId="40422"/>
    <cellStyle name="Input 9 2 3 2 9" xfId="32034"/>
    <cellStyle name="Input 9 2 3 2 9 2" xfId="40788"/>
    <cellStyle name="Input 9 2 3 3" xfId="28755"/>
    <cellStyle name="Input 9 2 3 3 2" xfId="37511"/>
    <cellStyle name="Input 9 2 3 4" xfId="29003"/>
    <cellStyle name="Input 9 2 3 4 2" xfId="37757"/>
    <cellStyle name="Input 9 2 3 5" xfId="24836"/>
    <cellStyle name="Input 9 2 3 5 2" xfId="33610"/>
    <cellStyle name="Input 9 2 3 6" xfId="27490"/>
    <cellStyle name="Input 9 2 3 6 2" xfId="36250"/>
    <cellStyle name="Input 9 2 3 7" xfId="26793"/>
    <cellStyle name="Input 9 2 3 7 2" xfId="35555"/>
    <cellStyle name="Input 9 2 3 8" xfId="25117"/>
    <cellStyle name="Input 9 2 3 8 2" xfId="33889"/>
    <cellStyle name="Input 9 2 3 9" xfId="26331"/>
    <cellStyle name="Input 9 2 3 9 2" xfId="35097"/>
    <cellStyle name="Input 9 2 4" xfId="27272"/>
    <cellStyle name="Input 9 2 4 2" xfId="36032"/>
    <cellStyle name="Input 9 2 5" xfId="27345"/>
    <cellStyle name="Input 9 2 5 2" xfId="36105"/>
    <cellStyle name="Input 9 2 6" xfId="26412"/>
    <cellStyle name="Input 9 2 6 2" xfId="35178"/>
    <cellStyle name="Input 9 2 7" xfId="28332"/>
    <cellStyle name="Input 9 2 7 2" xfId="37091"/>
    <cellStyle name="Input 9 2 8" xfId="26248"/>
    <cellStyle name="Input 9 2 8 2" xfId="35014"/>
    <cellStyle name="Input 9 2 9" xfId="28906"/>
    <cellStyle name="Input 9 2 9 2" xfId="37662"/>
    <cellStyle name="Input 9 3" xfId="24992"/>
    <cellStyle name="Input 9 3 2" xfId="33766"/>
    <cellStyle name="Input 9 4" xfId="25737"/>
    <cellStyle name="Input 9 4 2" xfId="34504"/>
    <cellStyle name="Input 9 5" xfId="28608"/>
    <cellStyle name="Input 9 5 2" xfId="37364"/>
    <cellStyle name="Input 9 6" xfId="27567"/>
    <cellStyle name="Input 9 6 2" xfId="36327"/>
    <cellStyle name="Input 9 7" xfId="25928"/>
    <cellStyle name="Input 9 7 2" xfId="34694"/>
    <cellStyle name="Input 9 8" xfId="25329"/>
    <cellStyle name="Input 9 8 2" xfId="34098"/>
    <cellStyle name="Input 9 9" xfId="27142"/>
    <cellStyle name="Input 9 9 2" xfId="35902"/>
    <cellStyle name="juan2" xfId="413"/>
    <cellStyle name="Link Currency (0)" xfId="414"/>
    <cellStyle name="Link Currency (2)" xfId="415"/>
    <cellStyle name="Link Units (0)" xfId="416"/>
    <cellStyle name="Link Units (1)" xfId="417"/>
    <cellStyle name="Link Units (2)" xfId="418"/>
    <cellStyle name="Linked Cell" xfId="28" builtinId="24" customBuiltin="1"/>
    <cellStyle name="Linked Cell 2" xfId="92"/>
    <cellStyle name="Linked Cell 2 2" xfId="984"/>
    <cellStyle name="Linked Cell 2 3" xfId="43084"/>
    <cellStyle name="Linked Cell 2 4" xfId="44213"/>
    <cellStyle name="Linked Cell 2 5" xfId="280"/>
    <cellStyle name="Linked Cell 3" xfId="913"/>
    <cellStyle name="Linked Cell 3 2" xfId="4497"/>
    <cellStyle name="Linked Cell 3 2 2" xfId="41822"/>
    <cellStyle name="Linked Cell 3 3" xfId="6070"/>
    <cellStyle name="Linked Cell 3 4" xfId="44151"/>
    <cellStyle name="Linked Cell 4" xfId="9600"/>
    <cellStyle name="Linked Cell 5" xfId="42976"/>
    <cellStyle name="lm" xfId="213"/>
    <cellStyle name="MainHead" xfId="419"/>
    <cellStyle name="Millares [0]_10 AVERIAS MASIVAS + ANT" xfId="420"/>
    <cellStyle name="Moneda_Adm Expenses Detail" xfId="421"/>
    <cellStyle name="Neutral 2" xfId="88"/>
    <cellStyle name="Neutral 2 2" xfId="985"/>
    <cellStyle name="Neutral 2 3" xfId="43083"/>
    <cellStyle name="Neutral 2 4" xfId="44209"/>
    <cellStyle name="Neutral 2 5" xfId="282"/>
    <cellStyle name="Neutral 3" xfId="914"/>
    <cellStyle name="Neutral 3 2" xfId="4498"/>
    <cellStyle name="Neutral 3 2 2" xfId="41823"/>
    <cellStyle name="Neutral 3 3" xfId="6071"/>
    <cellStyle name="Neutral 3 4" xfId="44147"/>
    <cellStyle name="Neutral 4" xfId="9601"/>
    <cellStyle name="Neutral 5" xfId="42972"/>
    <cellStyle name="Neutral 6" xfId="43131"/>
    <cellStyle name="No Border" xfId="986"/>
    <cellStyle name="Normal" xfId="0" builtinId="0"/>
    <cellStyle name="Normal - Style1" xfId="422"/>
    <cellStyle name="Normal - Style1 2" xfId="726"/>
    <cellStyle name="Normal - Style1 2 2" xfId="2070"/>
    <cellStyle name="Normal - Style1 2 3" xfId="2028"/>
    <cellStyle name="Normal - Style1 3" xfId="1095"/>
    <cellStyle name="Normal - Style1 3 2" xfId="1140"/>
    <cellStyle name="Normal - Style1 3 3" xfId="2861"/>
    <cellStyle name="Normal - Style1 4" xfId="1189"/>
    <cellStyle name="Normal 10" xfId="290"/>
    <cellStyle name="Normal 10 2" xfId="1398"/>
    <cellStyle name="Normal 10 3" xfId="6072"/>
    <cellStyle name="Normal 10 3 2" xfId="24639"/>
    <cellStyle name="Normal 10 3 3" xfId="41824"/>
    <cellStyle name="Normal 10 4" xfId="43119"/>
    <cellStyle name="Normal 100" xfId="1963"/>
    <cellStyle name="Normal 100 2" xfId="4499"/>
    <cellStyle name="Normal 100 2 2" xfId="41825"/>
    <cellStyle name="Normal 100 3" xfId="4500"/>
    <cellStyle name="Normal 100 3 2" xfId="4501"/>
    <cellStyle name="Normal 100 3 3" xfId="4502"/>
    <cellStyle name="Normal 100 3 3 2" xfId="6564"/>
    <cellStyle name="Normal 100 3 4" xfId="41826"/>
    <cellStyle name="Normal 100 4" xfId="4503"/>
    <cellStyle name="Normal 100 4 2" xfId="6247"/>
    <cellStyle name="Normal 100 5" xfId="4504"/>
    <cellStyle name="Normal 101" xfId="2533"/>
    <cellStyle name="Normal 101 2" xfId="4505"/>
    <cellStyle name="Normal 101 2 2" xfId="41827"/>
    <cellStyle name="Normal 101 3" xfId="4506"/>
    <cellStyle name="Normal 101 3 2" xfId="4507"/>
    <cellStyle name="Normal 101 3 3" xfId="4508"/>
    <cellStyle name="Normal 101 3 3 2" xfId="6565"/>
    <cellStyle name="Normal 101 4" xfId="4509"/>
    <cellStyle name="Normal 101 4 2" xfId="6248"/>
    <cellStyle name="Normal 101 5" xfId="4510"/>
    <cellStyle name="Normal 102" xfId="1970"/>
    <cellStyle name="Normal 102 2" xfId="4511"/>
    <cellStyle name="Normal 102 2 2" xfId="41828"/>
    <cellStyle name="Normal 102 3" xfId="4512"/>
    <cellStyle name="Normal 102 3 2" xfId="4513"/>
    <cellStyle name="Normal 102 3 3" xfId="4514"/>
    <cellStyle name="Normal 102 3 3 2" xfId="6569"/>
    <cellStyle name="Normal 102 4" xfId="4515"/>
    <cellStyle name="Normal 102 4 2" xfId="6252"/>
    <cellStyle name="Normal 102 5" xfId="4516"/>
    <cellStyle name="Normal 103" xfId="2541"/>
    <cellStyle name="Normal 103 2" xfId="4517"/>
    <cellStyle name="Normal 103 2 2" xfId="41829"/>
    <cellStyle name="Normal 103 3" xfId="4518"/>
    <cellStyle name="Normal 103 3 2" xfId="4519"/>
    <cellStyle name="Normal 103 3 3" xfId="4520"/>
    <cellStyle name="Normal 103 3 3 2" xfId="6567"/>
    <cellStyle name="Normal 103 4" xfId="4521"/>
    <cellStyle name="Normal 103 4 2" xfId="6250"/>
    <cellStyle name="Normal 103 5" xfId="4522"/>
    <cellStyle name="Normal 104" xfId="1875"/>
    <cellStyle name="Normal 104 2" xfId="4523"/>
    <cellStyle name="Normal 104 2 2" xfId="41830"/>
    <cellStyle name="Normal 104 3" xfId="4524"/>
    <cellStyle name="Normal 104 3 2" xfId="4525"/>
    <cellStyle name="Normal 104 3 3" xfId="4526"/>
    <cellStyle name="Normal 104 3 3 2" xfId="6562"/>
    <cellStyle name="Normal 104 4" xfId="4527"/>
    <cellStyle name="Normal 104 4 2" xfId="6245"/>
    <cellStyle name="Normal 104 5" xfId="4528"/>
    <cellStyle name="Normal 105" xfId="2555"/>
    <cellStyle name="Normal 105 2" xfId="4529"/>
    <cellStyle name="Normal 105 2 2" xfId="41831"/>
    <cellStyle name="Normal 105 3" xfId="4530"/>
    <cellStyle name="Normal 105 3 2" xfId="4531"/>
    <cellStyle name="Normal 105 3 3" xfId="4532"/>
    <cellStyle name="Normal 105 3 3 2" xfId="6574"/>
    <cellStyle name="Normal 105 4" xfId="4533"/>
    <cellStyle name="Normal 105 4 2" xfId="6257"/>
    <cellStyle name="Normal 105 5" xfId="4534"/>
    <cellStyle name="Normal 106" xfId="2565"/>
    <cellStyle name="Normal 106 2" xfId="4535"/>
    <cellStyle name="Normal 106 2 2" xfId="41832"/>
    <cellStyle name="Normal 106 3" xfId="6143"/>
    <cellStyle name="Normal 107" xfId="2566"/>
    <cellStyle name="Normal 107 2" xfId="4536"/>
    <cellStyle name="Normal 107 2 2" xfId="41833"/>
    <cellStyle name="Normal 107 3" xfId="6171"/>
    <cellStyle name="Normal 108" xfId="3082"/>
    <cellStyle name="Normal 108 2" xfId="4537"/>
    <cellStyle name="Normal 108 2 2" xfId="41834"/>
    <cellStyle name="Normal 108 3" xfId="6170"/>
    <cellStyle name="Normal 109" xfId="3148"/>
    <cellStyle name="Normal 109 2" xfId="4538"/>
    <cellStyle name="Normal 109 2 2" xfId="41835"/>
    <cellStyle name="Normal 109 3" xfId="6173"/>
    <cellStyle name="Normal 11" xfId="550"/>
    <cellStyle name="Normal 11 2" xfId="1399"/>
    <cellStyle name="Normal 11 3" xfId="727"/>
    <cellStyle name="Normal 11 3 2" xfId="24569"/>
    <cellStyle name="Normal 11 3 3" xfId="41836"/>
    <cellStyle name="Normal 110" xfId="3149"/>
    <cellStyle name="Normal 110 2" xfId="4539"/>
    <cellStyle name="Normal 110 2 2" xfId="41837"/>
    <cellStyle name="Normal 110 3" xfId="6172"/>
    <cellStyle name="Normal 111" xfId="3151"/>
    <cellStyle name="Normal 111 2" xfId="41838"/>
    <cellStyle name="Normal 112" xfId="3152"/>
    <cellStyle name="Normal 112 2" xfId="4540"/>
    <cellStyle name="Normal 112 2 2" xfId="41839"/>
    <cellStyle name="Normal 112 3" xfId="6145"/>
    <cellStyle name="Normal 113" xfId="3154"/>
    <cellStyle name="Normal 113 2" xfId="6144"/>
    <cellStyle name="Normal 113 2 2" xfId="41841"/>
    <cellStyle name="Normal 113 3" xfId="9568"/>
    <cellStyle name="Normal 113 3 2" xfId="12953"/>
    <cellStyle name="Normal 113 4" xfId="24076"/>
    <cellStyle name="Normal 113 5" xfId="41840"/>
    <cellStyle name="Normal 114" xfId="4541"/>
    <cellStyle name="Normal 114 2" xfId="9846"/>
    <cellStyle name="Normal 114 2 2" xfId="24279"/>
    <cellStyle name="Normal 114 3" xfId="10063"/>
    <cellStyle name="Normal 114 4" xfId="41842"/>
    <cellStyle name="Normal 115" xfId="4542"/>
    <cellStyle name="Normal 115 2" xfId="9847"/>
    <cellStyle name="Normal 115 2 2" xfId="41844"/>
    <cellStyle name="Normal 115 3" xfId="41843"/>
    <cellStyle name="Normal 116" xfId="4543"/>
    <cellStyle name="Normal 116 2" xfId="41846"/>
    <cellStyle name="Normal 116 3" xfId="41845"/>
    <cellStyle name="Normal 117" xfId="4544"/>
    <cellStyle name="Normal 117 2" xfId="41848"/>
    <cellStyle name="Normal 117 3" xfId="41847"/>
    <cellStyle name="Normal 118" xfId="4545"/>
    <cellStyle name="Normal 118 2" xfId="41849"/>
    <cellStyle name="Normal 119" xfId="4546"/>
    <cellStyle name="Normal 119 2" xfId="41850"/>
    <cellStyle name="Normal 12" xfId="564"/>
    <cellStyle name="Normal 12 2" xfId="1400"/>
    <cellStyle name="Normal 12 3" xfId="24317"/>
    <cellStyle name="Normal 12 3 2" xfId="41851"/>
    <cellStyle name="Normal 120" xfId="4547"/>
    <cellStyle name="Normal 120 2" xfId="41852"/>
    <cellStyle name="Normal 121" xfId="4548"/>
    <cellStyle name="Normal 121 2" xfId="41853"/>
    <cellStyle name="Normal 122" xfId="4549"/>
    <cellStyle name="Normal 122 2" xfId="41854"/>
    <cellStyle name="Normal 123" xfId="4550"/>
    <cellStyle name="Normal 123 2" xfId="41855"/>
    <cellStyle name="Normal 124" xfId="4551"/>
    <cellStyle name="Normal 124 2" xfId="41856"/>
    <cellStyle name="Normal 125" xfId="4552"/>
    <cellStyle name="Normal 125 2" xfId="41857"/>
    <cellStyle name="Normal 126" xfId="4553"/>
    <cellStyle name="Normal 126 2" xfId="41858"/>
    <cellStyle name="Normal 127" xfId="4554"/>
    <cellStyle name="Normal 127 2" xfId="41859"/>
    <cellStyle name="Normal 128" xfId="4555"/>
    <cellStyle name="Normal 128 2" xfId="41860"/>
    <cellStyle name="Normal 129" xfId="4556"/>
    <cellStyle name="Normal 129 2" xfId="41861"/>
    <cellStyle name="Normal 13" xfId="577"/>
    <cellStyle name="Normal 13 2" xfId="1011"/>
    <cellStyle name="Normal 13 2 2" xfId="2827"/>
    <cellStyle name="Normal 13 2 3" xfId="2746"/>
    <cellStyle name="Normal 13 2 3 2" xfId="41862"/>
    <cellStyle name="Normal 13 3" xfId="2784"/>
    <cellStyle name="Normal 13 4" xfId="3068"/>
    <cellStyle name="Normal 13 4 2" xfId="41863"/>
    <cellStyle name="Normal 130" xfId="4557"/>
    <cellStyle name="Normal 130 2" xfId="41864"/>
    <cellStyle name="Normal 131" xfId="4558"/>
    <cellStyle name="Normal 131 2" xfId="4559"/>
    <cellStyle name="Normal 131 3" xfId="4560"/>
    <cellStyle name="Normal 131 3 2" xfId="6530"/>
    <cellStyle name="Normal 132" xfId="4561"/>
    <cellStyle name="Normal 132 2" xfId="4562"/>
    <cellStyle name="Normal 132 3" xfId="4563"/>
    <cellStyle name="Normal 132 3 2" xfId="6558"/>
    <cellStyle name="Normal 132 4" xfId="41865"/>
    <cellStyle name="Normal 133" xfId="4564"/>
    <cellStyle name="Normal 133 2" xfId="4565"/>
    <cellStyle name="Normal 133 3" xfId="4566"/>
    <cellStyle name="Normal 133 3 2" xfId="6532"/>
    <cellStyle name="Normal 133 4" xfId="41866"/>
    <cellStyle name="Normal 134" xfId="4567"/>
    <cellStyle name="Normal 134 2" xfId="4568"/>
    <cellStyle name="Normal 134 3" xfId="4569"/>
    <cellStyle name="Normal 134 3 2" xfId="6623"/>
    <cellStyle name="Normal 134 4" xfId="41867"/>
    <cellStyle name="Normal 135" xfId="4570"/>
    <cellStyle name="Normal 135 2" xfId="4571"/>
    <cellStyle name="Normal 135 3" xfId="4572"/>
    <cellStyle name="Normal 135 3 2" xfId="6625"/>
    <cellStyle name="Normal 135 4" xfId="41868"/>
    <cellStyle name="Normal 136" xfId="3158"/>
    <cellStyle name="Normal 136 2" xfId="4573"/>
    <cellStyle name="Normal 136 3" xfId="4574"/>
    <cellStyle name="Normal 136 3 2" xfId="6531"/>
    <cellStyle name="Normal 136 4" xfId="41869"/>
    <cellStyle name="Normal 137" xfId="4575"/>
    <cellStyle name="Normal 137 2" xfId="4576"/>
    <cellStyle name="Normal 137 3" xfId="4577"/>
    <cellStyle name="Normal 137 3 2" xfId="6560"/>
    <cellStyle name="Normal 137 4" xfId="41870"/>
    <cellStyle name="Normal 138" xfId="4578"/>
    <cellStyle name="Normal 138 2" xfId="4579"/>
    <cellStyle name="Normal 138 3" xfId="4580"/>
    <cellStyle name="Normal 138 3 2" xfId="6624"/>
    <cellStyle name="Normal 138 4" xfId="41871"/>
    <cellStyle name="Normal 139" xfId="4581"/>
    <cellStyle name="Normal 139 2" xfId="4582"/>
    <cellStyle name="Normal 139 3" xfId="4583"/>
    <cellStyle name="Normal 139 3 2" xfId="6626"/>
    <cellStyle name="Normal 139 4" xfId="41872"/>
    <cellStyle name="Normal 14" xfId="601"/>
    <cellStyle name="Normal 14 2" xfId="1464"/>
    <cellStyle name="Normal 140" xfId="4584"/>
    <cellStyle name="Normal 140 2" xfId="6196"/>
    <cellStyle name="Normal 140 3" xfId="41873"/>
    <cellStyle name="Normal 141" xfId="4585"/>
    <cellStyle name="Normal 141 2" xfId="6204"/>
    <cellStyle name="Normal 141 3" xfId="41874"/>
    <cellStyle name="Normal 142" xfId="4586"/>
    <cellStyle name="Normal 142 2" xfId="6205"/>
    <cellStyle name="Normal 142 3" xfId="41875"/>
    <cellStyle name="Normal 143" xfId="4587"/>
    <cellStyle name="Normal 143 2" xfId="41876"/>
    <cellStyle name="Normal 144" xfId="4588"/>
    <cellStyle name="Normal 144 2" xfId="41877"/>
    <cellStyle name="Normal 145" xfId="4589"/>
    <cellStyle name="Normal 145 2" xfId="6217"/>
    <cellStyle name="Normal 145 3" xfId="41878"/>
    <cellStyle name="Normal 146" xfId="4590"/>
    <cellStyle name="Normal 146 2" xfId="6722"/>
    <cellStyle name="Normal 146 2 2" xfId="9245"/>
    <cellStyle name="Normal 146 2 2 2" xfId="23327"/>
    <cellStyle name="Normal 146 2 2 3" xfId="17879"/>
    <cellStyle name="Normal 146 2 3" xfId="15423"/>
    <cellStyle name="Normal 146 2 4" xfId="20901"/>
    <cellStyle name="Normal 146 2 5" xfId="12473"/>
    <cellStyle name="Normal 146 3" xfId="6208"/>
    <cellStyle name="Normal 146 4" xfId="8688"/>
    <cellStyle name="Normal 146 4 2" xfId="17322"/>
    <cellStyle name="Normal 146 5" xfId="14032"/>
    <cellStyle name="Normal 146 6" xfId="19548"/>
    <cellStyle name="Normal 146 7" xfId="41879"/>
    <cellStyle name="Normal 147" xfId="4591"/>
    <cellStyle name="Normal 147 2" xfId="6727"/>
    <cellStyle name="Normal 147 2 2" xfId="9260"/>
    <cellStyle name="Normal 147 2 2 2" xfId="23340"/>
    <cellStyle name="Normal 147 2 2 3" xfId="17892"/>
    <cellStyle name="Normal 147 2 3" xfId="15427"/>
    <cellStyle name="Normal 147 2 4" xfId="20905"/>
    <cellStyle name="Normal 147 2 5" xfId="12486"/>
    <cellStyle name="Normal 147 3" xfId="6216"/>
    <cellStyle name="Normal 147 4" xfId="8690"/>
    <cellStyle name="Normal 147 4 2" xfId="17324"/>
    <cellStyle name="Normal 147 5" xfId="14033"/>
    <cellStyle name="Normal 147 6" xfId="19549"/>
    <cellStyle name="Normal 147 7" xfId="41880"/>
    <cellStyle name="Normal 148" xfId="3164"/>
    <cellStyle name="Normal 148 2" xfId="6729"/>
    <cellStyle name="Normal 148 2 2" xfId="9274"/>
    <cellStyle name="Normal 148 2 2 2" xfId="23354"/>
    <cellStyle name="Normal 148 2 2 3" xfId="17906"/>
    <cellStyle name="Normal 148 2 3" xfId="15429"/>
    <cellStyle name="Normal 148 2 4" xfId="20907"/>
    <cellStyle name="Normal 148 2 5" xfId="12500"/>
    <cellStyle name="Normal 148 3" xfId="6213"/>
    <cellStyle name="Normal 148 4" xfId="8689"/>
    <cellStyle name="Normal 148 4 2" xfId="17323"/>
    <cellStyle name="Normal 148 5" xfId="12956"/>
    <cellStyle name="Normal 148 6" xfId="18498"/>
    <cellStyle name="Normal 148 7" xfId="41881"/>
    <cellStyle name="Normal 149" xfId="4592"/>
    <cellStyle name="Normal 149 2" xfId="9250"/>
    <cellStyle name="Normal 149 2 2" xfId="23332"/>
    <cellStyle name="Normal 149 2 3" xfId="17884"/>
    <cellStyle name="Normal 149 3" xfId="14034"/>
    <cellStyle name="Normal 149 4" xfId="19550"/>
    <cellStyle name="Normal 149 5" xfId="12478"/>
    <cellStyle name="Normal 149 6" xfId="41882"/>
    <cellStyle name="Normal 15" xfId="608"/>
    <cellStyle name="Normal 15 2" xfId="1467"/>
    <cellStyle name="Normal 150" xfId="3166"/>
    <cellStyle name="Normal 150 2" xfId="9278"/>
    <cellStyle name="Normal 150 2 2" xfId="23358"/>
    <cellStyle name="Normal 150 2 3" xfId="17910"/>
    <cellStyle name="Normal 150 3" xfId="12958"/>
    <cellStyle name="Normal 150 4" xfId="18500"/>
    <cellStyle name="Normal 150 5" xfId="12504"/>
    <cellStyle name="Normal 150 6" xfId="41883"/>
    <cellStyle name="Normal 151" xfId="3167"/>
    <cellStyle name="Normal 151 2" xfId="9276"/>
    <cellStyle name="Normal 151 2 2" xfId="23356"/>
    <cellStyle name="Normal 151 2 3" xfId="17908"/>
    <cellStyle name="Normal 151 3" xfId="12959"/>
    <cellStyle name="Normal 151 4" xfId="18501"/>
    <cellStyle name="Normal 151 5" xfId="12502"/>
    <cellStyle name="Normal 151 6" xfId="41884"/>
    <cellStyle name="Normal 152" xfId="3172"/>
    <cellStyle name="Normal 152 2" xfId="9253"/>
    <cellStyle name="Normal 152 2 2" xfId="23335"/>
    <cellStyle name="Normal 152 2 3" xfId="17887"/>
    <cellStyle name="Normal 152 3" xfId="12964"/>
    <cellStyle name="Normal 152 4" xfId="18506"/>
    <cellStyle name="Normal 152 5" xfId="12481"/>
    <cellStyle name="Normal 152 6" xfId="41885"/>
    <cellStyle name="Normal 153" xfId="4593"/>
    <cellStyle name="Normal 153 2" xfId="9267"/>
    <cellStyle name="Normal 153 2 2" xfId="23347"/>
    <cellStyle name="Normal 153 2 3" xfId="17899"/>
    <cellStyle name="Normal 153 3" xfId="14035"/>
    <cellStyle name="Normal 153 4" xfId="19551"/>
    <cellStyle name="Normal 153 5" xfId="12493"/>
    <cellStyle name="Normal 153 6" xfId="41886"/>
    <cellStyle name="Normal 154" xfId="3174"/>
    <cellStyle name="Normal 154 2" xfId="9256"/>
    <cellStyle name="Normal 154 2 2" xfId="23337"/>
    <cellStyle name="Normal 154 2 3" xfId="17889"/>
    <cellStyle name="Normal 154 3" xfId="12966"/>
    <cellStyle name="Normal 154 4" xfId="18508"/>
    <cellStyle name="Normal 154 5" xfId="12483"/>
    <cellStyle name="Normal 154 6" xfId="41887"/>
    <cellStyle name="Normal 155" xfId="3175"/>
    <cellStyle name="Normal 155 2" xfId="9248"/>
    <cellStyle name="Normal 155 2 2" xfId="23330"/>
    <cellStyle name="Normal 155 2 3" xfId="17882"/>
    <cellStyle name="Normal 155 3" xfId="12967"/>
    <cellStyle name="Normal 155 4" xfId="18509"/>
    <cellStyle name="Normal 155 5" xfId="12476"/>
    <cellStyle name="Normal 155 6" xfId="41888"/>
    <cellStyle name="Normal 156" xfId="3181"/>
    <cellStyle name="Normal 156 2" xfId="9255"/>
    <cellStyle name="Normal 156 2 2" xfId="23336"/>
    <cellStyle name="Normal 156 2 3" xfId="17888"/>
    <cellStyle name="Normal 156 3" xfId="12973"/>
    <cellStyle name="Normal 156 4" xfId="18515"/>
    <cellStyle name="Normal 156 5" xfId="12482"/>
    <cellStyle name="Normal 156 6" xfId="41889"/>
    <cellStyle name="Normal 157" xfId="4594"/>
    <cellStyle name="Normal 157 2" xfId="9270"/>
    <cellStyle name="Normal 157 2 2" xfId="23350"/>
    <cellStyle name="Normal 157 2 3" xfId="17902"/>
    <cellStyle name="Normal 157 3" xfId="14036"/>
    <cellStyle name="Normal 157 4" xfId="19552"/>
    <cellStyle name="Normal 157 5" xfId="12496"/>
    <cellStyle name="Normal 157 6" xfId="41890"/>
    <cellStyle name="Normal 158" xfId="4595"/>
    <cellStyle name="Normal 158 2" xfId="9272"/>
    <cellStyle name="Normal 158 2 2" xfId="23352"/>
    <cellStyle name="Normal 158 2 3" xfId="17904"/>
    <cellStyle name="Normal 158 3" xfId="14037"/>
    <cellStyle name="Normal 158 4" xfId="19553"/>
    <cellStyle name="Normal 158 5" xfId="12498"/>
    <cellStyle name="Normal 159" xfId="3183"/>
    <cellStyle name="Normal 159 2" xfId="9280"/>
    <cellStyle name="Normal 159 2 2" xfId="23360"/>
    <cellStyle name="Normal 159 2 3" xfId="17912"/>
    <cellStyle name="Normal 159 3" xfId="12975"/>
    <cellStyle name="Normal 159 4" xfId="18517"/>
    <cellStyle name="Normal 159 5" xfId="12506"/>
    <cellStyle name="Normal 16" xfId="620"/>
    <cellStyle name="Normal 16 2" xfId="1465"/>
    <cellStyle name="Normal 16 2 2" xfId="2090"/>
    <cellStyle name="Normal 16 2 2 2" xfId="2939"/>
    <cellStyle name="Normal 16 2 2 3" xfId="41891"/>
    <cellStyle name="Normal 16 3" xfId="1529"/>
    <cellStyle name="Normal 16 3 2" xfId="41892"/>
    <cellStyle name="Normal 16 4" xfId="2738"/>
    <cellStyle name="Normal 160" xfId="3184"/>
    <cellStyle name="Normal 160 2" xfId="9277"/>
    <cellStyle name="Normal 160 2 2" xfId="23357"/>
    <cellStyle name="Normal 160 2 3" xfId="17909"/>
    <cellStyle name="Normal 160 3" xfId="12976"/>
    <cellStyle name="Normal 160 4" xfId="18518"/>
    <cellStyle name="Normal 160 5" xfId="12503"/>
    <cellStyle name="Normal 161" xfId="3186"/>
    <cellStyle name="Normal 161 2" xfId="9249"/>
    <cellStyle name="Normal 161 2 2" xfId="23331"/>
    <cellStyle name="Normal 161 2 3" xfId="17883"/>
    <cellStyle name="Normal 161 3" xfId="12978"/>
    <cellStyle name="Normal 161 4" xfId="18520"/>
    <cellStyle name="Normal 161 5" xfId="12477"/>
    <cellStyle name="Normal 162" xfId="4596"/>
    <cellStyle name="Normal 162 2" xfId="9265"/>
    <cellStyle name="Normal 162 2 2" xfId="23345"/>
    <cellStyle name="Normal 162 2 3" xfId="17897"/>
    <cellStyle name="Normal 162 3" xfId="14038"/>
    <cellStyle name="Normal 162 4" xfId="19554"/>
    <cellStyle name="Normal 162 5" xfId="12491"/>
    <cellStyle name="Normal 163" xfId="3188"/>
    <cellStyle name="Normal 163 2" xfId="9271"/>
    <cellStyle name="Normal 163 2 2" xfId="23351"/>
    <cellStyle name="Normal 163 2 3" xfId="17903"/>
    <cellStyle name="Normal 163 3" xfId="12980"/>
    <cellStyle name="Normal 163 4" xfId="18522"/>
    <cellStyle name="Normal 163 5" xfId="12497"/>
    <cellStyle name="Normal 164" xfId="3189"/>
    <cellStyle name="Normal 164 2" xfId="9263"/>
    <cellStyle name="Normal 164 2 2" xfId="23343"/>
    <cellStyle name="Normal 164 2 3" xfId="17895"/>
    <cellStyle name="Normal 164 3" xfId="12981"/>
    <cellStyle name="Normal 164 4" xfId="18523"/>
    <cellStyle name="Normal 164 5" xfId="12489"/>
    <cellStyle name="Normal 165" xfId="3191"/>
    <cellStyle name="Normal 165 2" xfId="9264"/>
    <cellStyle name="Normal 165 2 2" xfId="23344"/>
    <cellStyle name="Normal 165 2 3" xfId="17896"/>
    <cellStyle name="Normal 165 3" xfId="12983"/>
    <cellStyle name="Normal 165 4" xfId="18525"/>
    <cellStyle name="Normal 165 5" xfId="12490"/>
    <cellStyle name="Normal 166" xfId="4597"/>
    <cellStyle name="Normal 166 2" xfId="9268"/>
    <cellStyle name="Normal 166 2 2" xfId="23348"/>
    <cellStyle name="Normal 166 2 3" xfId="17900"/>
    <cellStyle name="Normal 166 3" xfId="14039"/>
    <cellStyle name="Normal 166 4" xfId="19555"/>
    <cellStyle name="Normal 166 5" xfId="12494"/>
    <cellStyle name="Normal 166 6" xfId="41893"/>
    <cellStyle name="Normal 167" xfId="3193"/>
    <cellStyle name="Normal 167 2" xfId="9251"/>
    <cellStyle name="Normal 167 2 2" xfId="23333"/>
    <cellStyle name="Normal 167 2 3" xfId="17885"/>
    <cellStyle name="Normal 167 3" xfId="12985"/>
    <cellStyle name="Normal 167 4" xfId="18527"/>
    <cellStyle name="Normal 167 5" xfId="12479"/>
    <cellStyle name="Normal 167 6" xfId="41894"/>
    <cellStyle name="Normal 168" xfId="3194"/>
    <cellStyle name="Normal 168 2" xfId="9281"/>
    <cellStyle name="Normal 168 2 2" xfId="23361"/>
    <cellStyle name="Normal 168 2 3" xfId="17913"/>
    <cellStyle name="Normal 168 3" xfId="12986"/>
    <cellStyle name="Normal 168 4" xfId="18528"/>
    <cellStyle name="Normal 168 5" xfId="12507"/>
    <cellStyle name="Normal 168 6" xfId="41895"/>
    <cellStyle name="Normal 169" xfId="4598"/>
    <cellStyle name="Normal 169 2" xfId="9259"/>
    <cellStyle name="Normal 169 2 2" xfId="23339"/>
    <cellStyle name="Normal 169 2 3" xfId="17891"/>
    <cellStyle name="Normal 169 3" xfId="14040"/>
    <cellStyle name="Normal 169 4" xfId="19556"/>
    <cellStyle name="Normal 169 5" xfId="12485"/>
    <cellStyle name="Normal 169 6" xfId="41896"/>
    <cellStyle name="Normal 17" xfId="622"/>
    <cellStyle name="Normal 17 2" xfId="1468"/>
    <cellStyle name="Normal 17 2 2" xfId="2120"/>
    <cellStyle name="Normal 17 2 2 2" xfId="2941"/>
    <cellStyle name="Normal 17 3" xfId="1297"/>
    <cellStyle name="Normal 17 3 2" xfId="1628"/>
    <cellStyle name="Normal 17 3 3" xfId="2927"/>
    <cellStyle name="Normal 17 4" xfId="1569"/>
    <cellStyle name="Normal 17 5" xfId="1013"/>
    <cellStyle name="Normal 17 6" xfId="1621"/>
    <cellStyle name="Normal 170" xfId="4599"/>
    <cellStyle name="Normal 170 2" xfId="9262"/>
    <cellStyle name="Normal 170 2 2" xfId="23342"/>
    <cellStyle name="Normal 170 2 3" xfId="17894"/>
    <cellStyle name="Normal 170 3" xfId="14041"/>
    <cellStyle name="Normal 170 4" xfId="19557"/>
    <cellStyle name="Normal 170 5" xfId="12488"/>
    <cellStyle name="Normal 170 6" xfId="41897"/>
    <cellStyle name="Normal 171" xfId="4600"/>
    <cellStyle name="Normal 171 2" xfId="9279"/>
    <cellStyle name="Normal 171 2 2" xfId="23359"/>
    <cellStyle name="Normal 171 2 3" xfId="17911"/>
    <cellStyle name="Normal 171 3" xfId="14042"/>
    <cellStyle name="Normal 171 4" xfId="19558"/>
    <cellStyle name="Normal 171 5" xfId="12505"/>
    <cellStyle name="Normal 171 6" xfId="41898"/>
    <cellStyle name="Normal 172" xfId="4601"/>
    <cellStyle name="Normal 172 2" xfId="9258"/>
    <cellStyle name="Normal 172 2 2" xfId="23338"/>
    <cellStyle name="Normal 172 2 3" xfId="17890"/>
    <cellStyle name="Normal 172 3" xfId="14043"/>
    <cellStyle name="Normal 172 4" xfId="19559"/>
    <cellStyle name="Normal 172 5" xfId="12484"/>
    <cellStyle name="Normal 172 6" xfId="41899"/>
    <cellStyle name="Normal 173" xfId="4602"/>
    <cellStyle name="Normal 173 2" xfId="9266"/>
    <cellStyle name="Normal 173 2 2" xfId="23346"/>
    <cellStyle name="Normal 173 2 3" xfId="17898"/>
    <cellStyle name="Normal 173 3" xfId="14044"/>
    <cellStyle name="Normal 173 4" xfId="19560"/>
    <cellStyle name="Normal 173 5" xfId="12492"/>
    <cellStyle name="Normal 173 6" xfId="41900"/>
    <cellStyle name="Normal 174" xfId="4603"/>
    <cellStyle name="Normal 174 2" xfId="9261"/>
    <cellStyle name="Normal 174 2 2" xfId="23341"/>
    <cellStyle name="Normal 174 2 3" xfId="17893"/>
    <cellStyle name="Normal 174 3" xfId="14045"/>
    <cellStyle name="Normal 174 4" xfId="19561"/>
    <cellStyle name="Normal 174 5" xfId="12487"/>
    <cellStyle name="Normal 174 6" xfId="41901"/>
    <cellStyle name="Normal 175" xfId="4604"/>
    <cellStyle name="Normal 175 2" xfId="9252"/>
    <cellStyle name="Normal 175 2 2" xfId="23334"/>
    <cellStyle name="Normal 175 2 3" xfId="17886"/>
    <cellStyle name="Normal 175 3" xfId="14046"/>
    <cellStyle name="Normal 175 4" xfId="19562"/>
    <cellStyle name="Normal 175 5" xfId="12480"/>
    <cellStyle name="Normal 175 6" xfId="41902"/>
    <cellStyle name="Normal 176" xfId="4605"/>
    <cellStyle name="Normal 176 2" xfId="9273"/>
    <cellStyle name="Normal 176 2 2" xfId="23353"/>
    <cellStyle name="Normal 176 2 3" xfId="17905"/>
    <cellStyle name="Normal 176 3" xfId="14047"/>
    <cellStyle name="Normal 176 4" xfId="19563"/>
    <cellStyle name="Normal 176 5" xfId="12499"/>
    <cellStyle name="Normal 176 6" xfId="41903"/>
    <cellStyle name="Normal 177" xfId="4606"/>
    <cellStyle name="Normal 177 2" xfId="6630"/>
    <cellStyle name="Normal 177 3" xfId="9226"/>
    <cellStyle name="Normal 177 3 2" xfId="17860"/>
    <cellStyle name="Normal 177 4" xfId="14048"/>
    <cellStyle name="Normal 178" xfId="3153"/>
    <cellStyle name="Normal 178 2" xfId="6675"/>
    <cellStyle name="Normal 178 3" xfId="9236"/>
    <cellStyle name="Normal 178 3 2" xfId="17870"/>
    <cellStyle name="Normal 178 4" xfId="12952"/>
    <cellStyle name="Normal 179" xfId="6009"/>
    <cellStyle name="Normal 179 2" xfId="6685"/>
    <cellStyle name="Normal 179 3" xfId="9241"/>
    <cellStyle name="Normal 179 3 2" xfId="17875"/>
    <cellStyle name="Normal 179 4" xfId="15052"/>
    <cellStyle name="Normal 179 5" xfId="20556"/>
    <cellStyle name="Normal 179 6" xfId="41904"/>
    <cellStyle name="Normal 18" xfId="627"/>
    <cellStyle name="Normal 18 2" xfId="1469"/>
    <cellStyle name="Normal 18 2 2" xfId="2124"/>
    <cellStyle name="Normal 18 2 2 2" xfId="2942"/>
    <cellStyle name="Normal 18 2 2 3" xfId="41905"/>
    <cellStyle name="Normal 18 3" xfId="1295"/>
    <cellStyle name="Normal 18 3 2" xfId="1627"/>
    <cellStyle name="Normal 18 3 3" xfId="2926"/>
    <cellStyle name="Normal 18 4" xfId="1574"/>
    <cellStyle name="Normal 18 4 2" xfId="41906"/>
    <cellStyle name="Normal 18 5" xfId="1014"/>
    <cellStyle name="Normal 18 6" xfId="1623"/>
    <cellStyle name="Normal 18 6 2" xfId="41907"/>
    <cellStyle name="Normal 180" xfId="6104"/>
    <cellStyle name="Normal 180 2" xfId="6631"/>
    <cellStyle name="Normal 180 3" xfId="9227"/>
    <cellStyle name="Normal 180 3 2" xfId="17861"/>
    <cellStyle name="Normal 180 4" xfId="15058"/>
    <cellStyle name="Normal 181" xfId="6635"/>
    <cellStyle name="Normal 181 2" xfId="9229"/>
    <cellStyle name="Normal 181 2 2" xfId="17863"/>
    <cellStyle name="Normal 181 3" xfId="15409"/>
    <cellStyle name="Normal 181 4" xfId="41908"/>
    <cellStyle name="Normal 182" xfId="6717"/>
    <cellStyle name="Normal 182 2" xfId="9244"/>
    <cellStyle name="Normal 182 2 2" xfId="17878"/>
    <cellStyle name="Normal 182 3" xfId="15422"/>
    <cellStyle name="Normal 182 4" xfId="41909"/>
    <cellStyle name="Normal 183" xfId="6681"/>
    <cellStyle name="Normal 183 2" xfId="9239"/>
    <cellStyle name="Normal 183 2 2" xfId="17873"/>
    <cellStyle name="Normal 183 3" xfId="15418"/>
    <cellStyle name="Normal 183 4" xfId="41910"/>
    <cellStyle name="Normal 184" xfId="6673"/>
    <cellStyle name="Normal 184 2" xfId="9235"/>
    <cellStyle name="Normal 184 2 2" xfId="17869"/>
    <cellStyle name="Normal 184 2 3" xfId="42544"/>
    <cellStyle name="Normal 184 3" xfId="15415"/>
    <cellStyle name="Normal 184 4" xfId="42464"/>
    <cellStyle name="Normal 185" xfId="6669"/>
    <cellStyle name="Normal 185 2" xfId="9233"/>
    <cellStyle name="Normal 185 2 2" xfId="17867"/>
    <cellStyle name="Normal 185 2 3" xfId="42545"/>
    <cellStyle name="Normal 185 3" xfId="15413"/>
    <cellStyle name="Normal 185 4" xfId="42465"/>
    <cellStyle name="Normal 186" xfId="6680"/>
    <cellStyle name="Normal 186 2" xfId="9238"/>
    <cellStyle name="Normal 186 2 2" xfId="17872"/>
    <cellStyle name="Normal 186 2 2 2" xfId="42891"/>
    <cellStyle name="Normal 186 2 3" xfId="42740"/>
    <cellStyle name="Normal 186 2 4" xfId="43569"/>
    <cellStyle name="Normal 186 2 5" xfId="44054"/>
    <cellStyle name="Normal 186 3" xfId="15417"/>
    <cellStyle name="Normal 186 3 2" xfId="42959"/>
    <cellStyle name="Normal 186 3 3" xfId="42672"/>
    <cellStyle name="Normal 186 4" xfId="42823"/>
    <cellStyle name="Normal 186 5" xfId="42466"/>
    <cellStyle name="Normal 186 6" xfId="43684"/>
    <cellStyle name="Normal 186 7" xfId="43501"/>
    <cellStyle name="Normal 186 8" xfId="43988"/>
    <cellStyle name="Normal 187" xfId="6676"/>
    <cellStyle name="Normal 187 2" xfId="9237"/>
    <cellStyle name="Normal 187 2 2" xfId="17871"/>
    <cellStyle name="Normal 187 2 2 2" xfId="44088"/>
    <cellStyle name="Normal 187 2 3" xfId="42962"/>
    <cellStyle name="Normal 187 2 4" xfId="43818"/>
    <cellStyle name="Normal 187 2 5" xfId="43922"/>
    <cellStyle name="Normal 187 3" xfId="15416"/>
    <cellStyle name="Normal 187 3 2" xfId="43572"/>
    <cellStyle name="Normal 187 4" xfId="42743"/>
    <cellStyle name="Normal 187 5" xfId="43919"/>
    <cellStyle name="Normal 188" xfId="6672"/>
    <cellStyle name="Normal 188 2" xfId="9234"/>
    <cellStyle name="Normal 188 2 2" xfId="17868"/>
    <cellStyle name="Normal 188 3" xfId="15414"/>
    <cellStyle name="Normal 188 4" xfId="42963"/>
    <cellStyle name="Normal 188 5" xfId="43573"/>
    <cellStyle name="Normal 189" xfId="6696"/>
    <cellStyle name="Normal 189 2" xfId="9242"/>
    <cellStyle name="Normal 189 2 2" xfId="17876"/>
    <cellStyle name="Normal 189 3" xfId="15420"/>
    <cellStyle name="Normal 189 4" xfId="42964"/>
    <cellStyle name="Normal 19" xfId="628"/>
    <cellStyle name="Normal 19 10" xfId="6819"/>
    <cellStyle name="Normal 19 10 2" xfId="20951"/>
    <cellStyle name="Normal 19 10 3" xfId="15477"/>
    <cellStyle name="Normal 19 11" xfId="10085"/>
    <cellStyle name="Normal 19 2" xfId="1471"/>
    <cellStyle name="Normal 19 2 2" xfId="2086"/>
    <cellStyle name="Normal 19 2 2 2" xfId="2944"/>
    <cellStyle name="Normal 19 2 2 3" xfId="4607"/>
    <cellStyle name="Normal 19 2 2 3 2" xfId="9372"/>
    <cellStyle name="Normal 19 2 2 3 2 2" xfId="23441"/>
    <cellStyle name="Normal 19 2 2 3 2 3" xfId="17993"/>
    <cellStyle name="Normal 19 2 2 3 3" xfId="14049"/>
    <cellStyle name="Normal 19 2 2 3 4" xfId="19564"/>
    <cellStyle name="Normal 19 2 2 3 5" xfId="24130"/>
    <cellStyle name="Normal 19 2 2 3 6" xfId="12590"/>
    <cellStyle name="Normal 19 2 2 4" xfId="9678"/>
    <cellStyle name="Normal 19 2 2 4 2" xfId="12797"/>
    <cellStyle name="Normal 19 2 2 5" xfId="9908"/>
    <cellStyle name="Normal 19 2 2 5 2" xfId="18348"/>
    <cellStyle name="Normal 19 2 2 6" xfId="23811"/>
    <cellStyle name="Normal 19 2 3" xfId="4608"/>
    <cellStyle name="Normal 19 2 3 2" xfId="4609"/>
    <cellStyle name="Normal 19 2 3 2 2" xfId="4610"/>
    <cellStyle name="Normal 19 2 3 2 2 2" xfId="8636"/>
    <cellStyle name="Normal 19 2 3 2 2 2 2" xfId="22743"/>
    <cellStyle name="Normal 19 2 3 2 2 2 3" xfId="17270"/>
    <cellStyle name="Normal 19 2 3 2 2 3" xfId="14052"/>
    <cellStyle name="Normal 19 2 3 2 2 4" xfId="19567"/>
    <cellStyle name="Normal 19 2 3 2 2 5" xfId="11884"/>
    <cellStyle name="Normal 19 2 3 2 3" xfId="7844"/>
    <cellStyle name="Normal 19 2 3 2 3 2" xfId="21951"/>
    <cellStyle name="Normal 19 2 3 2 3 3" xfId="16478"/>
    <cellStyle name="Normal 19 2 3 2 4" xfId="14051"/>
    <cellStyle name="Normal 19 2 3 2 5" xfId="19566"/>
    <cellStyle name="Normal 19 2 3 2 6" xfId="11091"/>
    <cellStyle name="Normal 19 2 3 3" xfId="4611"/>
    <cellStyle name="Normal 19 2 3 3 2" xfId="6575"/>
    <cellStyle name="Normal 19 2 3 3 2 2" xfId="9174"/>
    <cellStyle name="Normal 19 2 3 3 2 2 2" xfId="23275"/>
    <cellStyle name="Normal 19 2 3 3 2 2 3" xfId="17808"/>
    <cellStyle name="Normal 19 2 3 3 2 3" xfId="15360"/>
    <cellStyle name="Normal 19 2 3 3 2 4" xfId="20853"/>
    <cellStyle name="Normal 19 2 3 3 2 5" xfId="12419"/>
    <cellStyle name="Normal 19 2 3 3 3" xfId="7584"/>
    <cellStyle name="Normal 19 2 3 3 3 2" xfId="21691"/>
    <cellStyle name="Normal 19 2 3 3 3 3" xfId="16218"/>
    <cellStyle name="Normal 19 2 3 3 4" xfId="14053"/>
    <cellStyle name="Normal 19 2 3 3 5" xfId="19568"/>
    <cellStyle name="Normal 19 2 3 3 6" xfId="10831"/>
    <cellStyle name="Normal 19 2 3 4" xfId="4612"/>
    <cellStyle name="Normal 19 2 3 4 2" xfId="8376"/>
    <cellStyle name="Normal 19 2 3 4 2 2" xfId="22483"/>
    <cellStyle name="Normal 19 2 3 4 2 3" xfId="17010"/>
    <cellStyle name="Normal 19 2 3 4 3" xfId="14054"/>
    <cellStyle name="Normal 19 2 3 4 4" xfId="19569"/>
    <cellStyle name="Normal 19 2 3 4 5" xfId="11624"/>
    <cellStyle name="Normal 19 2 3 5" xfId="7050"/>
    <cellStyle name="Normal 19 2 3 5 2" xfId="21159"/>
    <cellStyle name="Normal 19 2 3 5 3" xfId="15686"/>
    <cellStyle name="Normal 19 2 3 6" xfId="14050"/>
    <cellStyle name="Normal 19 2 3 7" xfId="19565"/>
    <cellStyle name="Normal 19 2 3 8" xfId="10299"/>
    <cellStyle name="Normal 19 2 4" xfId="4613"/>
    <cellStyle name="Normal 19 2 4 2" xfId="4614"/>
    <cellStyle name="Normal 19 2 4 2 2" xfId="8200"/>
    <cellStyle name="Normal 19 2 4 2 2 2" xfId="22307"/>
    <cellStyle name="Normal 19 2 4 2 2 3" xfId="16834"/>
    <cellStyle name="Normal 19 2 4 2 3" xfId="14056"/>
    <cellStyle name="Normal 19 2 4 2 4" xfId="19571"/>
    <cellStyle name="Normal 19 2 4 2 5" xfId="11447"/>
    <cellStyle name="Normal 19 2 4 3" xfId="4615"/>
    <cellStyle name="Normal 19 2 4 3 2" xfId="8998"/>
    <cellStyle name="Normal 19 2 4 3 2 2" xfId="23099"/>
    <cellStyle name="Normal 19 2 4 3 2 3" xfId="17632"/>
    <cellStyle name="Normal 19 2 4 3 3" xfId="14057"/>
    <cellStyle name="Normal 19 2 4 3 4" xfId="19572"/>
    <cellStyle name="Normal 19 2 4 3 5" xfId="12242"/>
    <cellStyle name="Normal 19 2 4 4" xfId="7408"/>
    <cellStyle name="Normal 19 2 4 4 2" xfId="21515"/>
    <cellStyle name="Normal 19 2 4 4 3" xfId="16042"/>
    <cellStyle name="Normal 19 2 4 5" xfId="14055"/>
    <cellStyle name="Normal 19 2 4 6" xfId="19570"/>
    <cellStyle name="Normal 19 2 4 7" xfId="10655"/>
    <cellStyle name="Normal 19 2 5" xfId="4616"/>
    <cellStyle name="Normal 19 2 5 2" xfId="4617"/>
    <cellStyle name="Normal 19 2 5 2 2" xfId="8460"/>
    <cellStyle name="Normal 19 2 5 2 2 2" xfId="22567"/>
    <cellStyle name="Normal 19 2 5 2 2 3" xfId="17094"/>
    <cellStyle name="Normal 19 2 5 2 3" xfId="14059"/>
    <cellStyle name="Normal 19 2 5 2 4" xfId="19574"/>
    <cellStyle name="Normal 19 2 5 2 5" xfId="11708"/>
    <cellStyle name="Normal 19 2 5 3" xfId="7668"/>
    <cellStyle name="Normal 19 2 5 3 2" xfId="21775"/>
    <cellStyle name="Normal 19 2 5 3 3" xfId="16302"/>
    <cellStyle name="Normal 19 2 5 4" xfId="14058"/>
    <cellStyle name="Normal 19 2 5 5" xfId="19573"/>
    <cellStyle name="Normal 19 2 5 6" xfId="10915"/>
    <cellStyle name="Normal 19 2 6" xfId="4618"/>
    <cellStyle name="Normal 19 2 6 2" xfId="6386"/>
    <cellStyle name="Normal 19 2 6 2 2" xfId="8822"/>
    <cellStyle name="Normal 19 2 6 2 2 2" xfId="22923"/>
    <cellStyle name="Normal 19 2 6 2 2 3" xfId="17456"/>
    <cellStyle name="Normal 19 2 6 2 3" xfId="15215"/>
    <cellStyle name="Normal 19 2 6 2 4" xfId="20709"/>
    <cellStyle name="Normal 19 2 6 2 5" xfId="12066"/>
    <cellStyle name="Normal 19 2 6 3" xfId="7232"/>
    <cellStyle name="Normal 19 2 6 3 2" xfId="21339"/>
    <cellStyle name="Normal 19 2 6 3 3" xfId="15866"/>
    <cellStyle name="Normal 19 2 6 4" xfId="14060"/>
    <cellStyle name="Normal 19 2 6 5" xfId="19575"/>
    <cellStyle name="Normal 19 2 6 6" xfId="10479"/>
    <cellStyle name="Normal 19 2 7" xfId="4619"/>
    <cellStyle name="Normal 19 2 7 2" xfId="8024"/>
    <cellStyle name="Normal 19 2 7 2 2" xfId="22131"/>
    <cellStyle name="Normal 19 2 7 2 3" xfId="16658"/>
    <cellStyle name="Normal 19 2 7 3" xfId="14061"/>
    <cellStyle name="Normal 19 2 7 4" xfId="19576"/>
    <cellStyle name="Normal 19 2 7 5" xfId="11271"/>
    <cellStyle name="Normal 19 2 8" xfId="6868"/>
    <cellStyle name="Normal 19 2 8 2" xfId="20983"/>
    <cellStyle name="Normal 19 2 8 3" xfId="15510"/>
    <cellStyle name="Normal 19 2 9" xfId="10121"/>
    <cellStyle name="Normal 19 3" xfId="1457"/>
    <cellStyle name="Normal 19 3 2" xfId="1631"/>
    <cellStyle name="Normal 19 3 2 2" xfId="4620"/>
    <cellStyle name="Normal 19 3 3" xfId="6118"/>
    <cellStyle name="Normal 19 3 4" xfId="2935"/>
    <cellStyle name="Normal 19 4" xfId="1524"/>
    <cellStyle name="Normal 19 4 10" xfId="23713"/>
    <cellStyle name="Normal 19 4 11" xfId="10171"/>
    <cellStyle name="Normal 19 4 12" xfId="2982"/>
    <cellStyle name="Normal 19 4 2" xfId="4621"/>
    <cellStyle name="Normal 19 4 2 2" xfId="4622"/>
    <cellStyle name="Normal 19 4 2 2 2" xfId="8248"/>
    <cellStyle name="Normal 19 4 2 2 2 2" xfId="22355"/>
    <cellStyle name="Normal 19 4 2 2 2 3" xfId="16882"/>
    <cellStyle name="Normal 19 4 2 2 3" xfId="14063"/>
    <cellStyle name="Normal 19 4 2 2 4" xfId="19578"/>
    <cellStyle name="Normal 19 4 2 2 5" xfId="11495"/>
    <cellStyle name="Normal 19 4 2 3" xfId="4623"/>
    <cellStyle name="Normal 19 4 2 3 2" xfId="9046"/>
    <cellStyle name="Normal 19 4 2 3 2 2" xfId="23147"/>
    <cellStyle name="Normal 19 4 2 3 2 3" xfId="17680"/>
    <cellStyle name="Normal 19 4 2 3 3" xfId="14064"/>
    <cellStyle name="Normal 19 4 2 3 4" xfId="19579"/>
    <cellStyle name="Normal 19 4 2 3 5" xfId="12291"/>
    <cellStyle name="Normal 19 4 2 4" xfId="7456"/>
    <cellStyle name="Normal 19 4 2 4 2" xfId="21563"/>
    <cellStyle name="Normal 19 4 2 4 3" xfId="16090"/>
    <cellStyle name="Normal 19 4 2 5" xfId="14062"/>
    <cellStyle name="Normal 19 4 2 6" xfId="19577"/>
    <cellStyle name="Normal 19 4 2 7" xfId="24205"/>
    <cellStyle name="Normal 19 4 2 8" xfId="10703"/>
    <cellStyle name="Normal 19 4 3" xfId="4624"/>
    <cellStyle name="Normal 19 4 3 2" xfId="4625"/>
    <cellStyle name="Normal 19 4 3 2 2" xfId="8508"/>
    <cellStyle name="Normal 19 4 3 2 2 2" xfId="22615"/>
    <cellStyle name="Normal 19 4 3 2 2 3" xfId="17142"/>
    <cellStyle name="Normal 19 4 3 2 3" xfId="14066"/>
    <cellStyle name="Normal 19 4 3 2 4" xfId="19581"/>
    <cellStyle name="Normal 19 4 3 2 5" xfId="11756"/>
    <cellStyle name="Normal 19 4 3 3" xfId="7716"/>
    <cellStyle name="Normal 19 4 3 3 2" xfId="21823"/>
    <cellStyle name="Normal 19 4 3 3 3" xfId="16350"/>
    <cellStyle name="Normal 19 4 3 4" xfId="14065"/>
    <cellStyle name="Normal 19 4 3 5" xfId="19580"/>
    <cellStyle name="Normal 19 4 3 6" xfId="10963"/>
    <cellStyle name="Normal 19 4 4" xfId="4626"/>
    <cellStyle name="Normal 19 4 4 2" xfId="6434"/>
    <cellStyle name="Normal 19 4 4 2 2" xfId="8870"/>
    <cellStyle name="Normal 19 4 4 2 2 2" xfId="22971"/>
    <cellStyle name="Normal 19 4 4 2 2 3" xfId="17504"/>
    <cellStyle name="Normal 19 4 4 2 3" xfId="15263"/>
    <cellStyle name="Normal 19 4 4 2 4" xfId="20757"/>
    <cellStyle name="Normal 19 4 4 2 5" xfId="12114"/>
    <cellStyle name="Normal 19 4 4 3" xfId="7280"/>
    <cellStyle name="Normal 19 4 4 3 2" xfId="21387"/>
    <cellStyle name="Normal 19 4 4 3 3" xfId="15914"/>
    <cellStyle name="Normal 19 4 4 4" xfId="14067"/>
    <cellStyle name="Normal 19 4 4 5" xfId="19582"/>
    <cellStyle name="Normal 19 4 4 6" xfId="10527"/>
    <cellStyle name="Normal 19 4 5" xfId="4627"/>
    <cellStyle name="Normal 19 4 5 2" xfId="8072"/>
    <cellStyle name="Normal 19 4 5 2 2" xfId="22179"/>
    <cellStyle name="Normal 19 4 5 2 3" xfId="16706"/>
    <cellStyle name="Normal 19 4 5 3" xfId="14068"/>
    <cellStyle name="Normal 19 4 5 4" xfId="19583"/>
    <cellStyle name="Normal 19 4 5 5" xfId="11319"/>
    <cellStyle name="Normal 19 4 6" xfId="4628"/>
    <cellStyle name="Normal 19 4 6 2" xfId="9469"/>
    <cellStyle name="Normal 19 4 6 2 2" xfId="23516"/>
    <cellStyle name="Normal 19 4 6 2 3" xfId="18070"/>
    <cellStyle name="Normal 19 4 6 3" xfId="14069"/>
    <cellStyle name="Normal 19 4 6 4" xfId="19584"/>
    <cellStyle name="Normal 19 4 6 5" xfId="12670"/>
    <cellStyle name="Normal 19 4 7" xfId="6921"/>
    <cellStyle name="Normal 19 4 7 2" xfId="21031"/>
    <cellStyle name="Normal 19 4 7 3" xfId="15558"/>
    <cellStyle name="Normal 19 4 8" xfId="9771"/>
    <cellStyle name="Normal 19 4 8 2" xfId="12872"/>
    <cellStyle name="Normal 19 4 9" xfId="9984"/>
    <cellStyle name="Normal 19 4 9 2" xfId="18423"/>
    <cellStyle name="Normal 19 5" xfId="1016"/>
    <cellStyle name="Normal 19 5 2" xfId="4629"/>
    <cellStyle name="Normal 19 5 2 2" xfId="4630"/>
    <cellStyle name="Normal 19 5 2 2 2" xfId="8344"/>
    <cellStyle name="Normal 19 5 2 2 2 2" xfId="22451"/>
    <cellStyle name="Normal 19 5 2 2 2 3" xfId="16978"/>
    <cellStyle name="Normal 19 5 2 2 3" xfId="14071"/>
    <cellStyle name="Normal 19 5 2 2 4" xfId="19586"/>
    <cellStyle name="Normal 19 5 2 2 5" xfId="11592"/>
    <cellStyle name="Normal 19 5 2 3" xfId="4631"/>
    <cellStyle name="Normal 19 5 2 3 2" xfId="9142"/>
    <cellStyle name="Normal 19 5 2 3 2 2" xfId="23243"/>
    <cellStyle name="Normal 19 5 2 3 2 3" xfId="17776"/>
    <cellStyle name="Normal 19 5 2 3 3" xfId="14072"/>
    <cellStyle name="Normal 19 5 2 3 4" xfId="19587"/>
    <cellStyle name="Normal 19 5 2 3 5" xfId="12387"/>
    <cellStyle name="Normal 19 5 2 4" xfId="7552"/>
    <cellStyle name="Normal 19 5 2 4 2" xfId="21659"/>
    <cellStyle name="Normal 19 5 2 4 3" xfId="16186"/>
    <cellStyle name="Normal 19 5 2 5" xfId="14070"/>
    <cellStyle name="Normal 19 5 2 6" xfId="19585"/>
    <cellStyle name="Normal 19 5 2 7" xfId="10799"/>
    <cellStyle name="Normal 19 5 3" xfId="4632"/>
    <cellStyle name="Normal 19 5 3 2" xfId="4633"/>
    <cellStyle name="Normal 19 5 3 2 2" xfId="8604"/>
    <cellStyle name="Normal 19 5 3 2 2 2" xfId="22711"/>
    <cellStyle name="Normal 19 5 3 2 2 3" xfId="17238"/>
    <cellStyle name="Normal 19 5 3 2 3" xfId="14074"/>
    <cellStyle name="Normal 19 5 3 2 4" xfId="19589"/>
    <cellStyle name="Normal 19 5 3 2 5" xfId="11852"/>
    <cellStyle name="Normal 19 5 3 3" xfId="7812"/>
    <cellStyle name="Normal 19 5 3 3 2" xfId="21919"/>
    <cellStyle name="Normal 19 5 3 3 3" xfId="16446"/>
    <cellStyle name="Normal 19 5 3 4" xfId="14073"/>
    <cellStyle name="Normal 19 5 3 5" xfId="19588"/>
    <cellStyle name="Normal 19 5 3 6" xfId="11059"/>
    <cellStyle name="Normal 19 5 4" xfId="4634"/>
    <cellStyle name="Normal 19 5 4 2" xfId="6354"/>
    <cellStyle name="Normal 19 5 4 2 2" xfId="8790"/>
    <cellStyle name="Normal 19 5 4 2 2 2" xfId="22891"/>
    <cellStyle name="Normal 19 5 4 2 2 3" xfId="17424"/>
    <cellStyle name="Normal 19 5 4 2 3" xfId="15183"/>
    <cellStyle name="Normal 19 5 4 2 4" xfId="20677"/>
    <cellStyle name="Normal 19 5 4 2 5" xfId="12034"/>
    <cellStyle name="Normal 19 5 4 3" xfId="7200"/>
    <cellStyle name="Normal 19 5 4 3 2" xfId="21307"/>
    <cellStyle name="Normal 19 5 4 3 3" xfId="15834"/>
    <cellStyle name="Normal 19 5 4 4" xfId="14075"/>
    <cellStyle name="Normal 19 5 4 5" xfId="19590"/>
    <cellStyle name="Normal 19 5 4 6" xfId="10447"/>
    <cellStyle name="Normal 19 5 5" xfId="4635"/>
    <cellStyle name="Normal 19 5 5 2" xfId="7992"/>
    <cellStyle name="Normal 19 5 5 2 2" xfId="22099"/>
    <cellStyle name="Normal 19 5 5 2 3" xfId="16626"/>
    <cellStyle name="Normal 19 5 5 3" xfId="14076"/>
    <cellStyle name="Normal 19 5 5 4" xfId="19591"/>
    <cellStyle name="Normal 19 5 5 5" xfId="11239"/>
    <cellStyle name="Normal 19 5 6" xfId="4636"/>
    <cellStyle name="Normal 19 5 7" xfId="7017"/>
    <cellStyle name="Normal 19 5 7 2" xfId="21127"/>
    <cellStyle name="Normal 19 5 7 3" xfId="15654"/>
    <cellStyle name="Normal 19 5 8" xfId="10267"/>
    <cellStyle name="Normal 19 6" xfId="1624"/>
    <cellStyle name="Normal 19 6 10" xfId="2576"/>
    <cellStyle name="Normal 19 6 2" xfId="4637"/>
    <cellStyle name="Normal 19 6 2 2" xfId="8168"/>
    <cellStyle name="Normal 19 6 2 2 2" xfId="22275"/>
    <cellStyle name="Normal 19 6 2 2 3" xfId="16802"/>
    <cellStyle name="Normal 19 6 2 3" xfId="14077"/>
    <cellStyle name="Normal 19 6 2 4" xfId="19592"/>
    <cellStyle name="Normal 19 6 2 5" xfId="24164"/>
    <cellStyle name="Normal 19 6 2 6" xfId="11415"/>
    <cellStyle name="Normal 19 6 3" xfId="4638"/>
    <cellStyle name="Normal 19 6 3 2" xfId="8966"/>
    <cellStyle name="Normal 19 6 3 2 2" xfId="23067"/>
    <cellStyle name="Normal 19 6 3 2 3" xfId="17600"/>
    <cellStyle name="Normal 19 6 3 3" xfId="14078"/>
    <cellStyle name="Normal 19 6 3 4" xfId="19593"/>
    <cellStyle name="Normal 19 6 3 5" xfId="12210"/>
    <cellStyle name="Normal 19 6 4" xfId="4639"/>
    <cellStyle name="Normal 19 6 4 2" xfId="9408"/>
    <cellStyle name="Normal 19 6 4 2 2" xfId="23475"/>
    <cellStyle name="Normal 19 6 4 2 3" xfId="18027"/>
    <cellStyle name="Normal 19 6 4 3" xfId="14079"/>
    <cellStyle name="Normal 19 6 4 4" xfId="19594"/>
    <cellStyle name="Normal 19 6 4 5" xfId="12625"/>
    <cellStyle name="Normal 19 6 5" xfId="7376"/>
    <cellStyle name="Normal 19 6 5 2" xfId="21483"/>
    <cellStyle name="Normal 19 6 5 3" xfId="16010"/>
    <cellStyle name="Normal 19 6 6" xfId="9723"/>
    <cellStyle name="Normal 19 6 6 2" xfId="12831"/>
    <cellStyle name="Normal 19 6 7" xfId="9943"/>
    <cellStyle name="Normal 19 6 7 2" xfId="18382"/>
    <cellStyle name="Normal 19 6 8" xfId="23960"/>
    <cellStyle name="Normal 19 6 9" xfId="10623"/>
    <cellStyle name="Normal 19 7" xfId="4640"/>
    <cellStyle name="Normal 19 7 2" xfId="4641"/>
    <cellStyle name="Normal 19 7 2 2" xfId="8428"/>
    <cellStyle name="Normal 19 7 2 2 2" xfId="22535"/>
    <cellStyle name="Normal 19 7 2 2 3" xfId="17062"/>
    <cellStyle name="Normal 19 7 2 3" xfId="14081"/>
    <cellStyle name="Normal 19 7 2 4" xfId="19596"/>
    <cellStyle name="Normal 19 7 2 5" xfId="11676"/>
    <cellStyle name="Normal 19 7 3" xfId="7636"/>
    <cellStyle name="Normal 19 7 3 2" xfId="21743"/>
    <cellStyle name="Normal 19 7 3 3" xfId="16270"/>
    <cellStyle name="Normal 19 7 4" xfId="14080"/>
    <cellStyle name="Normal 19 7 5" xfId="19595"/>
    <cellStyle name="Normal 19 7 6" xfId="10883"/>
    <cellStyle name="Normal 19 7 7" xfId="41911"/>
    <cellStyle name="Normal 19 8" xfId="4642"/>
    <cellStyle name="Normal 19 8 2" xfId="6258"/>
    <cellStyle name="Normal 19 8 2 2" xfId="8694"/>
    <cellStyle name="Normal 19 8 2 2 2" xfId="22795"/>
    <cellStyle name="Normal 19 8 2 2 3" xfId="17328"/>
    <cellStyle name="Normal 19 8 2 3" xfId="15087"/>
    <cellStyle name="Normal 19 8 2 4" xfId="20581"/>
    <cellStyle name="Normal 19 8 2 5" xfId="11938"/>
    <cellStyle name="Normal 19 8 3" xfId="7104"/>
    <cellStyle name="Normal 19 8 3 2" xfId="21211"/>
    <cellStyle name="Normal 19 8 3 3" xfId="15738"/>
    <cellStyle name="Normal 19 8 4" xfId="14082"/>
    <cellStyle name="Normal 19 8 5" xfId="19597"/>
    <cellStyle name="Normal 19 8 6" xfId="10351"/>
    <cellStyle name="Normal 19 8 7" xfId="41912"/>
    <cellStyle name="Normal 19 9" xfId="4643"/>
    <cellStyle name="Normal 19 9 2" xfId="7896"/>
    <cellStyle name="Normal 19 9 2 2" xfId="22003"/>
    <cellStyle name="Normal 19 9 2 3" xfId="16530"/>
    <cellStyle name="Normal 19 9 3" xfId="14083"/>
    <cellStyle name="Normal 19 9 4" xfId="19598"/>
    <cellStyle name="Normal 19 9 5" xfId="11143"/>
    <cellStyle name="Normal 190" xfId="6649"/>
    <cellStyle name="Normal 190 2" xfId="9231"/>
    <cellStyle name="Normal 190 2 2" xfId="17865"/>
    <cellStyle name="Normal 190 3" xfId="15411"/>
    <cellStyle name="Normal 190 4" xfId="42979"/>
    <cellStyle name="Normal 191" xfId="6716"/>
    <cellStyle name="Normal 191 2" xfId="9243"/>
    <cellStyle name="Normal 191 2 2" xfId="17877"/>
    <cellStyle name="Normal 191 3" xfId="15421"/>
    <cellStyle name="Normal 191 4" xfId="43017"/>
    <cellStyle name="Normal 192" xfId="6682"/>
    <cellStyle name="Normal 192 2" xfId="9240"/>
    <cellStyle name="Normal 192 2 2" xfId="17874"/>
    <cellStyle name="Normal 192 3" xfId="15419"/>
    <cellStyle name="Normal 192 4" xfId="43016"/>
    <cellStyle name="Normal 193" xfId="6662"/>
    <cellStyle name="Normal 193 2" xfId="9232"/>
    <cellStyle name="Normal 193 2 2" xfId="17866"/>
    <cellStyle name="Normal 193 3" xfId="15412"/>
    <cellStyle name="Normal 193 4" xfId="43011"/>
    <cellStyle name="Normal 194" xfId="6633"/>
    <cellStyle name="Normal 194 2" xfId="9228"/>
    <cellStyle name="Normal 194 2 2" xfId="17862"/>
    <cellStyle name="Normal 194 3" xfId="15408"/>
    <cellStyle name="Normal 194 4" xfId="43026"/>
    <cellStyle name="Normal 195" xfId="6647"/>
    <cellStyle name="Normal 195 2" xfId="9230"/>
    <cellStyle name="Normal 195 2 2" xfId="17864"/>
    <cellStyle name="Normal 195 3" xfId="15410"/>
    <cellStyle name="Normal 195 4" xfId="43022"/>
    <cellStyle name="Normal 196" xfId="6740"/>
    <cellStyle name="Normal 196 2" xfId="43028"/>
    <cellStyle name="Normal 197" xfId="6758"/>
    <cellStyle name="Normal 197 2" xfId="43018"/>
    <cellStyle name="Normal 198" xfId="6764"/>
    <cellStyle name="Normal 198 2" xfId="43032"/>
    <cellStyle name="Normal 199" xfId="6752"/>
    <cellStyle name="Normal 199 2" xfId="9317"/>
    <cellStyle name="Normal 199 2 2" xfId="23391"/>
    <cellStyle name="Normal 199 2 3" xfId="17943"/>
    <cellStyle name="Normal 199 3" xfId="15437"/>
    <cellStyle name="Normal 199 4" xfId="20912"/>
    <cellStyle name="Normal 199 5" xfId="12539"/>
    <cellStyle name="Normal 199 6" xfId="43023"/>
    <cellStyle name="Normal 2" xfId="3"/>
    <cellStyle name="Normal 2 10" xfId="42754"/>
    <cellStyle name="Normal 2 11" xfId="41913"/>
    <cellStyle name="Normal 2 12" xfId="44202"/>
    <cellStyle name="Normal 2 13" xfId="67"/>
    <cellStyle name="Normal 2 14" xfId="54"/>
    <cellStyle name="Normal 2 2" xfId="424"/>
    <cellStyle name="Normal 2 2 2" xfId="756"/>
    <cellStyle name="Normal 2 2 2 2" xfId="41915"/>
    <cellStyle name="Normal 2 2 3" xfId="728"/>
    <cellStyle name="Normal 2 2 3 2" xfId="987"/>
    <cellStyle name="Normal 2 2 3 2 2" xfId="1401"/>
    <cellStyle name="Normal 2 2 3 2 2 2" xfId="41917"/>
    <cellStyle name="Normal 2 2 3 2 3" xfId="2819"/>
    <cellStyle name="Normal 2 2 3 2 4" xfId="41916"/>
    <cellStyle name="Normal 2 2 3 3" xfId="2255"/>
    <cellStyle name="Normal 2 2 3 3 2" xfId="41918"/>
    <cellStyle name="Normal 2 2 3 4" xfId="4644"/>
    <cellStyle name="Normal 2 2 4" xfId="2196"/>
    <cellStyle name="Normal 2 2 4 2" xfId="3054"/>
    <cellStyle name="Normal 2 2 4 3" xfId="23863"/>
    <cellStyle name="Normal 2 2 4 4" xfId="41919"/>
    <cellStyle name="Normal 2 2 5" xfId="24615"/>
    <cellStyle name="Normal 2 2 6" xfId="43078"/>
    <cellStyle name="Normal 2 2 7" xfId="43226"/>
    <cellStyle name="Normal 2 2 8" xfId="41914"/>
    <cellStyle name="Normal 2 2 9" xfId="44244"/>
    <cellStyle name="Normal 2 3" xfId="425"/>
    <cellStyle name="Normal 2 3 2" xfId="1000"/>
    <cellStyle name="Normal 2 3 2 2" xfId="1039"/>
    <cellStyle name="Normal 2 3 2 2 2" xfId="2421"/>
    <cellStyle name="Normal 2 3 2 2 2 2" xfId="41923"/>
    <cellStyle name="Normal 2 3 2 2 3" xfId="61"/>
    <cellStyle name="Normal 2 3 2 2 3 2" xfId="41922"/>
    <cellStyle name="Normal 2 3 2 3" xfId="1999"/>
    <cellStyle name="Normal 2 3 2 3 2" xfId="41924"/>
    <cellStyle name="Normal 2 3 2 4" xfId="41921"/>
    <cellStyle name="Normal 2 3 3" xfId="2800"/>
    <cellStyle name="Normal 2 3 3 2" xfId="41925"/>
    <cellStyle name="Normal 2 3 4" xfId="41219"/>
    <cellStyle name="Normal 2 3 4 2" xfId="41926"/>
    <cellStyle name="Normal 2 3 5" xfId="41920"/>
    <cellStyle name="Normal 2 4" xfId="513"/>
    <cellStyle name="Normal 2 4 2" xfId="1003"/>
    <cellStyle name="Normal 2 4 2 2" xfId="41928"/>
    <cellStyle name="Normal 2 4 3" xfId="881"/>
    <cellStyle name="Normal 2 4 3 2" xfId="1141"/>
    <cellStyle name="Normal 2 4 3 2 2" xfId="41930"/>
    <cellStyle name="Normal 2 4 3 3" xfId="2806"/>
    <cellStyle name="Normal 2 4 3 3 2" xfId="41931"/>
    <cellStyle name="Normal 2 4 3 4" xfId="41929"/>
    <cellStyle name="Normal 2 4 4" xfId="1526"/>
    <cellStyle name="Normal 2 4 4 2" xfId="2984"/>
    <cellStyle name="Normal 2 4 4 3" xfId="23807"/>
    <cellStyle name="Normal 2 4 4 4" xfId="1998"/>
    <cellStyle name="Normal 2 4 4 5" xfId="41932"/>
    <cellStyle name="Normal 2 4 5" xfId="2088"/>
    <cellStyle name="Normal 2 4 5 2" xfId="2766"/>
    <cellStyle name="Normal 2 4 5 2 2" xfId="41933"/>
    <cellStyle name="Normal 2 4 6" xfId="4645"/>
    <cellStyle name="Normal 2 4 7" xfId="41927"/>
    <cellStyle name="Normal 2 5" xfId="423"/>
    <cellStyle name="Normal 2 5 2" xfId="3079"/>
    <cellStyle name="Normal 2 5 2 2" xfId="41935"/>
    <cellStyle name="Normal 2 5 3" xfId="41936"/>
    <cellStyle name="Normal 2 5 4" xfId="41934"/>
    <cellStyle name="Normal 2 6" xfId="605"/>
    <cellStyle name="Normal 2 6 2" xfId="3155"/>
    <cellStyle name="Normal 2 6 2 2" xfId="41937"/>
    <cellStyle name="Normal 2 6 3" xfId="4646"/>
    <cellStyle name="Normal 2 6 3 2" xfId="6627"/>
    <cellStyle name="Normal 2 6 3 3" xfId="24631"/>
    <cellStyle name="Normal 2 6 4" xfId="4647"/>
    <cellStyle name="Normal 2 7" xfId="283"/>
    <cellStyle name="Normal 2 7 2" xfId="6735"/>
    <cellStyle name="Normal 2 7 3" xfId="24627"/>
    <cellStyle name="Normal 2 7 4" xfId="4648"/>
    <cellStyle name="Normal 2 8" xfId="1598"/>
    <cellStyle name="Normal 2 8 2" xfId="24408"/>
    <cellStyle name="Normal 2 8 3" xfId="41938"/>
    <cellStyle name="Normal 2 9" xfId="215"/>
    <cellStyle name="Normal 2 9 2" xfId="42784"/>
    <cellStyle name="Normal 2_Report" xfId="426"/>
    <cellStyle name="Normal 20" xfId="629"/>
    <cellStyle name="Normal 20 10" xfId="6833"/>
    <cellStyle name="Normal 20 10 2" xfId="20963"/>
    <cellStyle name="Normal 20 10 3" xfId="15489"/>
    <cellStyle name="Normal 20 11" xfId="10097"/>
    <cellStyle name="Normal 20 2" xfId="1472"/>
    <cellStyle name="Normal 20 2 2" xfId="2118"/>
    <cellStyle name="Normal 20 2 2 10" xfId="10311"/>
    <cellStyle name="Normal 20 2 2 2" xfId="2945"/>
    <cellStyle name="Normal 20 2 2 2 2" xfId="4649"/>
    <cellStyle name="Normal 20 2 2 2 2 2" xfId="8648"/>
    <cellStyle name="Normal 20 2 2 2 2 2 2" xfId="22755"/>
    <cellStyle name="Normal 20 2 2 2 2 2 3" xfId="17282"/>
    <cellStyle name="Normal 20 2 2 2 2 3" xfId="14084"/>
    <cellStyle name="Normal 20 2 2 2 2 4" xfId="19599"/>
    <cellStyle name="Normal 20 2 2 2 2 5" xfId="11896"/>
    <cellStyle name="Normal 20 2 2 2 3" xfId="4650"/>
    <cellStyle name="Normal 20 2 2 2 4" xfId="7856"/>
    <cellStyle name="Normal 20 2 2 2 4 2" xfId="21963"/>
    <cellStyle name="Normal 20 2 2 2 4 3" xfId="16490"/>
    <cellStyle name="Normal 20 2 2 2 5" xfId="11103"/>
    <cellStyle name="Normal 20 2 2 3" xfId="4651"/>
    <cellStyle name="Normal 20 2 2 3 2" xfId="6587"/>
    <cellStyle name="Normal 20 2 2 3 2 2" xfId="9186"/>
    <cellStyle name="Normal 20 2 2 3 2 2 2" xfId="23287"/>
    <cellStyle name="Normal 20 2 2 3 2 2 3" xfId="17820"/>
    <cellStyle name="Normal 20 2 2 3 2 3" xfId="15372"/>
    <cellStyle name="Normal 20 2 2 3 2 4" xfId="20865"/>
    <cellStyle name="Normal 20 2 2 3 2 5" xfId="12431"/>
    <cellStyle name="Normal 20 2 2 3 3" xfId="7596"/>
    <cellStyle name="Normal 20 2 2 3 3 2" xfId="21703"/>
    <cellStyle name="Normal 20 2 2 3 3 3" xfId="16230"/>
    <cellStyle name="Normal 20 2 2 3 4" xfId="14085"/>
    <cellStyle name="Normal 20 2 2 3 5" xfId="19600"/>
    <cellStyle name="Normal 20 2 2 3 6" xfId="24142"/>
    <cellStyle name="Normal 20 2 2 3 7" xfId="10843"/>
    <cellStyle name="Normal 20 2 2 4" xfId="4652"/>
    <cellStyle name="Normal 20 2 2 4 2" xfId="8388"/>
    <cellStyle name="Normal 20 2 2 4 2 2" xfId="22495"/>
    <cellStyle name="Normal 20 2 2 4 2 3" xfId="17022"/>
    <cellStyle name="Normal 20 2 2 4 3" xfId="14086"/>
    <cellStyle name="Normal 20 2 2 4 4" xfId="19601"/>
    <cellStyle name="Normal 20 2 2 4 5" xfId="11636"/>
    <cellStyle name="Normal 20 2 2 5" xfId="4653"/>
    <cellStyle name="Normal 20 2 2 5 2" xfId="9384"/>
    <cellStyle name="Normal 20 2 2 5 2 2" xfId="23453"/>
    <cellStyle name="Normal 20 2 2 5 2 3" xfId="18005"/>
    <cellStyle name="Normal 20 2 2 5 3" xfId="14087"/>
    <cellStyle name="Normal 20 2 2 5 4" xfId="19602"/>
    <cellStyle name="Normal 20 2 2 5 5" xfId="12602"/>
    <cellStyle name="Normal 20 2 2 6" xfId="7062"/>
    <cellStyle name="Normal 20 2 2 6 2" xfId="21171"/>
    <cellStyle name="Normal 20 2 2 6 3" xfId="15698"/>
    <cellStyle name="Normal 20 2 2 7" xfId="9691"/>
    <cellStyle name="Normal 20 2 2 7 2" xfId="12809"/>
    <cellStyle name="Normal 20 2 2 8" xfId="9920"/>
    <cellStyle name="Normal 20 2 2 8 2" xfId="18360"/>
    <cellStyle name="Normal 20 2 2 9" xfId="23824"/>
    <cellStyle name="Normal 20 2 3" xfId="4654"/>
    <cellStyle name="Normal 20 2 3 2" xfId="4655"/>
    <cellStyle name="Normal 20 2 3 2 2" xfId="8212"/>
    <cellStyle name="Normal 20 2 3 2 2 2" xfId="22319"/>
    <cellStyle name="Normal 20 2 3 2 2 3" xfId="16846"/>
    <cellStyle name="Normal 20 2 3 2 3" xfId="14089"/>
    <cellStyle name="Normal 20 2 3 2 4" xfId="19604"/>
    <cellStyle name="Normal 20 2 3 2 5" xfId="11459"/>
    <cellStyle name="Normal 20 2 3 3" xfId="4656"/>
    <cellStyle name="Normal 20 2 3 3 2" xfId="9010"/>
    <cellStyle name="Normal 20 2 3 3 2 2" xfId="23111"/>
    <cellStyle name="Normal 20 2 3 3 2 3" xfId="17644"/>
    <cellStyle name="Normal 20 2 3 3 3" xfId="14090"/>
    <cellStyle name="Normal 20 2 3 3 4" xfId="19605"/>
    <cellStyle name="Normal 20 2 3 3 5" xfId="12254"/>
    <cellStyle name="Normal 20 2 3 4" xfId="7420"/>
    <cellStyle name="Normal 20 2 3 4 2" xfId="21527"/>
    <cellStyle name="Normal 20 2 3 4 3" xfId="16054"/>
    <cellStyle name="Normal 20 2 3 5" xfId="14088"/>
    <cellStyle name="Normal 20 2 3 6" xfId="19603"/>
    <cellStyle name="Normal 20 2 3 7" xfId="10667"/>
    <cellStyle name="Normal 20 2 4" xfId="4657"/>
    <cellStyle name="Normal 20 2 4 2" xfId="4658"/>
    <cellStyle name="Normal 20 2 4 2 2" xfId="8472"/>
    <cellStyle name="Normal 20 2 4 2 2 2" xfId="22579"/>
    <cellStyle name="Normal 20 2 4 2 2 3" xfId="17106"/>
    <cellStyle name="Normal 20 2 4 2 3" xfId="14092"/>
    <cellStyle name="Normal 20 2 4 2 4" xfId="19607"/>
    <cellStyle name="Normal 20 2 4 2 5" xfId="11720"/>
    <cellStyle name="Normal 20 2 4 3" xfId="7680"/>
    <cellStyle name="Normal 20 2 4 3 2" xfId="21787"/>
    <cellStyle name="Normal 20 2 4 3 3" xfId="16314"/>
    <cellStyle name="Normal 20 2 4 4" xfId="14091"/>
    <cellStyle name="Normal 20 2 4 5" xfId="19606"/>
    <cellStyle name="Normal 20 2 4 6" xfId="10927"/>
    <cellStyle name="Normal 20 2 5" xfId="4659"/>
    <cellStyle name="Normal 20 2 5 2" xfId="6398"/>
    <cellStyle name="Normal 20 2 5 2 2" xfId="8834"/>
    <cellStyle name="Normal 20 2 5 2 2 2" xfId="22935"/>
    <cellStyle name="Normal 20 2 5 2 2 3" xfId="17468"/>
    <cellStyle name="Normal 20 2 5 2 3" xfId="15227"/>
    <cellStyle name="Normal 20 2 5 2 4" xfId="20721"/>
    <cellStyle name="Normal 20 2 5 2 5" xfId="12078"/>
    <cellStyle name="Normal 20 2 5 3" xfId="7244"/>
    <cellStyle name="Normal 20 2 5 3 2" xfId="21351"/>
    <cellStyle name="Normal 20 2 5 3 3" xfId="15878"/>
    <cellStyle name="Normal 20 2 5 4" xfId="14093"/>
    <cellStyle name="Normal 20 2 5 5" xfId="19608"/>
    <cellStyle name="Normal 20 2 5 6" xfId="10491"/>
    <cellStyle name="Normal 20 2 6" xfId="4660"/>
    <cellStyle name="Normal 20 2 6 2" xfId="8036"/>
    <cellStyle name="Normal 20 2 6 2 2" xfId="22143"/>
    <cellStyle name="Normal 20 2 6 2 3" xfId="16670"/>
    <cellStyle name="Normal 20 2 6 3" xfId="14094"/>
    <cellStyle name="Normal 20 2 6 4" xfId="19609"/>
    <cellStyle name="Normal 20 2 6 5" xfId="11283"/>
    <cellStyle name="Normal 20 2 7" xfId="4661"/>
    <cellStyle name="Normal 20 2 8" xfId="6882"/>
    <cellStyle name="Normal 20 2 8 2" xfId="20995"/>
    <cellStyle name="Normal 20 2 8 3" xfId="15522"/>
    <cellStyle name="Normal 20 2 9" xfId="10133"/>
    <cellStyle name="Normal 20 3" xfId="1309"/>
    <cellStyle name="Normal 20 3 2" xfId="1630"/>
    <cellStyle name="Normal 20 3 2 2" xfId="4662"/>
    <cellStyle name="Normal 20 3 3" xfId="6128"/>
    <cellStyle name="Normal 20 3 4" xfId="2932"/>
    <cellStyle name="Normal 20 4" xfId="1567"/>
    <cellStyle name="Normal 20 4 10" xfId="23724"/>
    <cellStyle name="Normal 20 4 11" xfId="10183"/>
    <cellStyle name="Normal 20 4 12" xfId="3004"/>
    <cellStyle name="Normal 20 4 2" xfId="4663"/>
    <cellStyle name="Normal 20 4 2 2" xfId="4664"/>
    <cellStyle name="Normal 20 4 2 2 2" xfId="8260"/>
    <cellStyle name="Normal 20 4 2 2 2 2" xfId="22367"/>
    <cellStyle name="Normal 20 4 2 2 2 3" xfId="16894"/>
    <cellStyle name="Normal 20 4 2 2 3" xfId="14096"/>
    <cellStyle name="Normal 20 4 2 2 4" xfId="19611"/>
    <cellStyle name="Normal 20 4 2 2 5" xfId="11507"/>
    <cellStyle name="Normal 20 4 2 3" xfId="4665"/>
    <cellStyle name="Normal 20 4 2 3 2" xfId="9058"/>
    <cellStyle name="Normal 20 4 2 3 2 2" xfId="23159"/>
    <cellStyle name="Normal 20 4 2 3 2 3" xfId="17692"/>
    <cellStyle name="Normal 20 4 2 3 3" xfId="14097"/>
    <cellStyle name="Normal 20 4 2 3 4" xfId="19612"/>
    <cellStyle name="Normal 20 4 2 3 5" xfId="12303"/>
    <cellStyle name="Normal 20 4 2 4" xfId="7468"/>
    <cellStyle name="Normal 20 4 2 4 2" xfId="21575"/>
    <cellStyle name="Normal 20 4 2 4 3" xfId="16102"/>
    <cellStyle name="Normal 20 4 2 5" xfId="14095"/>
    <cellStyle name="Normal 20 4 2 6" xfId="19610"/>
    <cellStyle name="Normal 20 4 2 7" xfId="24215"/>
    <cellStyle name="Normal 20 4 2 8" xfId="10715"/>
    <cellStyle name="Normal 20 4 3" xfId="4666"/>
    <cellStyle name="Normal 20 4 3 2" xfId="4667"/>
    <cellStyle name="Normal 20 4 3 2 2" xfId="8520"/>
    <cellStyle name="Normal 20 4 3 2 2 2" xfId="22627"/>
    <cellStyle name="Normal 20 4 3 2 2 3" xfId="17154"/>
    <cellStyle name="Normal 20 4 3 2 3" xfId="14099"/>
    <cellStyle name="Normal 20 4 3 2 4" xfId="19614"/>
    <cellStyle name="Normal 20 4 3 2 5" xfId="11768"/>
    <cellStyle name="Normal 20 4 3 3" xfId="7728"/>
    <cellStyle name="Normal 20 4 3 3 2" xfId="21835"/>
    <cellStyle name="Normal 20 4 3 3 3" xfId="16362"/>
    <cellStyle name="Normal 20 4 3 4" xfId="14098"/>
    <cellStyle name="Normal 20 4 3 5" xfId="19613"/>
    <cellStyle name="Normal 20 4 3 6" xfId="10975"/>
    <cellStyle name="Normal 20 4 4" xfId="4668"/>
    <cellStyle name="Normal 20 4 4 2" xfId="6446"/>
    <cellStyle name="Normal 20 4 4 2 2" xfId="8882"/>
    <cellStyle name="Normal 20 4 4 2 2 2" xfId="22983"/>
    <cellStyle name="Normal 20 4 4 2 2 3" xfId="17516"/>
    <cellStyle name="Normal 20 4 4 2 3" xfId="15275"/>
    <cellStyle name="Normal 20 4 4 2 4" xfId="20769"/>
    <cellStyle name="Normal 20 4 4 2 5" xfId="12126"/>
    <cellStyle name="Normal 20 4 4 3" xfId="7292"/>
    <cellStyle name="Normal 20 4 4 3 2" xfId="21399"/>
    <cellStyle name="Normal 20 4 4 3 3" xfId="15926"/>
    <cellStyle name="Normal 20 4 4 4" xfId="14100"/>
    <cellStyle name="Normal 20 4 4 5" xfId="19615"/>
    <cellStyle name="Normal 20 4 4 6" xfId="10539"/>
    <cellStyle name="Normal 20 4 5" xfId="4669"/>
    <cellStyle name="Normal 20 4 5 2" xfId="8084"/>
    <cellStyle name="Normal 20 4 5 2 2" xfId="22191"/>
    <cellStyle name="Normal 20 4 5 2 3" xfId="16718"/>
    <cellStyle name="Normal 20 4 5 3" xfId="14101"/>
    <cellStyle name="Normal 20 4 5 4" xfId="19616"/>
    <cellStyle name="Normal 20 4 5 5" xfId="11331"/>
    <cellStyle name="Normal 20 4 6" xfId="4670"/>
    <cellStyle name="Normal 20 4 6 2" xfId="9479"/>
    <cellStyle name="Normal 20 4 6 2 2" xfId="23526"/>
    <cellStyle name="Normal 20 4 6 2 3" xfId="18080"/>
    <cellStyle name="Normal 20 4 6 3" xfId="14102"/>
    <cellStyle name="Normal 20 4 6 4" xfId="19617"/>
    <cellStyle name="Normal 20 4 6 5" xfId="12680"/>
    <cellStyle name="Normal 20 4 7" xfId="6933"/>
    <cellStyle name="Normal 20 4 7 2" xfId="21043"/>
    <cellStyle name="Normal 20 4 7 3" xfId="15570"/>
    <cellStyle name="Normal 20 4 8" xfId="9781"/>
    <cellStyle name="Normal 20 4 8 2" xfId="12882"/>
    <cellStyle name="Normal 20 4 9" xfId="9994"/>
    <cellStyle name="Normal 20 4 9 2" xfId="18433"/>
    <cellStyle name="Normal 20 5" xfId="1017"/>
    <cellStyle name="Normal 20 5 2" xfId="4671"/>
    <cellStyle name="Normal 20 5 2 2" xfId="4672"/>
    <cellStyle name="Normal 20 5 2 2 2" xfId="8356"/>
    <cellStyle name="Normal 20 5 2 2 2 2" xfId="22463"/>
    <cellStyle name="Normal 20 5 2 2 2 3" xfId="16990"/>
    <cellStyle name="Normal 20 5 2 2 3" xfId="14104"/>
    <cellStyle name="Normal 20 5 2 2 4" xfId="19619"/>
    <cellStyle name="Normal 20 5 2 2 5" xfId="11604"/>
    <cellStyle name="Normal 20 5 2 3" xfId="4673"/>
    <cellStyle name="Normal 20 5 2 3 2" xfId="9154"/>
    <cellStyle name="Normal 20 5 2 3 2 2" xfId="23255"/>
    <cellStyle name="Normal 20 5 2 3 2 3" xfId="17788"/>
    <cellStyle name="Normal 20 5 2 3 3" xfId="14105"/>
    <cellStyle name="Normal 20 5 2 3 4" xfId="19620"/>
    <cellStyle name="Normal 20 5 2 3 5" xfId="12399"/>
    <cellStyle name="Normal 20 5 2 4" xfId="7564"/>
    <cellStyle name="Normal 20 5 2 4 2" xfId="21671"/>
    <cellStyle name="Normal 20 5 2 4 3" xfId="16198"/>
    <cellStyle name="Normal 20 5 2 5" xfId="14103"/>
    <cellStyle name="Normal 20 5 2 6" xfId="19618"/>
    <cellStyle name="Normal 20 5 2 7" xfId="10811"/>
    <cellStyle name="Normal 20 5 3" xfId="4674"/>
    <cellStyle name="Normal 20 5 3 2" xfId="4675"/>
    <cellStyle name="Normal 20 5 3 2 2" xfId="8616"/>
    <cellStyle name="Normal 20 5 3 2 2 2" xfId="22723"/>
    <cellStyle name="Normal 20 5 3 2 2 3" xfId="17250"/>
    <cellStyle name="Normal 20 5 3 2 3" xfId="14107"/>
    <cellStyle name="Normal 20 5 3 2 4" xfId="19622"/>
    <cellStyle name="Normal 20 5 3 2 5" xfId="11864"/>
    <cellStyle name="Normal 20 5 3 3" xfId="7824"/>
    <cellStyle name="Normal 20 5 3 3 2" xfId="21931"/>
    <cellStyle name="Normal 20 5 3 3 3" xfId="16458"/>
    <cellStyle name="Normal 20 5 3 4" xfId="14106"/>
    <cellStyle name="Normal 20 5 3 5" xfId="19621"/>
    <cellStyle name="Normal 20 5 3 6" xfId="11071"/>
    <cellStyle name="Normal 20 5 4" xfId="4676"/>
    <cellStyle name="Normal 20 5 4 2" xfId="6366"/>
    <cellStyle name="Normal 20 5 4 2 2" xfId="8802"/>
    <cellStyle name="Normal 20 5 4 2 2 2" xfId="22903"/>
    <cellStyle name="Normal 20 5 4 2 2 3" xfId="17436"/>
    <cellStyle name="Normal 20 5 4 2 3" xfId="15195"/>
    <cellStyle name="Normal 20 5 4 2 4" xfId="20689"/>
    <cellStyle name="Normal 20 5 4 2 5" xfId="12046"/>
    <cellStyle name="Normal 20 5 4 3" xfId="7212"/>
    <cellStyle name="Normal 20 5 4 3 2" xfId="21319"/>
    <cellStyle name="Normal 20 5 4 3 3" xfId="15846"/>
    <cellStyle name="Normal 20 5 4 4" xfId="14108"/>
    <cellStyle name="Normal 20 5 4 5" xfId="19623"/>
    <cellStyle name="Normal 20 5 4 6" xfId="10459"/>
    <cellStyle name="Normal 20 5 5" xfId="4677"/>
    <cellStyle name="Normal 20 5 5 2" xfId="8004"/>
    <cellStyle name="Normal 20 5 5 2 2" xfId="22111"/>
    <cellStyle name="Normal 20 5 5 2 3" xfId="16638"/>
    <cellStyle name="Normal 20 5 5 3" xfId="14109"/>
    <cellStyle name="Normal 20 5 5 4" xfId="19624"/>
    <cellStyle name="Normal 20 5 5 5" xfId="11251"/>
    <cellStyle name="Normal 20 5 6" xfId="4678"/>
    <cellStyle name="Normal 20 5 7" xfId="7029"/>
    <cellStyle name="Normal 20 5 7 2" xfId="21139"/>
    <cellStyle name="Normal 20 5 7 3" xfId="15666"/>
    <cellStyle name="Normal 20 5 8" xfId="10279"/>
    <cellStyle name="Normal 20 6" xfId="1625"/>
    <cellStyle name="Normal 20 6 10" xfId="2587"/>
    <cellStyle name="Normal 20 6 2" xfId="4679"/>
    <cellStyle name="Normal 20 6 2 2" xfId="8180"/>
    <cellStyle name="Normal 20 6 2 2 2" xfId="22287"/>
    <cellStyle name="Normal 20 6 2 2 3" xfId="16814"/>
    <cellStyle name="Normal 20 6 2 3" xfId="14110"/>
    <cellStyle name="Normal 20 6 2 4" xfId="19625"/>
    <cellStyle name="Normal 20 6 2 5" xfId="24175"/>
    <cellStyle name="Normal 20 6 2 6" xfId="11427"/>
    <cellStyle name="Normal 20 6 3" xfId="4680"/>
    <cellStyle name="Normal 20 6 3 2" xfId="8978"/>
    <cellStyle name="Normal 20 6 3 2 2" xfId="23079"/>
    <cellStyle name="Normal 20 6 3 2 3" xfId="17612"/>
    <cellStyle name="Normal 20 6 3 3" xfId="14111"/>
    <cellStyle name="Normal 20 6 3 4" xfId="19626"/>
    <cellStyle name="Normal 20 6 3 5" xfId="12222"/>
    <cellStyle name="Normal 20 6 4" xfId="4681"/>
    <cellStyle name="Normal 20 6 4 2" xfId="9419"/>
    <cellStyle name="Normal 20 6 4 2 2" xfId="23486"/>
    <cellStyle name="Normal 20 6 4 2 3" xfId="18038"/>
    <cellStyle name="Normal 20 6 4 3" xfId="14112"/>
    <cellStyle name="Normal 20 6 4 4" xfId="19627"/>
    <cellStyle name="Normal 20 6 4 5" xfId="12636"/>
    <cellStyle name="Normal 20 6 5" xfId="7388"/>
    <cellStyle name="Normal 20 6 5 2" xfId="21495"/>
    <cellStyle name="Normal 20 6 5 3" xfId="16022"/>
    <cellStyle name="Normal 20 6 6" xfId="9734"/>
    <cellStyle name="Normal 20 6 6 2" xfId="12842"/>
    <cellStyle name="Normal 20 6 7" xfId="9954"/>
    <cellStyle name="Normal 20 6 7 2" xfId="18393"/>
    <cellStyle name="Normal 20 6 8" xfId="23971"/>
    <cellStyle name="Normal 20 6 9" xfId="10635"/>
    <cellStyle name="Normal 20 7" xfId="4682"/>
    <cellStyle name="Normal 20 7 2" xfId="4683"/>
    <cellStyle name="Normal 20 7 2 2" xfId="8440"/>
    <cellStyle name="Normal 20 7 2 2 2" xfId="22547"/>
    <cellStyle name="Normal 20 7 2 2 3" xfId="17074"/>
    <cellStyle name="Normal 20 7 2 3" xfId="14114"/>
    <cellStyle name="Normal 20 7 2 4" xfId="19629"/>
    <cellStyle name="Normal 20 7 2 5" xfId="11688"/>
    <cellStyle name="Normal 20 7 3" xfId="7648"/>
    <cellStyle name="Normal 20 7 3 2" xfId="21755"/>
    <cellStyle name="Normal 20 7 3 3" xfId="16282"/>
    <cellStyle name="Normal 20 7 4" xfId="14113"/>
    <cellStyle name="Normal 20 7 5" xfId="19628"/>
    <cellStyle name="Normal 20 7 6" xfId="10895"/>
    <cellStyle name="Normal 20 7 7" xfId="41939"/>
    <cellStyle name="Normal 20 8" xfId="4684"/>
    <cellStyle name="Normal 20 8 2" xfId="6270"/>
    <cellStyle name="Normal 20 8 2 2" xfId="8706"/>
    <cellStyle name="Normal 20 8 2 2 2" xfId="22807"/>
    <cellStyle name="Normal 20 8 2 2 3" xfId="17340"/>
    <cellStyle name="Normal 20 8 2 3" xfId="15099"/>
    <cellStyle name="Normal 20 8 2 4" xfId="20593"/>
    <cellStyle name="Normal 20 8 2 5" xfId="11950"/>
    <cellStyle name="Normal 20 8 3" xfId="7116"/>
    <cellStyle name="Normal 20 8 3 2" xfId="21223"/>
    <cellStyle name="Normal 20 8 3 3" xfId="15750"/>
    <cellStyle name="Normal 20 8 4" xfId="14115"/>
    <cellStyle name="Normal 20 8 5" xfId="19630"/>
    <cellStyle name="Normal 20 8 6" xfId="10363"/>
    <cellStyle name="Normal 20 8 7" xfId="41940"/>
    <cellStyle name="Normal 20 9" xfId="4685"/>
    <cellStyle name="Normal 20 9 2" xfId="7908"/>
    <cellStyle name="Normal 20 9 2 2" xfId="22015"/>
    <cellStyle name="Normal 20 9 2 3" xfId="16542"/>
    <cellStyle name="Normal 20 9 3" xfId="14116"/>
    <cellStyle name="Normal 20 9 4" xfId="19631"/>
    <cellStyle name="Normal 20 9 5" xfId="11155"/>
    <cellStyle name="Normal 200" xfId="6101"/>
    <cellStyle name="Normal 200 2" xfId="43010"/>
    <cellStyle name="Normal 201" xfId="6043"/>
    <cellStyle name="Normal 201 2" xfId="43033"/>
    <cellStyle name="Normal 202" xfId="9546"/>
    <cellStyle name="Normal 202 2" xfId="43040"/>
    <cellStyle name="Normal 202 3" xfId="43121"/>
    <cellStyle name="Normal 203" xfId="6853"/>
    <cellStyle name="Normal 203 2" xfId="43124"/>
    <cellStyle name="Normal 204" xfId="9563"/>
    <cellStyle name="Normal 204 2" xfId="43077"/>
    <cellStyle name="Normal 205" xfId="9610"/>
    <cellStyle name="Normal 205 2" xfId="43037"/>
    <cellStyle name="Normal 206" xfId="9672"/>
    <cellStyle name="Normal 206 2" xfId="43125"/>
    <cellStyle name="Normal 207" xfId="9714"/>
    <cellStyle name="Normal 207 2" xfId="43130"/>
    <cellStyle name="Normal 208" xfId="9848"/>
    <cellStyle name="Normal 208 2" xfId="43135"/>
    <cellStyle name="Normal 209" xfId="9611"/>
    <cellStyle name="Normal 209 2" xfId="43126"/>
    <cellStyle name="Normal 21" xfId="626"/>
    <cellStyle name="Normal 21 10" xfId="6843"/>
    <cellStyle name="Normal 21 10 2" xfId="20973"/>
    <cellStyle name="Normal 21 10 3" xfId="15499"/>
    <cellStyle name="Normal 21 11" xfId="10107"/>
    <cellStyle name="Normal 21 2" xfId="1470"/>
    <cellStyle name="Normal 21 2 2" xfId="2133"/>
    <cellStyle name="Normal 21 2 2 10" xfId="10321"/>
    <cellStyle name="Normal 21 2 2 2" xfId="2943"/>
    <cellStyle name="Normal 21 2 2 2 2" xfId="4686"/>
    <cellStyle name="Normal 21 2 2 2 2 2" xfId="8658"/>
    <cellStyle name="Normal 21 2 2 2 2 2 2" xfId="22765"/>
    <cellStyle name="Normal 21 2 2 2 2 2 3" xfId="17292"/>
    <cellStyle name="Normal 21 2 2 2 2 3" xfId="14117"/>
    <cellStyle name="Normal 21 2 2 2 2 4" xfId="19632"/>
    <cellStyle name="Normal 21 2 2 2 2 5" xfId="11906"/>
    <cellStyle name="Normal 21 2 2 2 3" xfId="4687"/>
    <cellStyle name="Normal 21 2 2 2 4" xfId="7866"/>
    <cellStyle name="Normal 21 2 2 2 4 2" xfId="21973"/>
    <cellStyle name="Normal 21 2 2 2 4 3" xfId="16500"/>
    <cellStyle name="Normal 21 2 2 2 5" xfId="11113"/>
    <cellStyle name="Normal 21 2 2 3" xfId="4688"/>
    <cellStyle name="Normal 21 2 2 3 2" xfId="6597"/>
    <cellStyle name="Normal 21 2 2 3 2 2" xfId="9196"/>
    <cellStyle name="Normal 21 2 2 3 2 2 2" xfId="23297"/>
    <cellStyle name="Normal 21 2 2 3 2 2 3" xfId="17830"/>
    <cellStyle name="Normal 21 2 2 3 2 3" xfId="15382"/>
    <cellStyle name="Normal 21 2 2 3 2 4" xfId="20875"/>
    <cellStyle name="Normal 21 2 2 3 2 5" xfId="12441"/>
    <cellStyle name="Normal 21 2 2 3 3" xfId="7606"/>
    <cellStyle name="Normal 21 2 2 3 3 2" xfId="21713"/>
    <cellStyle name="Normal 21 2 2 3 3 3" xfId="16240"/>
    <cellStyle name="Normal 21 2 2 3 4" xfId="14118"/>
    <cellStyle name="Normal 21 2 2 3 5" xfId="19633"/>
    <cellStyle name="Normal 21 2 2 3 6" xfId="24152"/>
    <cellStyle name="Normal 21 2 2 3 7" xfId="10853"/>
    <cellStyle name="Normal 21 2 2 4" xfId="4689"/>
    <cellStyle name="Normal 21 2 2 4 2" xfId="8398"/>
    <cellStyle name="Normal 21 2 2 4 2 2" xfId="22505"/>
    <cellStyle name="Normal 21 2 2 4 2 3" xfId="17032"/>
    <cellStyle name="Normal 21 2 2 4 3" xfId="14119"/>
    <cellStyle name="Normal 21 2 2 4 4" xfId="19634"/>
    <cellStyle name="Normal 21 2 2 4 5" xfId="11646"/>
    <cellStyle name="Normal 21 2 2 5" xfId="4690"/>
    <cellStyle name="Normal 21 2 2 5 2" xfId="9395"/>
    <cellStyle name="Normal 21 2 2 5 2 2" xfId="23463"/>
    <cellStyle name="Normal 21 2 2 5 2 3" xfId="18015"/>
    <cellStyle name="Normal 21 2 2 5 3" xfId="14120"/>
    <cellStyle name="Normal 21 2 2 5 4" xfId="19635"/>
    <cellStyle name="Normal 21 2 2 5 5" xfId="12612"/>
    <cellStyle name="Normal 21 2 2 6" xfId="7072"/>
    <cellStyle name="Normal 21 2 2 6 2" xfId="21181"/>
    <cellStyle name="Normal 21 2 2 6 3" xfId="15708"/>
    <cellStyle name="Normal 21 2 2 7" xfId="9701"/>
    <cellStyle name="Normal 21 2 2 7 2" xfId="12819"/>
    <cellStyle name="Normal 21 2 2 8" xfId="9930"/>
    <cellStyle name="Normal 21 2 2 8 2" xfId="18370"/>
    <cellStyle name="Normal 21 2 2 9" xfId="23830"/>
    <cellStyle name="Normal 21 2 3" xfId="4691"/>
    <cellStyle name="Normal 21 2 3 2" xfId="4692"/>
    <cellStyle name="Normal 21 2 3 2 2" xfId="8222"/>
    <cellStyle name="Normal 21 2 3 2 2 2" xfId="22329"/>
    <cellStyle name="Normal 21 2 3 2 2 3" xfId="16856"/>
    <cellStyle name="Normal 21 2 3 2 3" xfId="14122"/>
    <cellStyle name="Normal 21 2 3 2 4" xfId="19637"/>
    <cellStyle name="Normal 21 2 3 2 5" xfId="11469"/>
    <cellStyle name="Normal 21 2 3 3" xfId="4693"/>
    <cellStyle name="Normal 21 2 3 3 2" xfId="9020"/>
    <cellStyle name="Normal 21 2 3 3 2 2" xfId="23121"/>
    <cellStyle name="Normal 21 2 3 3 2 3" xfId="17654"/>
    <cellStyle name="Normal 21 2 3 3 3" xfId="14123"/>
    <cellStyle name="Normal 21 2 3 3 4" xfId="19638"/>
    <cellStyle name="Normal 21 2 3 3 5" xfId="12264"/>
    <cellStyle name="Normal 21 2 3 4" xfId="7430"/>
    <cellStyle name="Normal 21 2 3 4 2" xfId="21537"/>
    <cellStyle name="Normal 21 2 3 4 3" xfId="16064"/>
    <cellStyle name="Normal 21 2 3 5" xfId="14121"/>
    <cellStyle name="Normal 21 2 3 6" xfId="19636"/>
    <cellStyle name="Normal 21 2 3 7" xfId="10677"/>
    <cellStyle name="Normal 21 2 4" xfId="4694"/>
    <cellStyle name="Normal 21 2 4 2" xfId="4695"/>
    <cellStyle name="Normal 21 2 4 2 2" xfId="8482"/>
    <cellStyle name="Normal 21 2 4 2 2 2" xfId="22589"/>
    <cellStyle name="Normal 21 2 4 2 2 3" xfId="17116"/>
    <cellStyle name="Normal 21 2 4 2 3" xfId="14125"/>
    <cellStyle name="Normal 21 2 4 2 4" xfId="19640"/>
    <cellStyle name="Normal 21 2 4 2 5" xfId="11730"/>
    <cellStyle name="Normal 21 2 4 3" xfId="7690"/>
    <cellStyle name="Normal 21 2 4 3 2" xfId="21797"/>
    <cellStyle name="Normal 21 2 4 3 3" xfId="16324"/>
    <cellStyle name="Normal 21 2 4 4" xfId="14124"/>
    <cellStyle name="Normal 21 2 4 5" xfId="19639"/>
    <cellStyle name="Normal 21 2 4 6" xfId="10937"/>
    <cellStyle name="Normal 21 2 5" xfId="4696"/>
    <cellStyle name="Normal 21 2 5 2" xfId="6408"/>
    <cellStyle name="Normal 21 2 5 2 2" xfId="8844"/>
    <cellStyle name="Normal 21 2 5 2 2 2" xfId="22945"/>
    <cellStyle name="Normal 21 2 5 2 2 3" xfId="17478"/>
    <cellStyle name="Normal 21 2 5 2 3" xfId="15237"/>
    <cellStyle name="Normal 21 2 5 2 4" xfId="20731"/>
    <cellStyle name="Normal 21 2 5 2 5" xfId="12088"/>
    <cellStyle name="Normal 21 2 5 3" xfId="7254"/>
    <cellStyle name="Normal 21 2 5 3 2" xfId="21361"/>
    <cellStyle name="Normal 21 2 5 3 3" xfId="15888"/>
    <cellStyle name="Normal 21 2 5 4" xfId="14126"/>
    <cellStyle name="Normal 21 2 5 5" xfId="19641"/>
    <cellStyle name="Normal 21 2 5 6" xfId="10501"/>
    <cellStyle name="Normal 21 2 6" xfId="4697"/>
    <cellStyle name="Normal 21 2 6 2" xfId="8046"/>
    <cellStyle name="Normal 21 2 6 2 2" xfId="22153"/>
    <cellStyle name="Normal 21 2 6 2 3" xfId="16680"/>
    <cellStyle name="Normal 21 2 6 3" xfId="14127"/>
    <cellStyle name="Normal 21 2 6 4" xfId="19642"/>
    <cellStyle name="Normal 21 2 6 5" xfId="11293"/>
    <cellStyle name="Normal 21 2 7" xfId="4698"/>
    <cellStyle name="Normal 21 2 8" xfId="6892"/>
    <cellStyle name="Normal 21 2 8 2" xfId="21005"/>
    <cellStyle name="Normal 21 2 8 3" xfId="15532"/>
    <cellStyle name="Normal 21 2 9" xfId="10143"/>
    <cellStyle name="Normal 21 3" xfId="1306"/>
    <cellStyle name="Normal 21 3 2" xfId="1629"/>
    <cellStyle name="Normal 21 3 2 2" xfId="4699"/>
    <cellStyle name="Normal 21 3 3" xfId="6130"/>
    <cellStyle name="Normal 21 3 4" xfId="2931"/>
    <cellStyle name="Normal 21 4" xfId="1586"/>
    <cellStyle name="Normal 21 4 10" xfId="23734"/>
    <cellStyle name="Normal 21 4 11" xfId="10193"/>
    <cellStyle name="Normal 21 4 12" xfId="3016"/>
    <cellStyle name="Normal 21 4 2" xfId="4700"/>
    <cellStyle name="Normal 21 4 2 2" xfId="4701"/>
    <cellStyle name="Normal 21 4 2 2 2" xfId="8270"/>
    <cellStyle name="Normal 21 4 2 2 2 2" xfId="22377"/>
    <cellStyle name="Normal 21 4 2 2 2 3" xfId="16904"/>
    <cellStyle name="Normal 21 4 2 2 3" xfId="14129"/>
    <cellStyle name="Normal 21 4 2 2 4" xfId="19644"/>
    <cellStyle name="Normal 21 4 2 2 5" xfId="11517"/>
    <cellStyle name="Normal 21 4 2 3" xfId="4702"/>
    <cellStyle name="Normal 21 4 2 3 2" xfId="9068"/>
    <cellStyle name="Normal 21 4 2 3 2 2" xfId="23169"/>
    <cellStyle name="Normal 21 4 2 3 2 3" xfId="17702"/>
    <cellStyle name="Normal 21 4 2 3 3" xfId="14130"/>
    <cellStyle name="Normal 21 4 2 3 4" xfId="19645"/>
    <cellStyle name="Normal 21 4 2 3 5" xfId="12313"/>
    <cellStyle name="Normal 21 4 2 4" xfId="7478"/>
    <cellStyle name="Normal 21 4 2 4 2" xfId="21585"/>
    <cellStyle name="Normal 21 4 2 4 3" xfId="16112"/>
    <cellStyle name="Normal 21 4 2 5" xfId="14128"/>
    <cellStyle name="Normal 21 4 2 6" xfId="19643"/>
    <cellStyle name="Normal 21 4 2 7" xfId="24225"/>
    <cellStyle name="Normal 21 4 2 8" xfId="10725"/>
    <cellStyle name="Normal 21 4 3" xfId="4703"/>
    <cellStyle name="Normal 21 4 3 2" xfId="4704"/>
    <cellStyle name="Normal 21 4 3 2 2" xfId="8530"/>
    <cellStyle name="Normal 21 4 3 2 2 2" xfId="22637"/>
    <cellStyle name="Normal 21 4 3 2 2 3" xfId="17164"/>
    <cellStyle name="Normal 21 4 3 2 3" xfId="14132"/>
    <cellStyle name="Normal 21 4 3 2 4" xfId="19647"/>
    <cellStyle name="Normal 21 4 3 2 5" xfId="11778"/>
    <cellStyle name="Normal 21 4 3 3" xfId="7738"/>
    <cellStyle name="Normal 21 4 3 3 2" xfId="21845"/>
    <cellStyle name="Normal 21 4 3 3 3" xfId="16372"/>
    <cellStyle name="Normal 21 4 3 4" xfId="14131"/>
    <cellStyle name="Normal 21 4 3 5" xfId="19646"/>
    <cellStyle name="Normal 21 4 3 6" xfId="10985"/>
    <cellStyle name="Normal 21 4 4" xfId="4705"/>
    <cellStyle name="Normal 21 4 4 2" xfId="6456"/>
    <cellStyle name="Normal 21 4 4 2 2" xfId="8892"/>
    <cellStyle name="Normal 21 4 4 2 2 2" xfId="22993"/>
    <cellStyle name="Normal 21 4 4 2 2 3" xfId="17526"/>
    <cellStyle name="Normal 21 4 4 2 3" xfId="15285"/>
    <cellStyle name="Normal 21 4 4 2 4" xfId="20779"/>
    <cellStyle name="Normal 21 4 4 2 5" xfId="12136"/>
    <cellStyle name="Normal 21 4 4 3" xfId="7302"/>
    <cellStyle name="Normal 21 4 4 3 2" xfId="21409"/>
    <cellStyle name="Normal 21 4 4 3 3" xfId="15936"/>
    <cellStyle name="Normal 21 4 4 4" xfId="14133"/>
    <cellStyle name="Normal 21 4 4 5" xfId="19648"/>
    <cellStyle name="Normal 21 4 4 6" xfId="10549"/>
    <cellStyle name="Normal 21 4 5" xfId="4706"/>
    <cellStyle name="Normal 21 4 5 2" xfId="8094"/>
    <cellStyle name="Normal 21 4 5 2 2" xfId="22201"/>
    <cellStyle name="Normal 21 4 5 2 3" xfId="16728"/>
    <cellStyle name="Normal 21 4 5 3" xfId="14134"/>
    <cellStyle name="Normal 21 4 5 4" xfId="19649"/>
    <cellStyle name="Normal 21 4 5 5" xfId="11341"/>
    <cellStyle name="Normal 21 4 6" xfId="4707"/>
    <cellStyle name="Normal 21 4 6 2" xfId="9489"/>
    <cellStyle name="Normal 21 4 6 2 2" xfId="23536"/>
    <cellStyle name="Normal 21 4 6 2 3" xfId="18090"/>
    <cellStyle name="Normal 21 4 6 3" xfId="14135"/>
    <cellStyle name="Normal 21 4 6 4" xfId="19650"/>
    <cellStyle name="Normal 21 4 6 5" xfId="12690"/>
    <cellStyle name="Normal 21 4 7" xfId="6943"/>
    <cellStyle name="Normal 21 4 7 2" xfId="21053"/>
    <cellStyle name="Normal 21 4 7 3" xfId="15580"/>
    <cellStyle name="Normal 21 4 8" xfId="9791"/>
    <cellStyle name="Normal 21 4 8 2" xfId="12892"/>
    <cellStyle name="Normal 21 4 9" xfId="10004"/>
    <cellStyle name="Normal 21 4 9 2" xfId="18443"/>
    <cellStyle name="Normal 21 5" xfId="1015"/>
    <cellStyle name="Normal 21 5 2" xfId="4708"/>
    <cellStyle name="Normal 21 5 2 2" xfId="4709"/>
    <cellStyle name="Normal 21 5 2 2 2" xfId="8366"/>
    <cellStyle name="Normal 21 5 2 2 2 2" xfId="22473"/>
    <cellStyle name="Normal 21 5 2 2 2 3" xfId="17000"/>
    <cellStyle name="Normal 21 5 2 2 3" xfId="14137"/>
    <cellStyle name="Normal 21 5 2 2 4" xfId="19652"/>
    <cellStyle name="Normal 21 5 2 2 5" xfId="11614"/>
    <cellStyle name="Normal 21 5 2 3" xfId="4710"/>
    <cellStyle name="Normal 21 5 2 3 2" xfId="9164"/>
    <cellStyle name="Normal 21 5 2 3 2 2" xfId="23265"/>
    <cellStyle name="Normal 21 5 2 3 2 3" xfId="17798"/>
    <cellStyle name="Normal 21 5 2 3 3" xfId="14138"/>
    <cellStyle name="Normal 21 5 2 3 4" xfId="19653"/>
    <cellStyle name="Normal 21 5 2 3 5" xfId="12409"/>
    <cellStyle name="Normal 21 5 2 4" xfId="7574"/>
    <cellStyle name="Normal 21 5 2 4 2" xfId="21681"/>
    <cellStyle name="Normal 21 5 2 4 3" xfId="16208"/>
    <cellStyle name="Normal 21 5 2 5" xfId="14136"/>
    <cellStyle name="Normal 21 5 2 6" xfId="19651"/>
    <cellStyle name="Normal 21 5 2 7" xfId="10821"/>
    <cellStyle name="Normal 21 5 3" xfId="4711"/>
    <cellStyle name="Normal 21 5 3 2" xfId="4712"/>
    <cellStyle name="Normal 21 5 3 2 2" xfId="8626"/>
    <cellStyle name="Normal 21 5 3 2 2 2" xfId="22733"/>
    <cellStyle name="Normal 21 5 3 2 2 3" xfId="17260"/>
    <cellStyle name="Normal 21 5 3 2 3" xfId="14140"/>
    <cellStyle name="Normal 21 5 3 2 4" xfId="19655"/>
    <cellStyle name="Normal 21 5 3 2 5" xfId="11874"/>
    <cellStyle name="Normal 21 5 3 3" xfId="7834"/>
    <cellStyle name="Normal 21 5 3 3 2" xfId="21941"/>
    <cellStyle name="Normal 21 5 3 3 3" xfId="16468"/>
    <cellStyle name="Normal 21 5 3 4" xfId="14139"/>
    <cellStyle name="Normal 21 5 3 5" xfId="19654"/>
    <cellStyle name="Normal 21 5 3 6" xfId="11081"/>
    <cellStyle name="Normal 21 5 4" xfId="4713"/>
    <cellStyle name="Normal 21 5 4 2" xfId="6376"/>
    <cellStyle name="Normal 21 5 4 2 2" xfId="8812"/>
    <cellStyle name="Normal 21 5 4 2 2 2" xfId="22913"/>
    <cellStyle name="Normal 21 5 4 2 2 3" xfId="17446"/>
    <cellStyle name="Normal 21 5 4 2 3" xfId="15205"/>
    <cellStyle name="Normal 21 5 4 2 4" xfId="20699"/>
    <cellStyle name="Normal 21 5 4 2 5" xfId="12056"/>
    <cellStyle name="Normal 21 5 4 3" xfId="7222"/>
    <cellStyle name="Normal 21 5 4 3 2" xfId="21329"/>
    <cellStyle name="Normal 21 5 4 3 3" xfId="15856"/>
    <cellStyle name="Normal 21 5 4 4" xfId="14141"/>
    <cellStyle name="Normal 21 5 4 5" xfId="19656"/>
    <cellStyle name="Normal 21 5 4 6" xfId="10469"/>
    <cellStyle name="Normal 21 5 5" xfId="4714"/>
    <cellStyle name="Normal 21 5 5 2" xfId="8014"/>
    <cellStyle name="Normal 21 5 5 2 2" xfId="22121"/>
    <cellStyle name="Normal 21 5 5 2 3" xfId="16648"/>
    <cellStyle name="Normal 21 5 5 3" xfId="14142"/>
    <cellStyle name="Normal 21 5 5 4" xfId="19657"/>
    <cellStyle name="Normal 21 5 5 5" xfId="11261"/>
    <cellStyle name="Normal 21 5 6" xfId="4715"/>
    <cellStyle name="Normal 21 5 7" xfId="7039"/>
    <cellStyle name="Normal 21 5 7 2" xfId="21149"/>
    <cellStyle name="Normal 21 5 7 3" xfId="15676"/>
    <cellStyle name="Normal 21 5 8" xfId="10289"/>
    <cellStyle name="Normal 21 6" xfId="1622"/>
    <cellStyle name="Normal 21 6 10" xfId="2597"/>
    <cellStyle name="Normal 21 6 2" xfId="4716"/>
    <cellStyle name="Normal 21 6 2 2" xfId="8190"/>
    <cellStyle name="Normal 21 6 2 2 2" xfId="22297"/>
    <cellStyle name="Normal 21 6 2 2 3" xfId="16824"/>
    <cellStyle name="Normal 21 6 2 3" xfId="14143"/>
    <cellStyle name="Normal 21 6 2 4" xfId="19658"/>
    <cellStyle name="Normal 21 6 2 5" xfId="24185"/>
    <cellStyle name="Normal 21 6 2 6" xfId="11437"/>
    <cellStyle name="Normal 21 6 3" xfId="4717"/>
    <cellStyle name="Normal 21 6 3 2" xfId="8988"/>
    <cellStyle name="Normal 21 6 3 2 2" xfId="23089"/>
    <cellStyle name="Normal 21 6 3 2 3" xfId="17622"/>
    <cellStyle name="Normal 21 6 3 3" xfId="14144"/>
    <cellStyle name="Normal 21 6 3 4" xfId="19659"/>
    <cellStyle name="Normal 21 6 3 5" xfId="12232"/>
    <cellStyle name="Normal 21 6 4" xfId="4718"/>
    <cellStyle name="Normal 21 6 4 2" xfId="9429"/>
    <cellStyle name="Normal 21 6 4 2 2" xfId="23496"/>
    <cellStyle name="Normal 21 6 4 2 3" xfId="18048"/>
    <cellStyle name="Normal 21 6 4 3" xfId="14145"/>
    <cellStyle name="Normal 21 6 4 4" xfId="19660"/>
    <cellStyle name="Normal 21 6 4 5" xfId="12646"/>
    <cellStyle name="Normal 21 6 5" xfId="7398"/>
    <cellStyle name="Normal 21 6 5 2" xfId="21505"/>
    <cellStyle name="Normal 21 6 5 3" xfId="16032"/>
    <cellStyle name="Normal 21 6 6" xfId="9744"/>
    <cellStyle name="Normal 21 6 6 2" xfId="12852"/>
    <cellStyle name="Normal 21 6 7" xfId="9964"/>
    <cellStyle name="Normal 21 6 7 2" xfId="18403"/>
    <cellStyle name="Normal 21 6 8" xfId="23981"/>
    <cellStyle name="Normal 21 6 9" xfId="10645"/>
    <cellStyle name="Normal 21 7" xfId="4719"/>
    <cellStyle name="Normal 21 7 2" xfId="4720"/>
    <cellStyle name="Normal 21 7 2 2" xfId="8450"/>
    <cellStyle name="Normal 21 7 2 2 2" xfId="22557"/>
    <cellStyle name="Normal 21 7 2 2 3" xfId="17084"/>
    <cellStyle name="Normal 21 7 2 3" xfId="14147"/>
    <cellStyle name="Normal 21 7 2 4" xfId="19662"/>
    <cellStyle name="Normal 21 7 2 5" xfId="11698"/>
    <cellStyle name="Normal 21 7 3" xfId="7658"/>
    <cellStyle name="Normal 21 7 3 2" xfId="21765"/>
    <cellStyle name="Normal 21 7 3 3" xfId="16292"/>
    <cellStyle name="Normal 21 7 4" xfId="14146"/>
    <cellStyle name="Normal 21 7 5" xfId="19661"/>
    <cellStyle name="Normal 21 7 6" xfId="10905"/>
    <cellStyle name="Normal 21 7 7" xfId="41941"/>
    <cellStyle name="Normal 21 8" xfId="4721"/>
    <cellStyle name="Normal 21 8 2" xfId="6280"/>
    <cellStyle name="Normal 21 8 2 2" xfId="8716"/>
    <cellStyle name="Normal 21 8 2 2 2" xfId="22817"/>
    <cellStyle name="Normal 21 8 2 2 3" xfId="17350"/>
    <cellStyle name="Normal 21 8 2 3" xfId="15109"/>
    <cellStyle name="Normal 21 8 2 4" xfId="20603"/>
    <cellStyle name="Normal 21 8 2 5" xfId="11960"/>
    <cellStyle name="Normal 21 8 3" xfId="7126"/>
    <cellStyle name="Normal 21 8 3 2" xfId="21233"/>
    <cellStyle name="Normal 21 8 3 3" xfId="15760"/>
    <cellStyle name="Normal 21 8 4" xfId="14148"/>
    <cellStyle name="Normal 21 8 5" xfId="19663"/>
    <cellStyle name="Normal 21 8 6" xfId="10373"/>
    <cellStyle name="Normal 21 8 7" xfId="41942"/>
    <cellStyle name="Normal 21 9" xfId="4722"/>
    <cellStyle name="Normal 21 9 2" xfId="7918"/>
    <cellStyle name="Normal 21 9 2 2" xfId="22025"/>
    <cellStyle name="Normal 21 9 2 3" xfId="16552"/>
    <cellStyle name="Normal 21 9 3" xfId="14149"/>
    <cellStyle name="Normal 21 9 4" xfId="19664"/>
    <cellStyle name="Normal 21 9 5" xfId="11165"/>
    <cellStyle name="Normal 210" xfId="9605"/>
    <cellStyle name="Normal 210 2" xfId="42753"/>
    <cellStyle name="Normal 211" xfId="9670"/>
    <cellStyle name="Normal 211 2" xfId="42820"/>
    <cellStyle name="Normal 212" xfId="9851"/>
    <cellStyle name="Normal 213" xfId="9904"/>
    <cellStyle name="Normal 213 2" xfId="43043"/>
    <cellStyle name="Normal 214" xfId="10072"/>
    <cellStyle name="Normal 215" xfId="10154"/>
    <cellStyle name="Normal 216" xfId="10083"/>
    <cellStyle name="Normal 217" xfId="1647"/>
    <cellStyle name="Normal 218" xfId="1698"/>
    <cellStyle name="Normal 219" xfId="1740"/>
    <cellStyle name="Normal 22" xfId="245"/>
    <cellStyle name="Normal 22 10" xfId="6830"/>
    <cellStyle name="Normal 22 10 2" xfId="20960"/>
    <cellStyle name="Normal 22 10 3" xfId="15486"/>
    <cellStyle name="Normal 22 11" xfId="10094"/>
    <cellStyle name="Normal 22 2" xfId="1473"/>
    <cellStyle name="Normal 22 2 2" xfId="2115"/>
    <cellStyle name="Normal 22 2 2 10" xfId="10308"/>
    <cellStyle name="Normal 22 2 2 2" xfId="2946"/>
    <cellStyle name="Normal 22 2 2 2 2" xfId="4723"/>
    <cellStyle name="Normal 22 2 2 2 2 2" xfId="8645"/>
    <cellStyle name="Normal 22 2 2 2 2 2 2" xfId="22752"/>
    <cellStyle name="Normal 22 2 2 2 2 2 3" xfId="17279"/>
    <cellStyle name="Normal 22 2 2 2 2 3" xfId="14150"/>
    <cellStyle name="Normal 22 2 2 2 2 4" xfId="19665"/>
    <cellStyle name="Normal 22 2 2 2 2 5" xfId="11893"/>
    <cellStyle name="Normal 22 2 2 2 3" xfId="4724"/>
    <cellStyle name="Normal 22 2 2 2 4" xfId="7853"/>
    <cellStyle name="Normal 22 2 2 2 4 2" xfId="21960"/>
    <cellStyle name="Normal 22 2 2 2 4 3" xfId="16487"/>
    <cellStyle name="Normal 22 2 2 2 5" xfId="11100"/>
    <cellStyle name="Normal 22 2 2 3" xfId="4725"/>
    <cellStyle name="Normal 22 2 2 3 2" xfId="6584"/>
    <cellStyle name="Normal 22 2 2 3 2 2" xfId="9183"/>
    <cellStyle name="Normal 22 2 2 3 2 2 2" xfId="23284"/>
    <cellStyle name="Normal 22 2 2 3 2 2 3" xfId="17817"/>
    <cellStyle name="Normal 22 2 2 3 2 3" xfId="15369"/>
    <cellStyle name="Normal 22 2 2 3 2 4" xfId="20862"/>
    <cellStyle name="Normal 22 2 2 3 2 5" xfId="12428"/>
    <cellStyle name="Normal 22 2 2 3 3" xfId="7593"/>
    <cellStyle name="Normal 22 2 2 3 3 2" xfId="21700"/>
    <cellStyle name="Normal 22 2 2 3 3 3" xfId="16227"/>
    <cellStyle name="Normal 22 2 2 3 4" xfId="14151"/>
    <cellStyle name="Normal 22 2 2 3 5" xfId="19666"/>
    <cellStyle name="Normal 22 2 2 3 6" xfId="24139"/>
    <cellStyle name="Normal 22 2 2 3 7" xfId="10840"/>
    <cellStyle name="Normal 22 2 2 4" xfId="4726"/>
    <cellStyle name="Normal 22 2 2 4 2" xfId="8385"/>
    <cellStyle name="Normal 22 2 2 4 2 2" xfId="22492"/>
    <cellStyle name="Normal 22 2 2 4 2 3" xfId="17019"/>
    <cellStyle name="Normal 22 2 2 4 3" xfId="14152"/>
    <cellStyle name="Normal 22 2 2 4 4" xfId="19667"/>
    <cellStyle name="Normal 22 2 2 4 5" xfId="11633"/>
    <cellStyle name="Normal 22 2 2 5" xfId="4727"/>
    <cellStyle name="Normal 22 2 2 5 2" xfId="9381"/>
    <cellStyle name="Normal 22 2 2 5 2 2" xfId="23450"/>
    <cellStyle name="Normal 22 2 2 5 2 3" xfId="18002"/>
    <cellStyle name="Normal 22 2 2 5 3" xfId="14153"/>
    <cellStyle name="Normal 22 2 2 5 4" xfId="19668"/>
    <cellStyle name="Normal 22 2 2 5 5" xfId="12599"/>
    <cellStyle name="Normal 22 2 2 6" xfId="7059"/>
    <cellStyle name="Normal 22 2 2 6 2" xfId="21168"/>
    <cellStyle name="Normal 22 2 2 6 3" xfId="15695"/>
    <cellStyle name="Normal 22 2 2 7" xfId="9688"/>
    <cellStyle name="Normal 22 2 2 7 2" xfId="12806"/>
    <cellStyle name="Normal 22 2 2 8" xfId="9917"/>
    <cellStyle name="Normal 22 2 2 8 2" xfId="18357"/>
    <cellStyle name="Normal 22 2 2 9" xfId="23822"/>
    <cellStyle name="Normal 22 2 3" xfId="4728"/>
    <cellStyle name="Normal 22 2 3 2" xfId="4729"/>
    <cellStyle name="Normal 22 2 3 2 2" xfId="8209"/>
    <cellStyle name="Normal 22 2 3 2 2 2" xfId="22316"/>
    <cellStyle name="Normal 22 2 3 2 2 3" xfId="16843"/>
    <cellStyle name="Normal 22 2 3 2 3" xfId="14155"/>
    <cellStyle name="Normal 22 2 3 2 4" xfId="19670"/>
    <cellStyle name="Normal 22 2 3 2 5" xfId="11456"/>
    <cellStyle name="Normal 22 2 3 3" xfId="4730"/>
    <cellStyle name="Normal 22 2 3 3 2" xfId="9007"/>
    <cellStyle name="Normal 22 2 3 3 2 2" xfId="23108"/>
    <cellStyle name="Normal 22 2 3 3 2 3" xfId="17641"/>
    <cellStyle name="Normal 22 2 3 3 3" xfId="14156"/>
    <cellStyle name="Normal 22 2 3 3 4" xfId="19671"/>
    <cellStyle name="Normal 22 2 3 3 5" xfId="12251"/>
    <cellStyle name="Normal 22 2 3 4" xfId="7417"/>
    <cellStyle name="Normal 22 2 3 4 2" xfId="21524"/>
    <cellStyle name="Normal 22 2 3 4 3" xfId="16051"/>
    <cellStyle name="Normal 22 2 3 5" xfId="14154"/>
    <cellStyle name="Normal 22 2 3 6" xfId="19669"/>
    <cellStyle name="Normal 22 2 3 7" xfId="10664"/>
    <cellStyle name="Normal 22 2 4" xfId="4731"/>
    <cellStyle name="Normal 22 2 4 2" xfId="4732"/>
    <cellStyle name="Normal 22 2 4 2 2" xfId="8469"/>
    <cellStyle name="Normal 22 2 4 2 2 2" xfId="22576"/>
    <cellStyle name="Normal 22 2 4 2 2 3" xfId="17103"/>
    <cellStyle name="Normal 22 2 4 2 3" xfId="14158"/>
    <cellStyle name="Normal 22 2 4 2 4" xfId="19673"/>
    <cellStyle name="Normal 22 2 4 2 5" xfId="11717"/>
    <cellStyle name="Normal 22 2 4 3" xfId="7677"/>
    <cellStyle name="Normal 22 2 4 3 2" xfId="21784"/>
    <cellStyle name="Normal 22 2 4 3 3" xfId="16311"/>
    <cellStyle name="Normal 22 2 4 4" xfId="14157"/>
    <cellStyle name="Normal 22 2 4 5" xfId="19672"/>
    <cellStyle name="Normal 22 2 4 6" xfId="10924"/>
    <cellStyle name="Normal 22 2 5" xfId="4733"/>
    <cellStyle name="Normal 22 2 5 2" xfId="6395"/>
    <cellStyle name="Normal 22 2 5 2 2" xfId="8831"/>
    <cellStyle name="Normal 22 2 5 2 2 2" xfId="22932"/>
    <cellStyle name="Normal 22 2 5 2 2 3" xfId="17465"/>
    <cellStyle name="Normal 22 2 5 2 3" xfId="15224"/>
    <cellStyle name="Normal 22 2 5 2 4" xfId="20718"/>
    <cellStyle name="Normal 22 2 5 2 5" xfId="12075"/>
    <cellStyle name="Normal 22 2 5 3" xfId="7241"/>
    <cellStyle name="Normal 22 2 5 3 2" xfId="21348"/>
    <cellStyle name="Normal 22 2 5 3 3" xfId="15875"/>
    <cellStyle name="Normal 22 2 5 4" xfId="14159"/>
    <cellStyle name="Normal 22 2 5 5" xfId="19674"/>
    <cellStyle name="Normal 22 2 5 6" xfId="10488"/>
    <cellStyle name="Normal 22 2 6" xfId="4734"/>
    <cellStyle name="Normal 22 2 6 2" xfId="8033"/>
    <cellStyle name="Normal 22 2 6 2 2" xfId="22140"/>
    <cellStyle name="Normal 22 2 6 2 3" xfId="16667"/>
    <cellStyle name="Normal 22 2 6 3" xfId="14160"/>
    <cellStyle name="Normal 22 2 6 4" xfId="19675"/>
    <cellStyle name="Normal 22 2 6 5" xfId="11280"/>
    <cellStyle name="Normal 22 2 7" xfId="4735"/>
    <cellStyle name="Normal 22 2 8" xfId="6879"/>
    <cellStyle name="Normal 22 2 8 2" xfId="20992"/>
    <cellStyle name="Normal 22 2 8 3" xfId="15519"/>
    <cellStyle name="Normal 22 2 9" xfId="10130"/>
    <cellStyle name="Normal 22 3" xfId="1564"/>
    <cellStyle name="Normal 22 3 2" xfId="4736"/>
    <cellStyle name="Normal 22 3 2 2" xfId="9476"/>
    <cellStyle name="Normal 22 3 2 2 2" xfId="23523"/>
    <cellStyle name="Normal 22 3 2 2 3" xfId="18077"/>
    <cellStyle name="Normal 22 3 2 3" xfId="14161"/>
    <cellStyle name="Normal 22 3 2 4" xfId="19676"/>
    <cellStyle name="Normal 22 3 2 5" xfId="24212"/>
    <cellStyle name="Normal 22 3 2 6" xfId="12677"/>
    <cellStyle name="Normal 22 3 3" xfId="6131"/>
    <cellStyle name="Normal 22 3 3 2" xfId="41943"/>
    <cellStyle name="Normal 22 3 4" xfId="9778"/>
    <cellStyle name="Normal 22 3 4 2" xfId="12879"/>
    <cellStyle name="Normal 22 3 5" xfId="9991"/>
    <cellStyle name="Normal 22 3 5 2" xfId="18430"/>
    <cellStyle name="Normal 22 3 6" xfId="23721"/>
    <cellStyle name="Normal 22 3 7" xfId="3001"/>
    <cellStyle name="Normal 22 4" xfId="1018"/>
    <cellStyle name="Normal 22 4 2" xfId="4737"/>
    <cellStyle name="Normal 22 4 2 2" xfId="4738"/>
    <cellStyle name="Normal 22 4 2 2 2" xfId="8257"/>
    <cellStyle name="Normal 22 4 2 2 2 2" xfId="22364"/>
    <cellStyle name="Normal 22 4 2 2 2 3" xfId="16891"/>
    <cellStyle name="Normal 22 4 2 2 3" xfId="14163"/>
    <cellStyle name="Normal 22 4 2 2 4" xfId="19678"/>
    <cellStyle name="Normal 22 4 2 2 5" xfId="11504"/>
    <cellStyle name="Normal 22 4 2 3" xfId="4739"/>
    <cellStyle name="Normal 22 4 2 3 2" xfId="9055"/>
    <cellStyle name="Normal 22 4 2 3 2 2" xfId="23156"/>
    <cellStyle name="Normal 22 4 2 3 2 3" xfId="17689"/>
    <cellStyle name="Normal 22 4 2 3 3" xfId="14164"/>
    <cellStyle name="Normal 22 4 2 3 4" xfId="19679"/>
    <cellStyle name="Normal 22 4 2 3 5" xfId="12300"/>
    <cellStyle name="Normal 22 4 2 4" xfId="7465"/>
    <cellStyle name="Normal 22 4 2 4 2" xfId="21572"/>
    <cellStyle name="Normal 22 4 2 4 3" xfId="16099"/>
    <cellStyle name="Normal 22 4 2 5" xfId="14162"/>
    <cellStyle name="Normal 22 4 2 6" xfId="19677"/>
    <cellStyle name="Normal 22 4 2 7" xfId="10712"/>
    <cellStyle name="Normal 22 4 3" xfId="4740"/>
    <cellStyle name="Normal 22 4 3 2" xfId="4741"/>
    <cellStyle name="Normal 22 4 3 2 2" xfId="8517"/>
    <cellStyle name="Normal 22 4 3 2 2 2" xfId="22624"/>
    <cellStyle name="Normal 22 4 3 2 2 3" xfId="17151"/>
    <cellStyle name="Normal 22 4 3 2 3" xfId="14166"/>
    <cellStyle name="Normal 22 4 3 2 4" xfId="19681"/>
    <cellStyle name="Normal 22 4 3 2 5" xfId="11765"/>
    <cellStyle name="Normal 22 4 3 3" xfId="7725"/>
    <cellStyle name="Normal 22 4 3 3 2" xfId="21832"/>
    <cellStyle name="Normal 22 4 3 3 3" xfId="16359"/>
    <cellStyle name="Normal 22 4 3 4" xfId="14165"/>
    <cellStyle name="Normal 22 4 3 5" xfId="19680"/>
    <cellStyle name="Normal 22 4 3 6" xfId="10972"/>
    <cellStyle name="Normal 22 4 4" xfId="4742"/>
    <cellStyle name="Normal 22 4 4 2" xfId="6443"/>
    <cellStyle name="Normal 22 4 4 2 2" xfId="8879"/>
    <cellStyle name="Normal 22 4 4 2 2 2" xfId="22980"/>
    <cellStyle name="Normal 22 4 4 2 2 3" xfId="17513"/>
    <cellStyle name="Normal 22 4 4 2 3" xfId="15272"/>
    <cellStyle name="Normal 22 4 4 2 4" xfId="20766"/>
    <cellStyle name="Normal 22 4 4 2 5" xfId="12123"/>
    <cellStyle name="Normal 22 4 4 3" xfId="7289"/>
    <cellStyle name="Normal 22 4 4 3 2" xfId="21396"/>
    <cellStyle name="Normal 22 4 4 3 3" xfId="15923"/>
    <cellStyle name="Normal 22 4 4 4" xfId="14167"/>
    <cellStyle name="Normal 22 4 4 5" xfId="19682"/>
    <cellStyle name="Normal 22 4 4 6" xfId="10536"/>
    <cellStyle name="Normal 22 4 5" xfId="4743"/>
    <cellStyle name="Normal 22 4 5 2" xfId="8081"/>
    <cellStyle name="Normal 22 4 5 2 2" xfId="22188"/>
    <cellStyle name="Normal 22 4 5 2 3" xfId="16715"/>
    <cellStyle name="Normal 22 4 5 3" xfId="14168"/>
    <cellStyle name="Normal 22 4 5 4" xfId="19683"/>
    <cellStyle name="Normal 22 4 5 5" xfId="11328"/>
    <cellStyle name="Normal 22 4 6" xfId="4744"/>
    <cellStyle name="Normal 22 4 7" xfId="6930"/>
    <cellStyle name="Normal 22 4 7 2" xfId="21040"/>
    <cellStyle name="Normal 22 4 7 3" xfId="15567"/>
    <cellStyle name="Normal 22 4 8" xfId="10180"/>
    <cellStyle name="Normal 22 5" xfId="2584"/>
    <cellStyle name="Normal 22 5 10" xfId="23968"/>
    <cellStyle name="Normal 22 5 11" xfId="10276"/>
    <cellStyle name="Normal 22 5 2" xfId="4745"/>
    <cellStyle name="Normal 22 5 2 2" xfId="4746"/>
    <cellStyle name="Normal 22 5 2 2 2" xfId="8353"/>
    <cellStyle name="Normal 22 5 2 2 2 2" xfId="22460"/>
    <cellStyle name="Normal 22 5 2 2 2 3" xfId="16987"/>
    <cellStyle name="Normal 22 5 2 2 3" xfId="14170"/>
    <cellStyle name="Normal 22 5 2 2 4" xfId="19685"/>
    <cellStyle name="Normal 22 5 2 2 5" xfId="11601"/>
    <cellStyle name="Normal 22 5 2 3" xfId="4747"/>
    <cellStyle name="Normal 22 5 2 3 2" xfId="9151"/>
    <cellStyle name="Normal 22 5 2 3 2 2" xfId="23252"/>
    <cellStyle name="Normal 22 5 2 3 2 3" xfId="17785"/>
    <cellStyle name="Normal 22 5 2 3 3" xfId="14171"/>
    <cellStyle name="Normal 22 5 2 3 4" xfId="19686"/>
    <cellStyle name="Normal 22 5 2 3 5" xfId="12396"/>
    <cellStyle name="Normal 22 5 2 4" xfId="7561"/>
    <cellStyle name="Normal 22 5 2 4 2" xfId="21668"/>
    <cellStyle name="Normal 22 5 2 4 3" xfId="16195"/>
    <cellStyle name="Normal 22 5 2 5" xfId="14169"/>
    <cellStyle name="Normal 22 5 2 6" xfId="19684"/>
    <cellStyle name="Normal 22 5 2 7" xfId="24172"/>
    <cellStyle name="Normal 22 5 2 8" xfId="10808"/>
    <cellStyle name="Normal 22 5 3" xfId="4748"/>
    <cellStyle name="Normal 22 5 3 2" xfId="4749"/>
    <cellStyle name="Normal 22 5 3 2 2" xfId="8613"/>
    <cellStyle name="Normal 22 5 3 2 2 2" xfId="22720"/>
    <cellStyle name="Normal 22 5 3 2 2 3" xfId="17247"/>
    <cellStyle name="Normal 22 5 3 2 3" xfId="14173"/>
    <cellStyle name="Normal 22 5 3 2 4" xfId="19688"/>
    <cellStyle name="Normal 22 5 3 2 5" xfId="11861"/>
    <cellStyle name="Normal 22 5 3 3" xfId="7821"/>
    <cellStyle name="Normal 22 5 3 3 2" xfId="21928"/>
    <cellStyle name="Normal 22 5 3 3 3" xfId="16455"/>
    <cellStyle name="Normal 22 5 3 4" xfId="14172"/>
    <cellStyle name="Normal 22 5 3 5" xfId="19687"/>
    <cellStyle name="Normal 22 5 3 6" xfId="11068"/>
    <cellStyle name="Normal 22 5 4" xfId="4750"/>
    <cellStyle name="Normal 22 5 4 2" xfId="6363"/>
    <cellStyle name="Normal 22 5 4 2 2" xfId="8799"/>
    <cellStyle name="Normal 22 5 4 2 2 2" xfId="22900"/>
    <cellStyle name="Normal 22 5 4 2 2 3" xfId="17433"/>
    <cellStyle name="Normal 22 5 4 2 3" xfId="15192"/>
    <cellStyle name="Normal 22 5 4 2 4" xfId="20686"/>
    <cellStyle name="Normal 22 5 4 2 5" xfId="12043"/>
    <cellStyle name="Normal 22 5 4 3" xfId="7209"/>
    <cellStyle name="Normal 22 5 4 3 2" xfId="21316"/>
    <cellStyle name="Normal 22 5 4 3 3" xfId="15843"/>
    <cellStyle name="Normal 22 5 4 4" xfId="14174"/>
    <cellStyle name="Normal 22 5 4 5" xfId="19689"/>
    <cellStyle name="Normal 22 5 4 6" xfId="10456"/>
    <cellStyle name="Normal 22 5 5" xfId="4751"/>
    <cellStyle name="Normal 22 5 5 2" xfId="8001"/>
    <cellStyle name="Normal 22 5 5 2 2" xfId="22108"/>
    <cellStyle name="Normal 22 5 5 2 3" xfId="16635"/>
    <cellStyle name="Normal 22 5 5 3" xfId="14175"/>
    <cellStyle name="Normal 22 5 5 4" xfId="19690"/>
    <cellStyle name="Normal 22 5 5 5" xfId="11248"/>
    <cellStyle name="Normal 22 5 6" xfId="4752"/>
    <cellStyle name="Normal 22 5 6 2" xfId="9416"/>
    <cellStyle name="Normal 22 5 6 2 2" xfId="23483"/>
    <cellStyle name="Normal 22 5 6 2 3" xfId="18035"/>
    <cellStyle name="Normal 22 5 6 3" xfId="14176"/>
    <cellStyle name="Normal 22 5 6 4" xfId="19691"/>
    <cellStyle name="Normal 22 5 6 5" xfId="12633"/>
    <cellStyle name="Normal 22 5 7" xfId="7026"/>
    <cellStyle name="Normal 22 5 7 2" xfId="21136"/>
    <cellStyle name="Normal 22 5 7 3" xfId="15663"/>
    <cellStyle name="Normal 22 5 8" xfId="9731"/>
    <cellStyle name="Normal 22 5 8 2" xfId="12839"/>
    <cellStyle name="Normal 22 5 9" xfId="9951"/>
    <cellStyle name="Normal 22 5 9 2" xfId="18390"/>
    <cellStyle name="Normal 22 6" xfId="4753"/>
    <cellStyle name="Normal 22 6 2" xfId="4754"/>
    <cellStyle name="Normal 22 6 2 2" xfId="8177"/>
    <cellStyle name="Normal 22 6 2 2 2" xfId="22284"/>
    <cellStyle name="Normal 22 6 2 2 3" xfId="16811"/>
    <cellStyle name="Normal 22 6 2 3" xfId="14178"/>
    <cellStyle name="Normal 22 6 2 4" xfId="19693"/>
    <cellStyle name="Normal 22 6 2 5" xfId="11424"/>
    <cellStyle name="Normal 22 6 3" xfId="4755"/>
    <cellStyle name="Normal 22 6 3 2" xfId="8975"/>
    <cellStyle name="Normal 22 6 3 2 2" xfId="23076"/>
    <cellStyle name="Normal 22 6 3 2 3" xfId="17609"/>
    <cellStyle name="Normal 22 6 3 3" xfId="14179"/>
    <cellStyle name="Normal 22 6 3 4" xfId="19694"/>
    <cellStyle name="Normal 22 6 3 5" xfId="12219"/>
    <cellStyle name="Normal 22 6 4" xfId="7385"/>
    <cellStyle name="Normal 22 6 4 2" xfId="21492"/>
    <cellStyle name="Normal 22 6 4 3" xfId="16019"/>
    <cellStyle name="Normal 22 6 5" xfId="14177"/>
    <cellStyle name="Normal 22 6 6" xfId="19692"/>
    <cellStyle name="Normal 22 6 7" xfId="10632"/>
    <cellStyle name="Normal 22 6 8" xfId="41944"/>
    <cellStyle name="Normal 22 7" xfId="4756"/>
    <cellStyle name="Normal 22 7 2" xfId="4757"/>
    <cellStyle name="Normal 22 7 2 2" xfId="8437"/>
    <cellStyle name="Normal 22 7 2 2 2" xfId="22544"/>
    <cellStyle name="Normal 22 7 2 2 3" xfId="17071"/>
    <cellStyle name="Normal 22 7 2 3" xfId="14181"/>
    <cellStyle name="Normal 22 7 2 4" xfId="19696"/>
    <cellStyle name="Normal 22 7 2 5" xfId="11685"/>
    <cellStyle name="Normal 22 7 3" xfId="7645"/>
    <cellStyle name="Normal 22 7 3 2" xfId="21752"/>
    <cellStyle name="Normal 22 7 3 3" xfId="16279"/>
    <cellStyle name="Normal 22 7 4" xfId="14180"/>
    <cellStyle name="Normal 22 7 5" xfId="19695"/>
    <cellStyle name="Normal 22 7 6" xfId="10892"/>
    <cellStyle name="Normal 22 7 7" xfId="41945"/>
    <cellStyle name="Normal 22 8" xfId="4758"/>
    <cellStyle name="Normal 22 8 2" xfId="6267"/>
    <cellStyle name="Normal 22 8 2 2" xfId="8703"/>
    <cellStyle name="Normal 22 8 2 2 2" xfId="22804"/>
    <cellStyle name="Normal 22 8 2 2 3" xfId="17337"/>
    <cellStyle name="Normal 22 8 2 3" xfId="15096"/>
    <cellStyle name="Normal 22 8 2 4" xfId="20590"/>
    <cellStyle name="Normal 22 8 2 5" xfId="11947"/>
    <cellStyle name="Normal 22 8 3" xfId="7113"/>
    <cellStyle name="Normal 22 8 3 2" xfId="21220"/>
    <cellStyle name="Normal 22 8 3 3" xfId="15747"/>
    <cellStyle name="Normal 22 8 4" xfId="14182"/>
    <cellStyle name="Normal 22 8 5" xfId="19697"/>
    <cellStyle name="Normal 22 8 6" xfId="10360"/>
    <cellStyle name="Normal 22 9" xfId="4759"/>
    <cellStyle name="Normal 22 9 2" xfId="7905"/>
    <cellStyle name="Normal 22 9 2 2" xfId="22012"/>
    <cellStyle name="Normal 22 9 2 3" xfId="16539"/>
    <cellStyle name="Normal 22 9 3" xfId="14183"/>
    <cellStyle name="Normal 22 9 4" xfId="19698"/>
    <cellStyle name="Normal 22 9 5" xfId="11152"/>
    <cellStyle name="Normal 220" xfId="24817"/>
    <cellStyle name="Normal 221" xfId="25529"/>
    <cellStyle name="Normal 222" xfId="25814"/>
    <cellStyle name="Normal 223" xfId="28363"/>
    <cellStyle name="Normal 224" xfId="28388"/>
    <cellStyle name="Normal 225" xfId="25079"/>
    <cellStyle name="Normal 226" xfId="26808"/>
    <cellStyle name="Normal 227" xfId="200"/>
    <cellStyle name="Normal 228" xfId="198"/>
    <cellStyle name="Normal 229" xfId="41214"/>
    <cellStyle name="Normal 23" xfId="281"/>
    <cellStyle name="Normal 23 10" xfId="6841"/>
    <cellStyle name="Normal 23 10 2" xfId="20971"/>
    <cellStyle name="Normal 23 10 3" xfId="15497"/>
    <cellStyle name="Normal 23 11" xfId="10105"/>
    <cellStyle name="Normal 23 2" xfId="1474"/>
    <cellStyle name="Normal 23 2 2" xfId="2131"/>
    <cellStyle name="Normal 23 2 2 10" xfId="10319"/>
    <cellStyle name="Normal 23 2 2 2" xfId="2947"/>
    <cellStyle name="Normal 23 2 2 2 2" xfId="4760"/>
    <cellStyle name="Normal 23 2 2 2 2 2" xfId="8656"/>
    <cellStyle name="Normal 23 2 2 2 2 2 2" xfId="22763"/>
    <cellStyle name="Normal 23 2 2 2 2 2 3" xfId="17290"/>
    <cellStyle name="Normal 23 2 2 2 2 3" xfId="14184"/>
    <cellStyle name="Normal 23 2 2 2 2 4" xfId="19699"/>
    <cellStyle name="Normal 23 2 2 2 2 5" xfId="11904"/>
    <cellStyle name="Normal 23 2 2 2 3" xfId="4761"/>
    <cellStyle name="Normal 23 2 2 2 4" xfId="7864"/>
    <cellStyle name="Normal 23 2 2 2 4 2" xfId="21971"/>
    <cellStyle name="Normal 23 2 2 2 4 3" xfId="16498"/>
    <cellStyle name="Normal 23 2 2 2 5" xfId="11111"/>
    <cellStyle name="Normal 23 2 2 3" xfId="4762"/>
    <cellStyle name="Normal 23 2 2 3 2" xfId="6595"/>
    <cellStyle name="Normal 23 2 2 3 2 2" xfId="9194"/>
    <cellStyle name="Normal 23 2 2 3 2 2 2" xfId="23295"/>
    <cellStyle name="Normal 23 2 2 3 2 2 3" xfId="17828"/>
    <cellStyle name="Normal 23 2 2 3 2 3" xfId="15380"/>
    <cellStyle name="Normal 23 2 2 3 2 4" xfId="20873"/>
    <cellStyle name="Normal 23 2 2 3 2 5" xfId="12439"/>
    <cellStyle name="Normal 23 2 2 3 3" xfId="7604"/>
    <cellStyle name="Normal 23 2 2 3 3 2" xfId="21711"/>
    <cellStyle name="Normal 23 2 2 3 3 3" xfId="16238"/>
    <cellStyle name="Normal 23 2 2 3 4" xfId="14185"/>
    <cellStyle name="Normal 23 2 2 3 5" xfId="19700"/>
    <cellStyle name="Normal 23 2 2 3 6" xfId="24150"/>
    <cellStyle name="Normal 23 2 2 3 7" xfId="10851"/>
    <cellStyle name="Normal 23 2 2 4" xfId="4763"/>
    <cellStyle name="Normal 23 2 2 4 2" xfId="8396"/>
    <cellStyle name="Normal 23 2 2 4 2 2" xfId="22503"/>
    <cellStyle name="Normal 23 2 2 4 2 3" xfId="17030"/>
    <cellStyle name="Normal 23 2 2 4 3" xfId="14186"/>
    <cellStyle name="Normal 23 2 2 4 4" xfId="19701"/>
    <cellStyle name="Normal 23 2 2 4 5" xfId="11644"/>
    <cellStyle name="Normal 23 2 2 5" xfId="4764"/>
    <cellStyle name="Normal 23 2 2 5 2" xfId="9393"/>
    <cellStyle name="Normal 23 2 2 5 2 2" xfId="23461"/>
    <cellStyle name="Normal 23 2 2 5 2 3" xfId="18013"/>
    <cellStyle name="Normal 23 2 2 5 3" xfId="14187"/>
    <cellStyle name="Normal 23 2 2 5 4" xfId="19702"/>
    <cellStyle name="Normal 23 2 2 5 5" xfId="12610"/>
    <cellStyle name="Normal 23 2 2 6" xfId="7070"/>
    <cellStyle name="Normal 23 2 2 6 2" xfId="21179"/>
    <cellStyle name="Normal 23 2 2 6 3" xfId="15706"/>
    <cellStyle name="Normal 23 2 2 7" xfId="9699"/>
    <cellStyle name="Normal 23 2 2 7 2" xfId="12817"/>
    <cellStyle name="Normal 23 2 2 8" xfId="9928"/>
    <cellStyle name="Normal 23 2 2 8 2" xfId="18368"/>
    <cellStyle name="Normal 23 2 2 9" xfId="23829"/>
    <cellStyle name="Normal 23 2 3" xfId="4765"/>
    <cellStyle name="Normal 23 2 3 2" xfId="4766"/>
    <cellStyle name="Normal 23 2 3 2 2" xfId="8220"/>
    <cellStyle name="Normal 23 2 3 2 2 2" xfId="22327"/>
    <cellStyle name="Normal 23 2 3 2 2 3" xfId="16854"/>
    <cellStyle name="Normal 23 2 3 2 3" xfId="14189"/>
    <cellStyle name="Normal 23 2 3 2 4" xfId="19704"/>
    <cellStyle name="Normal 23 2 3 2 5" xfId="11467"/>
    <cellStyle name="Normal 23 2 3 3" xfId="4767"/>
    <cellStyle name="Normal 23 2 3 3 2" xfId="9018"/>
    <cellStyle name="Normal 23 2 3 3 2 2" xfId="23119"/>
    <cellStyle name="Normal 23 2 3 3 2 3" xfId="17652"/>
    <cellStyle name="Normal 23 2 3 3 3" xfId="14190"/>
    <cellStyle name="Normal 23 2 3 3 4" xfId="19705"/>
    <cellStyle name="Normal 23 2 3 3 5" xfId="12262"/>
    <cellStyle name="Normal 23 2 3 4" xfId="7428"/>
    <cellStyle name="Normal 23 2 3 4 2" xfId="21535"/>
    <cellStyle name="Normal 23 2 3 4 3" xfId="16062"/>
    <cellStyle name="Normal 23 2 3 5" xfId="14188"/>
    <cellStyle name="Normal 23 2 3 6" xfId="19703"/>
    <cellStyle name="Normal 23 2 3 7" xfId="10675"/>
    <cellStyle name="Normal 23 2 4" xfId="4768"/>
    <cellStyle name="Normal 23 2 4 2" xfId="4769"/>
    <cellStyle name="Normal 23 2 4 2 2" xfId="8480"/>
    <cellStyle name="Normal 23 2 4 2 2 2" xfId="22587"/>
    <cellStyle name="Normal 23 2 4 2 2 3" xfId="17114"/>
    <cellStyle name="Normal 23 2 4 2 3" xfId="14192"/>
    <cellStyle name="Normal 23 2 4 2 4" xfId="19707"/>
    <cellStyle name="Normal 23 2 4 2 5" xfId="11728"/>
    <cellStyle name="Normal 23 2 4 3" xfId="7688"/>
    <cellStyle name="Normal 23 2 4 3 2" xfId="21795"/>
    <cellStyle name="Normal 23 2 4 3 3" xfId="16322"/>
    <cellStyle name="Normal 23 2 4 4" xfId="14191"/>
    <cellStyle name="Normal 23 2 4 5" xfId="19706"/>
    <cellStyle name="Normal 23 2 4 6" xfId="10935"/>
    <cellStyle name="Normal 23 2 5" xfId="4770"/>
    <cellStyle name="Normal 23 2 5 2" xfId="6406"/>
    <cellStyle name="Normal 23 2 5 2 2" xfId="8842"/>
    <cellStyle name="Normal 23 2 5 2 2 2" xfId="22943"/>
    <cellStyle name="Normal 23 2 5 2 2 3" xfId="17476"/>
    <cellStyle name="Normal 23 2 5 2 3" xfId="15235"/>
    <cellStyle name="Normal 23 2 5 2 4" xfId="20729"/>
    <cellStyle name="Normal 23 2 5 2 5" xfId="12086"/>
    <cellStyle name="Normal 23 2 5 3" xfId="7252"/>
    <cellStyle name="Normal 23 2 5 3 2" xfId="21359"/>
    <cellStyle name="Normal 23 2 5 3 3" xfId="15886"/>
    <cellStyle name="Normal 23 2 5 4" xfId="14193"/>
    <cellStyle name="Normal 23 2 5 5" xfId="19708"/>
    <cellStyle name="Normal 23 2 5 6" xfId="10499"/>
    <cellStyle name="Normal 23 2 6" xfId="4771"/>
    <cellStyle name="Normal 23 2 6 2" xfId="8044"/>
    <cellStyle name="Normal 23 2 6 2 2" xfId="22151"/>
    <cellStyle name="Normal 23 2 6 2 3" xfId="16678"/>
    <cellStyle name="Normal 23 2 6 3" xfId="14194"/>
    <cellStyle name="Normal 23 2 6 4" xfId="19709"/>
    <cellStyle name="Normal 23 2 6 5" xfId="11291"/>
    <cellStyle name="Normal 23 2 7" xfId="4772"/>
    <cellStyle name="Normal 23 2 8" xfId="6890"/>
    <cellStyle name="Normal 23 2 8 2" xfId="21003"/>
    <cellStyle name="Normal 23 2 8 3" xfId="15530"/>
    <cellStyle name="Normal 23 2 9" xfId="10141"/>
    <cellStyle name="Normal 23 3" xfId="1584"/>
    <cellStyle name="Normal 23 3 2" xfId="4773"/>
    <cellStyle name="Normal 23 3 2 2" xfId="9487"/>
    <cellStyle name="Normal 23 3 2 2 2" xfId="23534"/>
    <cellStyle name="Normal 23 3 2 2 3" xfId="18088"/>
    <cellStyle name="Normal 23 3 2 3" xfId="14195"/>
    <cellStyle name="Normal 23 3 2 4" xfId="19710"/>
    <cellStyle name="Normal 23 3 2 5" xfId="24223"/>
    <cellStyle name="Normal 23 3 2 6" xfId="12688"/>
    <cellStyle name="Normal 23 3 3" xfId="6129"/>
    <cellStyle name="Normal 23 3 3 2" xfId="41946"/>
    <cellStyle name="Normal 23 3 4" xfId="9789"/>
    <cellStyle name="Normal 23 3 4 2" xfId="12890"/>
    <cellStyle name="Normal 23 3 5" xfId="10002"/>
    <cellStyle name="Normal 23 3 5 2" xfId="18441"/>
    <cellStyle name="Normal 23 3 6" xfId="23732"/>
    <cellStyle name="Normal 23 3 7" xfId="3014"/>
    <cellStyle name="Normal 23 4" xfId="1019"/>
    <cellStyle name="Normal 23 4 2" xfId="4774"/>
    <cellStyle name="Normal 23 4 2 2" xfId="4775"/>
    <cellStyle name="Normal 23 4 2 2 2" xfId="8268"/>
    <cellStyle name="Normal 23 4 2 2 2 2" xfId="22375"/>
    <cellStyle name="Normal 23 4 2 2 2 3" xfId="16902"/>
    <cellStyle name="Normal 23 4 2 2 3" xfId="14197"/>
    <cellStyle name="Normal 23 4 2 2 4" xfId="19712"/>
    <cellStyle name="Normal 23 4 2 2 5" xfId="11515"/>
    <cellStyle name="Normal 23 4 2 3" xfId="4776"/>
    <cellStyle name="Normal 23 4 2 3 2" xfId="9066"/>
    <cellStyle name="Normal 23 4 2 3 2 2" xfId="23167"/>
    <cellStyle name="Normal 23 4 2 3 2 3" xfId="17700"/>
    <cellStyle name="Normal 23 4 2 3 3" xfId="14198"/>
    <cellStyle name="Normal 23 4 2 3 4" xfId="19713"/>
    <cellStyle name="Normal 23 4 2 3 5" xfId="12311"/>
    <cellStyle name="Normal 23 4 2 4" xfId="7476"/>
    <cellStyle name="Normal 23 4 2 4 2" xfId="21583"/>
    <cellStyle name="Normal 23 4 2 4 3" xfId="16110"/>
    <cellStyle name="Normal 23 4 2 5" xfId="14196"/>
    <cellStyle name="Normal 23 4 2 6" xfId="19711"/>
    <cellStyle name="Normal 23 4 2 7" xfId="10723"/>
    <cellStyle name="Normal 23 4 3" xfId="4777"/>
    <cellStyle name="Normal 23 4 3 2" xfId="4778"/>
    <cellStyle name="Normal 23 4 3 2 2" xfId="8528"/>
    <cellStyle name="Normal 23 4 3 2 2 2" xfId="22635"/>
    <cellStyle name="Normal 23 4 3 2 2 3" xfId="17162"/>
    <cellStyle name="Normal 23 4 3 2 3" xfId="14200"/>
    <cellStyle name="Normal 23 4 3 2 4" xfId="19715"/>
    <cellStyle name="Normal 23 4 3 2 5" xfId="11776"/>
    <cellStyle name="Normal 23 4 3 3" xfId="7736"/>
    <cellStyle name="Normal 23 4 3 3 2" xfId="21843"/>
    <cellStyle name="Normal 23 4 3 3 3" xfId="16370"/>
    <cellStyle name="Normal 23 4 3 4" xfId="14199"/>
    <cellStyle name="Normal 23 4 3 5" xfId="19714"/>
    <cellStyle name="Normal 23 4 3 6" xfId="10983"/>
    <cellStyle name="Normal 23 4 4" xfId="4779"/>
    <cellStyle name="Normal 23 4 4 2" xfId="6454"/>
    <cellStyle name="Normal 23 4 4 2 2" xfId="8890"/>
    <cellStyle name="Normal 23 4 4 2 2 2" xfId="22991"/>
    <cellStyle name="Normal 23 4 4 2 2 3" xfId="17524"/>
    <cellStyle name="Normal 23 4 4 2 3" xfId="15283"/>
    <cellStyle name="Normal 23 4 4 2 4" xfId="20777"/>
    <cellStyle name="Normal 23 4 4 2 5" xfId="12134"/>
    <cellStyle name="Normal 23 4 4 3" xfId="7300"/>
    <cellStyle name="Normal 23 4 4 3 2" xfId="21407"/>
    <cellStyle name="Normal 23 4 4 3 3" xfId="15934"/>
    <cellStyle name="Normal 23 4 4 4" xfId="14201"/>
    <cellStyle name="Normal 23 4 4 5" xfId="19716"/>
    <cellStyle name="Normal 23 4 4 6" xfId="10547"/>
    <cellStyle name="Normal 23 4 5" xfId="4780"/>
    <cellStyle name="Normal 23 4 5 2" xfId="8092"/>
    <cellStyle name="Normal 23 4 5 2 2" xfId="22199"/>
    <cellStyle name="Normal 23 4 5 2 3" xfId="16726"/>
    <cellStyle name="Normal 23 4 5 3" xfId="14202"/>
    <cellStyle name="Normal 23 4 5 4" xfId="19717"/>
    <cellStyle name="Normal 23 4 5 5" xfId="11339"/>
    <cellStyle name="Normal 23 4 6" xfId="4781"/>
    <cellStyle name="Normal 23 4 7" xfId="6941"/>
    <cellStyle name="Normal 23 4 7 2" xfId="21051"/>
    <cellStyle name="Normal 23 4 7 3" xfId="15578"/>
    <cellStyle name="Normal 23 4 8" xfId="10191"/>
    <cellStyle name="Normal 23 5" xfId="2595"/>
    <cellStyle name="Normal 23 5 10" xfId="23979"/>
    <cellStyle name="Normal 23 5 11" xfId="10287"/>
    <cellStyle name="Normal 23 5 2" xfId="4782"/>
    <cellStyle name="Normal 23 5 2 2" xfId="4783"/>
    <cellStyle name="Normal 23 5 2 2 2" xfId="8364"/>
    <cellStyle name="Normal 23 5 2 2 2 2" xfId="22471"/>
    <cellStyle name="Normal 23 5 2 2 2 3" xfId="16998"/>
    <cellStyle name="Normal 23 5 2 2 3" xfId="14204"/>
    <cellStyle name="Normal 23 5 2 2 4" xfId="19719"/>
    <cellStyle name="Normal 23 5 2 2 5" xfId="11612"/>
    <cellStyle name="Normal 23 5 2 3" xfId="4784"/>
    <cellStyle name="Normal 23 5 2 3 2" xfId="9162"/>
    <cellStyle name="Normal 23 5 2 3 2 2" xfId="23263"/>
    <cellStyle name="Normal 23 5 2 3 2 3" xfId="17796"/>
    <cellStyle name="Normal 23 5 2 3 3" xfId="14205"/>
    <cellStyle name="Normal 23 5 2 3 4" xfId="19720"/>
    <cellStyle name="Normal 23 5 2 3 5" xfId="12407"/>
    <cellStyle name="Normal 23 5 2 4" xfId="7572"/>
    <cellStyle name="Normal 23 5 2 4 2" xfId="21679"/>
    <cellStyle name="Normal 23 5 2 4 3" xfId="16206"/>
    <cellStyle name="Normal 23 5 2 5" xfId="14203"/>
    <cellStyle name="Normal 23 5 2 6" xfId="19718"/>
    <cellStyle name="Normal 23 5 2 7" xfId="24183"/>
    <cellStyle name="Normal 23 5 2 8" xfId="10819"/>
    <cellStyle name="Normal 23 5 3" xfId="4785"/>
    <cellStyle name="Normal 23 5 3 2" xfId="4786"/>
    <cellStyle name="Normal 23 5 3 2 2" xfId="8624"/>
    <cellStyle name="Normal 23 5 3 2 2 2" xfId="22731"/>
    <cellStyle name="Normal 23 5 3 2 2 3" xfId="17258"/>
    <cellStyle name="Normal 23 5 3 2 3" xfId="14207"/>
    <cellStyle name="Normal 23 5 3 2 4" xfId="19722"/>
    <cellStyle name="Normal 23 5 3 2 5" xfId="11872"/>
    <cellStyle name="Normal 23 5 3 3" xfId="7832"/>
    <cellStyle name="Normal 23 5 3 3 2" xfId="21939"/>
    <cellStyle name="Normal 23 5 3 3 3" xfId="16466"/>
    <cellStyle name="Normal 23 5 3 4" xfId="14206"/>
    <cellStyle name="Normal 23 5 3 5" xfId="19721"/>
    <cellStyle name="Normal 23 5 3 6" xfId="11079"/>
    <cellStyle name="Normal 23 5 4" xfId="4787"/>
    <cellStyle name="Normal 23 5 4 2" xfId="6374"/>
    <cellStyle name="Normal 23 5 4 2 2" xfId="8810"/>
    <cellStyle name="Normal 23 5 4 2 2 2" xfId="22911"/>
    <cellStyle name="Normal 23 5 4 2 2 3" xfId="17444"/>
    <cellStyle name="Normal 23 5 4 2 3" xfId="15203"/>
    <cellStyle name="Normal 23 5 4 2 4" xfId="20697"/>
    <cellStyle name="Normal 23 5 4 2 5" xfId="12054"/>
    <cellStyle name="Normal 23 5 4 3" xfId="7220"/>
    <cellStyle name="Normal 23 5 4 3 2" xfId="21327"/>
    <cellStyle name="Normal 23 5 4 3 3" xfId="15854"/>
    <cellStyle name="Normal 23 5 4 4" xfId="14208"/>
    <cellStyle name="Normal 23 5 4 5" xfId="19723"/>
    <cellStyle name="Normal 23 5 4 6" xfId="10467"/>
    <cellStyle name="Normal 23 5 5" xfId="4788"/>
    <cellStyle name="Normal 23 5 5 2" xfId="8012"/>
    <cellStyle name="Normal 23 5 5 2 2" xfId="22119"/>
    <cellStyle name="Normal 23 5 5 2 3" xfId="16646"/>
    <cellStyle name="Normal 23 5 5 3" xfId="14209"/>
    <cellStyle name="Normal 23 5 5 4" xfId="19724"/>
    <cellStyle name="Normal 23 5 5 5" xfId="11259"/>
    <cellStyle name="Normal 23 5 6" xfId="4789"/>
    <cellStyle name="Normal 23 5 6 2" xfId="9427"/>
    <cellStyle name="Normal 23 5 6 2 2" xfId="23494"/>
    <cellStyle name="Normal 23 5 6 2 3" xfId="18046"/>
    <cellStyle name="Normal 23 5 6 3" xfId="14210"/>
    <cellStyle name="Normal 23 5 6 4" xfId="19725"/>
    <cellStyle name="Normal 23 5 6 5" xfId="12644"/>
    <cellStyle name="Normal 23 5 7" xfId="7037"/>
    <cellStyle name="Normal 23 5 7 2" xfId="21147"/>
    <cellStyle name="Normal 23 5 7 3" xfId="15674"/>
    <cellStyle name="Normal 23 5 8" xfId="9742"/>
    <cellStyle name="Normal 23 5 8 2" xfId="12850"/>
    <cellStyle name="Normal 23 5 9" xfId="9962"/>
    <cellStyle name="Normal 23 5 9 2" xfId="18401"/>
    <cellStyle name="Normal 23 6" xfId="4790"/>
    <cellStyle name="Normal 23 6 2" xfId="4791"/>
    <cellStyle name="Normal 23 6 2 2" xfId="8188"/>
    <cellStyle name="Normal 23 6 2 2 2" xfId="22295"/>
    <cellStyle name="Normal 23 6 2 2 3" xfId="16822"/>
    <cellStyle name="Normal 23 6 2 3" xfId="14212"/>
    <cellStyle name="Normal 23 6 2 4" xfId="19727"/>
    <cellStyle name="Normal 23 6 2 5" xfId="11435"/>
    <cellStyle name="Normal 23 6 3" xfId="4792"/>
    <cellStyle name="Normal 23 6 3 2" xfId="8986"/>
    <cellStyle name="Normal 23 6 3 2 2" xfId="23087"/>
    <cellStyle name="Normal 23 6 3 2 3" xfId="17620"/>
    <cellStyle name="Normal 23 6 3 3" xfId="14213"/>
    <cellStyle name="Normal 23 6 3 4" xfId="19728"/>
    <cellStyle name="Normal 23 6 3 5" xfId="12230"/>
    <cellStyle name="Normal 23 6 4" xfId="7396"/>
    <cellStyle name="Normal 23 6 4 2" xfId="21503"/>
    <cellStyle name="Normal 23 6 4 3" xfId="16030"/>
    <cellStyle name="Normal 23 6 5" xfId="14211"/>
    <cellStyle name="Normal 23 6 6" xfId="19726"/>
    <cellStyle name="Normal 23 6 7" xfId="10643"/>
    <cellStyle name="Normal 23 6 8" xfId="41947"/>
    <cellStyle name="Normal 23 7" xfId="4793"/>
    <cellStyle name="Normal 23 7 2" xfId="4794"/>
    <cellStyle name="Normal 23 7 2 2" xfId="8448"/>
    <cellStyle name="Normal 23 7 2 2 2" xfId="22555"/>
    <cellStyle name="Normal 23 7 2 2 3" xfId="17082"/>
    <cellStyle name="Normal 23 7 2 3" xfId="14215"/>
    <cellStyle name="Normal 23 7 2 4" xfId="19730"/>
    <cellStyle name="Normal 23 7 2 5" xfId="11696"/>
    <cellStyle name="Normal 23 7 3" xfId="7656"/>
    <cellStyle name="Normal 23 7 3 2" xfId="21763"/>
    <cellStyle name="Normal 23 7 3 3" xfId="16290"/>
    <cellStyle name="Normal 23 7 4" xfId="14214"/>
    <cellStyle name="Normal 23 7 5" xfId="19729"/>
    <cellStyle name="Normal 23 7 6" xfId="10903"/>
    <cellStyle name="Normal 23 7 7" xfId="41948"/>
    <cellStyle name="Normal 23 8" xfId="4795"/>
    <cellStyle name="Normal 23 8 2" xfId="6278"/>
    <cellStyle name="Normal 23 8 2 2" xfId="8714"/>
    <cellStyle name="Normal 23 8 2 2 2" xfId="22815"/>
    <cellStyle name="Normal 23 8 2 2 3" xfId="17348"/>
    <cellStyle name="Normal 23 8 2 3" xfId="15107"/>
    <cellStyle name="Normal 23 8 2 4" xfId="20601"/>
    <cellStyle name="Normal 23 8 2 5" xfId="11958"/>
    <cellStyle name="Normal 23 8 3" xfId="7124"/>
    <cellStyle name="Normal 23 8 3 2" xfId="21231"/>
    <cellStyle name="Normal 23 8 3 3" xfId="15758"/>
    <cellStyle name="Normal 23 8 4" xfId="14216"/>
    <cellStyle name="Normal 23 8 5" xfId="19731"/>
    <cellStyle name="Normal 23 8 6" xfId="10371"/>
    <cellStyle name="Normal 23 9" xfId="4796"/>
    <cellStyle name="Normal 23 9 2" xfId="7916"/>
    <cellStyle name="Normal 23 9 2 2" xfId="22023"/>
    <cellStyle name="Normal 23 9 2 3" xfId="16550"/>
    <cellStyle name="Normal 23 9 3" xfId="14217"/>
    <cellStyle name="Normal 23 9 4" xfId="19732"/>
    <cellStyle name="Normal 23 9 5" xfId="11163"/>
    <cellStyle name="Normal 230" xfId="41222"/>
    <cellStyle name="Normal 231" xfId="43229"/>
    <cellStyle name="Normal 232" xfId="43261"/>
    <cellStyle name="Normal 233" xfId="43263"/>
    <cellStyle name="Normal 234" xfId="43266"/>
    <cellStyle name="Normal 235" xfId="43429"/>
    <cellStyle name="Normal 236" xfId="43819"/>
    <cellStyle name="Normal 237" xfId="43916"/>
    <cellStyle name="Normal 238" xfId="43825"/>
    <cellStyle name="Normal 239" xfId="44093"/>
    <cellStyle name="Normal 24" xfId="641"/>
    <cellStyle name="Normal 24 10" xfId="6851"/>
    <cellStyle name="Normal 24 10 2" xfId="20981"/>
    <cellStyle name="Normal 24 10 3" xfId="15507"/>
    <cellStyle name="Normal 24 11" xfId="10115"/>
    <cellStyle name="Normal 24 2" xfId="1475"/>
    <cellStyle name="Normal 24 2 2" xfId="2141"/>
    <cellStyle name="Normal 24 2 2 10" xfId="10329"/>
    <cellStyle name="Normal 24 2 2 2" xfId="2948"/>
    <cellStyle name="Normal 24 2 2 2 2" xfId="4797"/>
    <cellStyle name="Normal 24 2 2 2 2 2" xfId="8666"/>
    <cellStyle name="Normal 24 2 2 2 2 2 2" xfId="22773"/>
    <cellStyle name="Normal 24 2 2 2 2 2 3" xfId="17300"/>
    <cellStyle name="Normal 24 2 2 2 2 3" xfId="14218"/>
    <cellStyle name="Normal 24 2 2 2 2 4" xfId="19733"/>
    <cellStyle name="Normal 24 2 2 2 2 5" xfId="11914"/>
    <cellStyle name="Normal 24 2 2 2 3" xfId="4798"/>
    <cellStyle name="Normal 24 2 2 2 4" xfId="7874"/>
    <cellStyle name="Normal 24 2 2 2 4 2" xfId="21981"/>
    <cellStyle name="Normal 24 2 2 2 4 3" xfId="16508"/>
    <cellStyle name="Normal 24 2 2 2 5" xfId="11121"/>
    <cellStyle name="Normal 24 2 2 3" xfId="4799"/>
    <cellStyle name="Normal 24 2 2 3 2" xfId="6605"/>
    <cellStyle name="Normal 24 2 2 3 2 2" xfId="9204"/>
    <cellStyle name="Normal 24 2 2 3 2 2 2" xfId="23305"/>
    <cellStyle name="Normal 24 2 2 3 2 2 3" xfId="17838"/>
    <cellStyle name="Normal 24 2 2 3 2 3" xfId="15390"/>
    <cellStyle name="Normal 24 2 2 3 2 4" xfId="20883"/>
    <cellStyle name="Normal 24 2 2 3 2 5" xfId="12449"/>
    <cellStyle name="Normal 24 2 2 3 3" xfId="7614"/>
    <cellStyle name="Normal 24 2 2 3 3 2" xfId="21721"/>
    <cellStyle name="Normal 24 2 2 3 3 3" xfId="16248"/>
    <cellStyle name="Normal 24 2 2 3 4" xfId="14219"/>
    <cellStyle name="Normal 24 2 2 3 5" xfId="19734"/>
    <cellStyle name="Normal 24 2 2 3 6" xfId="24160"/>
    <cellStyle name="Normal 24 2 2 3 7" xfId="10861"/>
    <cellStyle name="Normal 24 2 2 4" xfId="4800"/>
    <cellStyle name="Normal 24 2 2 4 2" xfId="8406"/>
    <cellStyle name="Normal 24 2 2 4 2 2" xfId="22513"/>
    <cellStyle name="Normal 24 2 2 4 2 3" xfId="17040"/>
    <cellStyle name="Normal 24 2 2 4 3" xfId="14220"/>
    <cellStyle name="Normal 24 2 2 4 4" xfId="19735"/>
    <cellStyle name="Normal 24 2 2 4 5" xfId="11654"/>
    <cellStyle name="Normal 24 2 2 5" xfId="4801"/>
    <cellStyle name="Normal 24 2 2 5 2" xfId="9403"/>
    <cellStyle name="Normal 24 2 2 5 2 2" xfId="23471"/>
    <cellStyle name="Normal 24 2 2 5 2 3" xfId="18023"/>
    <cellStyle name="Normal 24 2 2 5 3" xfId="14221"/>
    <cellStyle name="Normal 24 2 2 5 4" xfId="19736"/>
    <cellStyle name="Normal 24 2 2 5 5" xfId="12620"/>
    <cellStyle name="Normal 24 2 2 6" xfId="7080"/>
    <cellStyle name="Normal 24 2 2 6 2" xfId="21189"/>
    <cellStyle name="Normal 24 2 2 6 3" xfId="15716"/>
    <cellStyle name="Normal 24 2 2 7" xfId="9709"/>
    <cellStyle name="Normal 24 2 2 7 2" xfId="12827"/>
    <cellStyle name="Normal 24 2 2 8" xfId="9938"/>
    <cellStyle name="Normal 24 2 2 8 2" xfId="18378"/>
    <cellStyle name="Normal 24 2 2 9" xfId="23834"/>
    <cellStyle name="Normal 24 2 3" xfId="4802"/>
    <cellStyle name="Normal 24 2 3 2" xfId="4803"/>
    <cellStyle name="Normal 24 2 3 2 2" xfId="8230"/>
    <cellStyle name="Normal 24 2 3 2 2 2" xfId="22337"/>
    <cellStyle name="Normal 24 2 3 2 2 3" xfId="16864"/>
    <cellStyle name="Normal 24 2 3 2 3" xfId="14223"/>
    <cellStyle name="Normal 24 2 3 2 4" xfId="19738"/>
    <cellStyle name="Normal 24 2 3 2 5" xfId="11477"/>
    <cellStyle name="Normal 24 2 3 3" xfId="4804"/>
    <cellStyle name="Normal 24 2 3 3 2" xfId="9028"/>
    <cellStyle name="Normal 24 2 3 3 2 2" xfId="23129"/>
    <cellStyle name="Normal 24 2 3 3 2 3" xfId="17662"/>
    <cellStyle name="Normal 24 2 3 3 3" xfId="14224"/>
    <cellStyle name="Normal 24 2 3 3 4" xfId="19739"/>
    <cellStyle name="Normal 24 2 3 3 5" xfId="12272"/>
    <cellStyle name="Normal 24 2 3 4" xfId="7438"/>
    <cellStyle name="Normal 24 2 3 4 2" xfId="21545"/>
    <cellStyle name="Normal 24 2 3 4 3" xfId="16072"/>
    <cellStyle name="Normal 24 2 3 5" xfId="14222"/>
    <cellStyle name="Normal 24 2 3 6" xfId="19737"/>
    <cellStyle name="Normal 24 2 3 7" xfId="10685"/>
    <cellStyle name="Normal 24 2 4" xfId="4805"/>
    <cellStyle name="Normal 24 2 4 2" xfId="4806"/>
    <cellStyle name="Normal 24 2 4 2 2" xfId="8490"/>
    <cellStyle name="Normal 24 2 4 2 2 2" xfId="22597"/>
    <cellStyle name="Normal 24 2 4 2 2 3" xfId="17124"/>
    <cellStyle name="Normal 24 2 4 2 3" xfId="14226"/>
    <cellStyle name="Normal 24 2 4 2 4" xfId="19741"/>
    <cellStyle name="Normal 24 2 4 2 5" xfId="11738"/>
    <cellStyle name="Normal 24 2 4 3" xfId="7698"/>
    <cellStyle name="Normal 24 2 4 3 2" xfId="21805"/>
    <cellStyle name="Normal 24 2 4 3 3" xfId="16332"/>
    <cellStyle name="Normal 24 2 4 4" xfId="14225"/>
    <cellStyle name="Normal 24 2 4 5" xfId="19740"/>
    <cellStyle name="Normal 24 2 4 6" xfId="10945"/>
    <cellStyle name="Normal 24 2 5" xfId="4807"/>
    <cellStyle name="Normal 24 2 5 2" xfId="6416"/>
    <cellStyle name="Normal 24 2 5 2 2" xfId="8852"/>
    <cellStyle name="Normal 24 2 5 2 2 2" xfId="22953"/>
    <cellStyle name="Normal 24 2 5 2 2 3" xfId="17486"/>
    <cellStyle name="Normal 24 2 5 2 3" xfId="15245"/>
    <cellStyle name="Normal 24 2 5 2 4" xfId="20739"/>
    <cellStyle name="Normal 24 2 5 2 5" xfId="12096"/>
    <cellStyle name="Normal 24 2 5 3" xfId="7262"/>
    <cellStyle name="Normal 24 2 5 3 2" xfId="21369"/>
    <cellStyle name="Normal 24 2 5 3 3" xfId="15896"/>
    <cellStyle name="Normal 24 2 5 4" xfId="14227"/>
    <cellStyle name="Normal 24 2 5 5" xfId="19742"/>
    <cellStyle name="Normal 24 2 5 6" xfId="10509"/>
    <cellStyle name="Normal 24 2 6" xfId="4808"/>
    <cellStyle name="Normal 24 2 6 2" xfId="8054"/>
    <cellStyle name="Normal 24 2 6 2 2" xfId="22161"/>
    <cellStyle name="Normal 24 2 6 2 3" xfId="16688"/>
    <cellStyle name="Normal 24 2 6 3" xfId="14228"/>
    <cellStyle name="Normal 24 2 6 4" xfId="19743"/>
    <cellStyle name="Normal 24 2 6 5" xfId="11301"/>
    <cellStyle name="Normal 24 2 7" xfId="4809"/>
    <cellStyle name="Normal 24 2 8" xfId="6900"/>
    <cellStyle name="Normal 24 2 8 2" xfId="21013"/>
    <cellStyle name="Normal 24 2 8 3" xfId="15540"/>
    <cellStyle name="Normal 24 2 9" xfId="10151"/>
    <cellStyle name="Normal 24 3" xfId="1594"/>
    <cellStyle name="Normal 24 3 2" xfId="4810"/>
    <cellStyle name="Normal 24 3 2 2" xfId="9497"/>
    <cellStyle name="Normal 24 3 2 2 2" xfId="23544"/>
    <cellStyle name="Normal 24 3 2 2 3" xfId="18098"/>
    <cellStyle name="Normal 24 3 2 3" xfId="14229"/>
    <cellStyle name="Normal 24 3 2 4" xfId="19744"/>
    <cellStyle name="Normal 24 3 2 5" xfId="24233"/>
    <cellStyle name="Normal 24 3 2 6" xfId="12698"/>
    <cellStyle name="Normal 24 3 3" xfId="6132"/>
    <cellStyle name="Normal 24 3 3 2" xfId="41949"/>
    <cellStyle name="Normal 24 3 4" xfId="9799"/>
    <cellStyle name="Normal 24 3 4 2" xfId="12900"/>
    <cellStyle name="Normal 24 3 5" xfId="10012"/>
    <cellStyle name="Normal 24 3 5 2" xfId="18451"/>
    <cellStyle name="Normal 24 3 6" xfId="23742"/>
    <cellStyle name="Normal 24 3 7" xfId="3024"/>
    <cellStyle name="Normal 24 4" xfId="1020"/>
    <cellStyle name="Normal 24 4 2" xfId="4811"/>
    <cellStyle name="Normal 24 4 2 2" xfId="4812"/>
    <cellStyle name="Normal 24 4 2 2 2" xfId="8278"/>
    <cellStyle name="Normal 24 4 2 2 2 2" xfId="22385"/>
    <cellStyle name="Normal 24 4 2 2 2 3" xfId="16912"/>
    <cellStyle name="Normal 24 4 2 2 3" xfId="14231"/>
    <cellStyle name="Normal 24 4 2 2 4" xfId="19746"/>
    <cellStyle name="Normal 24 4 2 2 5" xfId="11525"/>
    <cellStyle name="Normal 24 4 2 3" xfId="4813"/>
    <cellStyle name="Normal 24 4 2 3 2" xfId="9076"/>
    <cellStyle name="Normal 24 4 2 3 2 2" xfId="23177"/>
    <cellStyle name="Normal 24 4 2 3 2 3" xfId="17710"/>
    <cellStyle name="Normal 24 4 2 3 3" xfId="14232"/>
    <cellStyle name="Normal 24 4 2 3 4" xfId="19747"/>
    <cellStyle name="Normal 24 4 2 3 5" xfId="12321"/>
    <cellStyle name="Normal 24 4 2 4" xfId="7486"/>
    <cellStyle name="Normal 24 4 2 4 2" xfId="21593"/>
    <cellStyle name="Normal 24 4 2 4 3" xfId="16120"/>
    <cellStyle name="Normal 24 4 2 5" xfId="14230"/>
    <cellStyle name="Normal 24 4 2 6" xfId="19745"/>
    <cellStyle name="Normal 24 4 2 7" xfId="10733"/>
    <cellStyle name="Normal 24 4 3" xfId="4814"/>
    <cellStyle name="Normal 24 4 3 2" xfId="4815"/>
    <cellStyle name="Normal 24 4 3 2 2" xfId="8538"/>
    <cellStyle name="Normal 24 4 3 2 2 2" xfId="22645"/>
    <cellStyle name="Normal 24 4 3 2 2 3" xfId="17172"/>
    <cellStyle name="Normal 24 4 3 2 3" xfId="14234"/>
    <cellStyle name="Normal 24 4 3 2 4" xfId="19749"/>
    <cellStyle name="Normal 24 4 3 2 5" xfId="11786"/>
    <cellStyle name="Normal 24 4 3 3" xfId="7746"/>
    <cellStyle name="Normal 24 4 3 3 2" xfId="21853"/>
    <cellStyle name="Normal 24 4 3 3 3" xfId="16380"/>
    <cellStyle name="Normal 24 4 3 4" xfId="14233"/>
    <cellStyle name="Normal 24 4 3 5" xfId="19748"/>
    <cellStyle name="Normal 24 4 3 6" xfId="10993"/>
    <cellStyle name="Normal 24 4 4" xfId="4816"/>
    <cellStyle name="Normal 24 4 4 2" xfId="6464"/>
    <cellStyle name="Normal 24 4 4 2 2" xfId="8900"/>
    <cellStyle name="Normal 24 4 4 2 2 2" xfId="23001"/>
    <cellStyle name="Normal 24 4 4 2 2 3" xfId="17534"/>
    <cellStyle name="Normal 24 4 4 2 3" xfId="15293"/>
    <cellStyle name="Normal 24 4 4 2 4" xfId="20787"/>
    <cellStyle name="Normal 24 4 4 2 5" xfId="12144"/>
    <cellStyle name="Normal 24 4 4 3" xfId="7310"/>
    <cellStyle name="Normal 24 4 4 3 2" xfId="21417"/>
    <cellStyle name="Normal 24 4 4 3 3" xfId="15944"/>
    <cellStyle name="Normal 24 4 4 4" xfId="14235"/>
    <cellStyle name="Normal 24 4 4 5" xfId="19750"/>
    <cellStyle name="Normal 24 4 4 6" xfId="10557"/>
    <cellStyle name="Normal 24 4 5" xfId="4817"/>
    <cellStyle name="Normal 24 4 5 2" xfId="8102"/>
    <cellStyle name="Normal 24 4 5 2 2" xfId="22209"/>
    <cellStyle name="Normal 24 4 5 2 3" xfId="16736"/>
    <cellStyle name="Normal 24 4 5 3" xfId="14236"/>
    <cellStyle name="Normal 24 4 5 4" xfId="19751"/>
    <cellStyle name="Normal 24 4 5 5" xfId="11349"/>
    <cellStyle name="Normal 24 4 6" xfId="4818"/>
    <cellStyle name="Normal 24 4 7" xfId="6951"/>
    <cellStyle name="Normal 24 4 7 2" xfId="21061"/>
    <cellStyle name="Normal 24 4 7 3" xfId="15588"/>
    <cellStyle name="Normal 24 4 8" xfId="10201"/>
    <cellStyle name="Normal 24 5" xfId="2605"/>
    <cellStyle name="Normal 24 5 10" xfId="23989"/>
    <cellStyle name="Normal 24 5 11" xfId="10297"/>
    <cellStyle name="Normal 24 5 2" xfId="4819"/>
    <cellStyle name="Normal 24 5 2 2" xfId="4820"/>
    <cellStyle name="Normal 24 5 2 2 2" xfId="8374"/>
    <cellStyle name="Normal 24 5 2 2 2 2" xfId="22481"/>
    <cellStyle name="Normal 24 5 2 2 2 3" xfId="17008"/>
    <cellStyle name="Normal 24 5 2 2 3" xfId="14238"/>
    <cellStyle name="Normal 24 5 2 2 4" xfId="19753"/>
    <cellStyle name="Normal 24 5 2 2 5" xfId="11622"/>
    <cellStyle name="Normal 24 5 2 3" xfId="4821"/>
    <cellStyle name="Normal 24 5 2 3 2" xfId="9172"/>
    <cellStyle name="Normal 24 5 2 3 2 2" xfId="23273"/>
    <cellStyle name="Normal 24 5 2 3 2 3" xfId="17806"/>
    <cellStyle name="Normal 24 5 2 3 3" xfId="14239"/>
    <cellStyle name="Normal 24 5 2 3 4" xfId="19754"/>
    <cellStyle name="Normal 24 5 2 3 5" xfId="12417"/>
    <cellStyle name="Normal 24 5 2 4" xfId="7582"/>
    <cellStyle name="Normal 24 5 2 4 2" xfId="21689"/>
    <cellStyle name="Normal 24 5 2 4 3" xfId="16216"/>
    <cellStyle name="Normal 24 5 2 5" xfId="14237"/>
    <cellStyle name="Normal 24 5 2 6" xfId="19752"/>
    <cellStyle name="Normal 24 5 2 7" xfId="24193"/>
    <cellStyle name="Normal 24 5 2 8" xfId="10829"/>
    <cellStyle name="Normal 24 5 3" xfId="4822"/>
    <cellStyle name="Normal 24 5 3 2" xfId="4823"/>
    <cellStyle name="Normal 24 5 3 2 2" xfId="8634"/>
    <cellStyle name="Normal 24 5 3 2 2 2" xfId="22741"/>
    <cellStyle name="Normal 24 5 3 2 2 3" xfId="17268"/>
    <cellStyle name="Normal 24 5 3 2 3" xfId="14241"/>
    <cellStyle name="Normal 24 5 3 2 4" xfId="19756"/>
    <cellStyle name="Normal 24 5 3 2 5" xfId="11882"/>
    <cellStyle name="Normal 24 5 3 3" xfId="7842"/>
    <cellStyle name="Normal 24 5 3 3 2" xfId="21949"/>
    <cellStyle name="Normal 24 5 3 3 3" xfId="16476"/>
    <cellStyle name="Normal 24 5 3 4" xfId="14240"/>
    <cellStyle name="Normal 24 5 3 5" xfId="19755"/>
    <cellStyle name="Normal 24 5 3 6" xfId="11089"/>
    <cellStyle name="Normal 24 5 4" xfId="4824"/>
    <cellStyle name="Normal 24 5 4 2" xfId="6384"/>
    <cellStyle name="Normal 24 5 4 2 2" xfId="8820"/>
    <cellStyle name="Normal 24 5 4 2 2 2" xfId="22921"/>
    <cellStyle name="Normal 24 5 4 2 2 3" xfId="17454"/>
    <cellStyle name="Normal 24 5 4 2 3" xfId="15213"/>
    <cellStyle name="Normal 24 5 4 2 4" xfId="20707"/>
    <cellStyle name="Normal 24 5 4 2 5" xfId="12064"/>
    <cellStyle name="Normal 24 5 4 3" xfId="7230"/>
    <cellStyle name="Normal 24 5 4 3 2" xfId="21337"/>
    <cellStyle name="Normal 24 5 4 3 3" xfId="15864"/>
    <cellStyle name="Normal 24 5 4 4" xfId="14242"/>
    <cellStyle name="Normal 24 5 4 5" xfId="19757"/>
    <cellStyle name="Normal 24 5 4 6" xfId="10477"/>
    <cellStyle name="Normal 24 5 5" xfId="4825"/>
    <cellStyle name="Normal 24 5 5 2" xfId="8022"/>
    <cellStyle name="Normal 24 5 5 2 2" xfId="22129"/>
    <cellStyle name="Normal 24 5 5 2 3" xfId="16656"/>
    <cellStyle name="Normal 24 5 5 3" xfId="14243"/>
    <cellStyle name="Normal 24 5 5 4" xfId="19758"/>
    <cellStyle name="Normal 24 5 5 5" xfId="11269"/>
    <cellStyle name="Normal 24 5 6" xfId="4826"/>
    <cellStyle name="Normal 24 5 6 2" xfId="9437"/>
    <cellStyle name="Normal 24 5 6 2 2" xfId="23504"/>
    <cellStyle name="Normal 24 5 6 2 3" xfId="18056"/>
    <cellStyle name="Normal 24 5 6 3" xfId="14244"/>
    <cellStyle name="Normal 24 5 6 4" xfId="19759"/>
    <cellStyle name="Normal 24 5 6 5" xfId="12654"/>
    <cellStyle name="Normal 24 5 7" xfId="7047"/>
    <cellStyle name="Normal 24 5 7 2" xfId="21157"/>
    <cellStyle name="Normal 24 5 7 3" xfId="15684"/>
    <cellStyle name="Normal 24 5 8" xfId="9752"/>
    <cellStyle name="Normal 24 5 8 2" xfId="12860"/>
    <cellStyle name="Normal 24 5 9" xfId="9972"/>
    <cellStyle name="Normal 24 5 9 2" xfId="18411"/>
    <cellStyle name="Normal 24 6" xfId="4827"/>
    <cellStyle name="Normal 24 6 2" xfId="4828"/>
    <cellStyle name="Normal 24 6 2 2" xfId="8198"/>
    <cellStyle name="Normal 24 6 2 2 2" xfId="22305"/>
    <cellStyle name="Normal 24 6 2 2 3" xfId="16832"/>
    <cellStyle name="Normal 24 6 2 3" xfId="14246"/>
    <cellStyle name="Normal 24 6 2 4" xfId="19761"/>
    <cellStyle name="Normal 24 6 2 5" xfId="11445"/>
    <cellStyle name="Normal 24 6 3" xfId="4829"/>
    <cellStyle name="Normal 24 6 3 2" xfId="8996"/>
    <cellStyle name="Normal 24 6 3 2 2" xfId="23097"/>
    <cellStyle name="Normal 24 6 3 2 3" xfId="17630"/>
    <cellStyle name="Normal 24 6 3 3" xfId="14247"/>
    <cellStyle name="Normal 24 6 3 4" xfId="19762"/>
    <cellStyle name="Normal 24 6 3 5" xfId="12240"/>
    <cellStyle name="Normal 24 6 4" xfId="7406"/>
    <cellStyle name="Normal 24 6 4 2" xfId="21513"/>
    <cellStyle name="Normal 24 6 4 3" xfId="16040"/>
    <cellStyle name="Normal 24 6 5" xfId="14245"/>
    <cellStyle name="Normal 24 6 6" xfId="19760"/>
    <cellStyle name="Normal 24 6 7" xfId="10653"/>
    <cellStyle name="Normal 24 6 8" xfId="41950"/>
    <cellStyle name="Normal 24 7" xfId="4830"/>
    <cellStyle name="Normal 24 7 2" xfId="4831"/>
    <cellStyle name="Normal 24 7 2 2" xfId="8458"/>
    <cellStyle name="Normal 24 7 2 2 2" xfId="22565"/>
    <cellStyle name="Normal 24 7 2 2 3" xfId="17092"/>
    <cellStyle name="Normal 24 7 2 3" xfId="14249"/>
    <cellStyle name="Normal 24 7 2 4" xfId="19764"/>
    <cellStyle name="Normal 24 7 2 5" xfId="11706"/>
    <cellStyle name="Normal 24 7 3" xfId="7666"/>
    <cellStyle name="Normal 24 7 3 2" xfId="21773"/>
    <cellStyle name="Normal 24 7 3 3" xfId="16300"/>
    <cellStyle name="Normal 24 7 4" xfId="14248"/>
    <cellStyle name="Normal 24 7 5" xfId="19763"/>
    <cellStyle name="Normal 24 7 6" xfId="10913"/>
    <cellStyle name="Normal 24 7 7" xfId="41951"/>
    <cellStyle name="Normal 24 8" xfId="4832"/>
    <cellStyle name="Normal 24 8 2" xfId="6288"/>
    <cellStyle name="Normal 24 8 2 2" xfId="8724"/>
    <cellStyle name="Normal 24 8 2 2 2" xfId="22825"/>
    <cellStyle name="Normal 24 8 2 2 3" xfId="17358"/>
    <cellStyle name="Normal 24 8 2 3" xfId="15117"/>
    <cellStyle name="Normal 24 8 2 4" xfId="20611"/>
    <cellStyle name="Normal 24 8 2 5" xfId="11968"/>
    <cellStyle name="Normal 24 8 3" xfId="7134"/>
    <cellStyle name="Normal 24 8 3 2" xfId="21241"/>
    <cellStyle name="Normal 24 8 3 3" xfId="15768"/>
    <cellStyle name="Normal 24 8 4" xfId="14250"/>
    <cellStyle name="Normal 24 8 5" xfId="19765"/>
    <cellStyle name="Normal 24 8 6" xfId="10381"/>
    <cellStyle name="Normal 24 9" xfId="4833"/>
    <cellStyle name="Normal 24 9 2" xfId="7926"/>
    <cellStyle name="Normal 24 9 2 2" xfId="22033"/>
    <cellStyle name="Normal 24 9 2 3" xfId="16560"/>
    <cellStyle name="Normal 24 9 3" xfId="14251"/>
    <cellStyle name="Normal 24 9 4" xfId="19766"/>
    <cellStyle name="Normal 24 9 5" xfId="11173"/>
    <cellStyle name="Normal 240" xfId="44097"/>
    <cellStyle name="Normal 241" xfId="44095"/>
    <cellStyle name="Normal 242" xfId="44115"/>
    <cellStyle name="Normal 243" xfId="44100"/>
    <cellStyle name="Normal 244" xfId="44114"/>
    <cellStyle name="Normal 245" xfId="44119"/>
    <cellStyle name="Normal 246" xfId="44117"/>
    <cellStyle name="Normal 247" xfId="44121"/>
    <cellStyle name="Normal 248" xfId="44103"/>
    <cellStyle name="Normal 249" xfId="44116"/>
    <cellStyle name="Normal 25" xfId="638"/>
    <cellStyle name="Normal 25 10" xfId="6838"/>
    <cellStyle name="Normal 25 10 2" xfId="20968"/>
    <cellStyle name="Normal 25 10 3" xfId="15494"/>
    <cellStyle name="Normal 25 11" xfId="10102"/>
    <cellStyle name="Normal 25 2" xfId="1476"/>
    <cellStyle name="Normal 25 2 2" xfId="2128"/>
    <cellStyle name="Normal 25 2 2 10" xfId="10316"/>
    <cellStyle name="Normal 25 2 2 2" xfId="2949"/>
    <cellStyle name="Normal 25 2 2 2 2" xfId="4834"/>
    <cellStyle name="Normal 25 2 2 2 2 2" xfId="8653"/>
    <cellStyle name="Normal 25 2 2 2 2 2 2" xfId="22760"/>
    <cellStyle name="Normal 25 2 2 2 2 2 3" xfId="17287"/>
    <cellStyle name="Normal 25 2 2 2 2 3" xfId="14252"/>
    <cellStyle name="Normal 25 2 2 2 2 4" xfId="19767"/>
    <cellStyle name="Normal 25 2 2 2 2 5" xfId="11901"/>
    <cellStyle name="Normal 25 2 2 2 3" xfId="4835"/>
    <cellStyle name="Normal 25 2 2 2 4" xfId="7861"/>
    <cellStyle name="Normal 25 2 2 2 4 2" xfId="21968"/>
    <cellStyle name="Normal 25 2 2 2 4 3" xfId="16495"/>
    <cellStyle name="Normal 25 2 2 2 5" xfId="11108"/>
    <cellStyle name="Normal 25 2 2 3" xfId="4836"/>
    <cellStyle name="Normal 25 2 2 3 2" xfId="6592"/>
    <cellStyle name="Normal 25 2 2 3 2 2" xfId="9191"/>
    <cellStyle name="Normal 25 2 2 3 2 2 2" xfId="23292"/>
    <cellStyle name="Normal 25 2 2 3 2 2 3" xfId="17825"/>
    <cellStyle name="Normal 25 2 2 3 2 3" xfId="15377"/>
    <cellStyle name="Normal 25 2 2 3 2 4" xfId="20870"/>
    <cellStyle name="Normal 25 2 2 3 2 5" xfId="12436"/>
    <cellStyle name="Normal 25 2 2 3 3" xfId="7601"/>
    <cellStyle name="Normal 25 2 2 3 3 2" xfId="21708"/>
    <cellStyle name="Normal 25 2 2 3 3 3" xfId="16235"/>
    <cellStyle name="Normal 25 2 2 3 4" xfId="14253"/>
    <cellStyle name="Normal 25 2 2 3 5" xfId="19768"/>
    <cellStyle name="Normal 25 2 2 3 6" xfId="24147"/>
    <cellStyle name="Normal 25 2 2 3 7" xfId="10848"/>
    <cellStyle name="Normal 25 2 2 4" xfId="4837"/>
    <cellStyle name="Normal 25 2 2 4 2" xfId="8393"/>
    <cellStyle name="Normal 25 2 2 4 2 2" xfId="22500"/>
    <cellStyle name="Normal 25 2 2 4 2 3" xfId="17027"/>
    <cellStyle name="Normal 25 2 2 4 3" xfId="14254"/>
    <cellStyle name="Normal 25 2 2 4 4" xfId="19769"/>
    <cellStyle name="Normal 25 2 2 4 5" xfId="11641"/>
    <cellStyle name="Normal 25 2 2 5" xfId="4838"/>
    <cellStyle name="Normal 25 2 2 5 2" xfId="9390"/>
    <cellStyle name="Normal 25 2 2 5 2 2" xfId="23458"/>
    <cellStyle name="Normal 25 2 2 5 2 3" xfId="18010"/>
    <cellStyle name="Normal 25 2 2 5 3" xfId="14255"/>
    <cellStyle name="Normal 25 2 2 5 4" xfId="19770"/>
    <cellStyle name="Normal 25 2 2 5 5" xfId="12607"/>
    <cellStyle name="Normal 25 2 2 6" xfId="7067"/>
    <cellStyle name="Normal 25 2 2 6 2" xfId="21176"/>
    <cellStyle name="Normal 25 2 2 6 3" xfId="15703"/>
    <cellStyle name="Normal 25 2 2 7" xfId="9696"/>
    <cellStyle name="Normal 25 2 2 7 2" xfId="12814"/>
    <cellStyle name="Normal 25 2 2 8" xfId="9925"/>
    <cellStyle name="Normal 25 2 2 8 2" xfId="18365"/>
    <cellStyle name="Normal 25 2 2 9" xfId="23828"/>
    <cellStyle name="Normal 25 2 3" xfId="4839"/>
    <cellStyle name="Normal 25 2 3 2" xfId="4840"/>
    <cellStyle name="Normal 25 2 3 2 2" xfId="8217"/>
    <cellStyle name="Normal 25 2 3 2 2 2" xfId="22324"/>
    <cellStyle name="Normal 25 2 3 2 2 3" xfId="16851"/>
    <cellStyle name="Normal 25 2 3 2 3" xfId="14257"/>
    <cellStyle name="Normal 25 2 3 2 4" xfId="19772"/>
    <cellStyle name="Normal 25 2 3 2 5" xfId="11464"/>
    <cellStyle name="Normal 25 2 3 3" xfId="4841"/>
    <cellStyle name="Normal 25 2 3 3 2" xfId="9015"/>
    <cellStyle name="Normal 25 2 3 3 2 2" xfId="23116"/>
    <cellStyle name="Normal 25 2 3 3 2 3" xfId="17649"/>
    <cellStyle name="Normal 25 2 3 3 3" xfId="14258"/>
    <cellStyle name="Normal 25 2 3 3 4" xfId="19773"/>
    <cellStyle name="Normal 25 2 3 3 5" xfId="12259"/>
    <cellStyle name="Normal 25 2 3 4" xfId="7425"/>
    <cellStyle name="Normal 25 2 3 4 2" xfId="21532"/>
    <cellStyle name="Normal 25 2 3 4 3" xfId="16059"/>
    <cellStyle name="Normal 25 2 3 5" xfId="14256"/>
    <cellStyle name="Normal 25 2 3 6" xfId="19771"/>
    <cellStyle name="Normal 25 2 3 7" xfId="10672"/>
    <cellStyle name="Normal 25 2 4" xfId="4842"/>
    <cellStyle name="Normal 25 2 4 2" xfId="4843"/>
    <cellStyle name="Normal 25 2 4 2 2" xfId="8477"/>
    <cellStyle name="Normal 25 2 4 2 2 2" xfId="22584"/>
    <cellStyle name="Normal 25 2 4 2 2 3" xfId="17111"/>
    <cellStyle name="Normal 25 2 4 2 3" xfId="14260"/>
    <cellStyle name="Normal 25 2 4 2 4" xfId="19775"/>
    <cellStyle name="Normal 25 2 4 2 5" xfId="11725"/>
    <cellStyle name="Normal 25 2 4 3" xfId="7685"/>
    <cellStyle name="Normal 25 2 4 3 2" xfId="21792"/>
    <cellStyle name="Normal 25 2 4 3 3" xfId="16319"/>
    <cellStyle name="Normal 25 2 4 4" xfId="14259"/>
    <cellStyle name="Normal 25 2 4 5" xfId="19774"/>
    <cellStyle name="Normal 25 2 4 6" xfId="10932"/>
    <cellStyle name="Normal 25 2 5" xfId="4844"/>
    <cellStyle name="Normal 25 2 5 2" xfId="6403"/>
    <cellStyle name="Normal 25 2 5 2 2" xfId="8839"/>
    <cellStyle name="Normal 25 2 5 2 2 2" xfId="22940"/>
    <cellStyle name="Normal 25 2 5 2 2 3" xfId="17473"/>
    <cellStyle name="Normal 25 2 5 2 3" xfId="15232"/>
    <cellStyle name="Normal 25 2 5 2 4" xfId="20726"/>
    <cellStyle name="Normal 25 2 5 2 5" xfId="12083"/>
    <cellStyle name="Normal 25 2 5 3" xfId="7249"/>
    <cellStyle name="Normal 25 2 5 3 2" xfId="21356"/>
    <cellStyle name="Normal 25 2 5 3 3" xfId="15883"/>
    <cellStyle name="Normal 25 2 5 4" xfId="14261"/>
    <cellStyle name="Normal 25 2 5 5" xfId="19776"/>
    <cellStyle name="Normal 25 2 5 6" xfId="10496"/>
    <cellStyle name="Normal 25 2 6" xfId="4845"/>
    <cellStyle name="Normal 25 2 6 2" xfId="8041"/>
    <cellStyle name="Normal 25 2 6 2 2" xfId="22148"/>
    <cellStyle name="Normal 25 2 6 2 3" xfId="16675"/>
    <cellStyle name="Normal 25 2 6 3" xfId="14262"/>
    <cellStyle name="Normal 25 2 6 4" xfId="19777"/>
    <cellStyle name="Normal 25 2 6 5" xfId="11288"/>
    <cellStyle name="Normal 25 2 7" xfId="4846"/>
    <cellStyle name="Normal 25 2 8" xfId="6887"/>
    <cellStyle name="Normal 25 2 8 2" xfId="21000"/>
    <cellStyle name="Normal 25 2 8 3" xfId="15527"/>
    <cellStyle name="Normal 25 2 9" xfId="10138"/>
    <cellStyle name="Normal 25 3" xfId="1581"/>
    <cellStyle name="Normal 25 3 2" xfId="4847"/>
    <cellStyle name="Normal 25 3 2 2" xfId="9484"/>
    <cellStyle name="Normal 25 3 2 2 2" xfId="23531"/>
    <cellStyle name="Normal 25 3 2 2 3" xfId="18085"/>
    <cellStyle name="Normal 25 3 2 3" xfId="14263"/>
    <cellStyle name="Normal 25 3 2 4" xfId="19778"/>
    <cellStyle name="Normal 25 3 2 5" xfId="24220"/>
    <cellStyle name="Normal 25 3 2 6" xfId="12685"/>
    <cellStyle name="Normal 25 3 3" xfId="6133"/>
    <cellStyle name="Normal 25 3 3 2" xfId="41952"/>
    <cellStyle name="Normal 25 3 4" xfId="9786"/>
    <cellStyle name="Normal 25 3 4 2" xfId="12887"/>
    <cellStyle name="Normal 25 3 5" xfId="9999"/>
    <cellStyle name="Normal 25 3 5 2" xfId="18438"/>
    <cellStyle name="Normal 25 3 6" xfId="23729"/>
    <cellStyle name="Normal 25 3 7" xfId="3011"/>
    <cellStyle name="Normal 25 4" xfId="1021"/>
    <cellStyle name="Normal 25 4 2" xfId="4848"/>
    <cellStyle name="Normal 25 4 2 2" xfId="4849"/>
    <cellStyle name="Normal 25 4 2 2 2" xfId="8265"/>
    <cellStyle name="Normal 25 4 2 2 2 2" xfId="22372"/>
    <cellStyle name="Normal 25 4 2 2 2 3" xfId="16899"/>
    <cellStyle name="Normal 25 4 2 2 3" xfId="14265"/>
    <cellStyle name="Normal 25 4 2 2 4" xfId="19780"/>
    <cellStyle name="Normal 25 4 2 2 5" xfId="11512"/>
    <cellStyle name="Normal 25 4 2 3" xfId="4850"/>
    <cellStyle name="Normal 25 4 2 3 2" xfId="9063"/>
    <cellStyle name="Normal 25 4 2 3 2 2" xfId="23164"/>
    <cellStyle name="Normal 25 4 2 3 2 3" xfId="17697"/>
    <cellStyle name="Normal 25 4 2 3 3" xfId="14266"/>
    <cellStyle name="Normal 25 4 2 3 4" xfId="19781"/>
    <cellStyle name="Normal 25 4 2 3 5" xfId="12308"/>
    <cellStyle name="Normal 25 4 2 4" xfId="7473"/>
    <cellStyle name="Normal 25 4 2 4 2" xfId="21580"/>
    <cellStyle name="Normal 25 4 2 4 3" xfId="16107"/>
    <cellStyle name="Normal 25 4 2 5" xfId="14264"/>
    <cellStyle name="Normal 25 4 2 6" xfId="19779"/>
    <cellStyle name="Normal 25 4 2 7" xfId="10720"/>
    <cellStyle name="Normal 25 4 3" xfId="4851"/>
    <cellStyle name="Normal 25 4 3 2" xfId="4852"/>
    <cellStyle name="Normal 25 4 3 2 2" xfId="8525"/>
    <cellStyle name="Normal 25 4 3 2 2 2" xfId="22632"/>
    <cellStyle name="Normal 25 4 3 2 2 3" xfId="17159"/>
    <cellStyle name="Normal 25 4 3 2 3" xfId="14268"/>
    <cellStyle name="Normal 25 4 3 2 4" xfId="19783"/>
    <cellStyle name="Normal 25 4 3 2 5" xfId="11773"/>
    <cellStyle name="Normal 25 4 3 3" xfId="7733"/>
    <cellStyle name="Normal 25 4 3 3 2" xfId="21840"/>
    <cellStyle name="Normal 25 4 3 3 3" xfId="16367"/>
    <cellStyle name="Normal 25 4 3 4" xfId="14267"/>
    <cellStyle name="Normal 25 4 3 5" xfId="19782"/>
    <cellStyle name="Normal 25 4 3 6" xfId="10980"/>
    <cellStyle name="Normal 25 4 4" xfId="4853"/>
    <cellStyle name="Normal 25 4 4 2" xfId="6451"/>
    <cellStyle name="Normal 25 4 4 2 2" xfId="8887"/>
    <cellStyle name="Normal 25 4 4 2 2 2" xfId="22988"/>
    <cellStyle name="Normal 25 4 4 2 2 3" xfId="17521"/>
    <cellStyle name="Normal 25 4 4 2 3" xfId="15280"/>
    <cellStyle name="Normal 25 4 4 2 4" xfId="20774"/>
    <cellStyle name="Normal 25 4 4 2 5" xfId="12131"/>
    <cellStyle name="Normal 25 4 4 3" xfId="7297"/>
    <cellStyle name="Normal 25 4 4 3 2" xfId="21404"/>
    <cellStyle name="Normal 25 4 4 3 3" xfId="15931"/>
    <cellStyle name="Normal 25 4 4 4" xfId="14269"/>
    <cellStyle name="Normal 25 4 4 5" xfId="19784"/>
    <cellStyle name="Normal 25 4 4 6" xfId="10544"/>
    <cellStyle name="Normal 25 4 5" xfId="4854"/>
    <cellStyle name="Normal 25 4 5 2" xfId="8089"/>
    <cellStyle name="Normal 25 4 5 2 2" xfId="22196"/>
    <cellStyle name="Normal 25 4 5 2 3" xfId="16723"/>
    <cellStyle name="Normal 25 4 5 3" xfId="14270"/>
    <cellStyle name="Normal 25 4 5 4" xfId="19785"/>
    <cellStyle name="Normal 25 4 5 5" xfId="11336"/>
    <cellStyle name="Normal 25 4 6" xfId="4855"/>
    <cellStyle name="Normal 25 4 7" xfId="6938"/>
    <cellStyle name="Normal 25 4 7 2" xfId="21048"/>
    <cellStyle name="Normal 25 4 7 3" xfId="15575"/>
    <cellStyle name="Normal 25 4 8" xfId="10188"/>
    <cellStyle name="Normal 25 5" xfId="2592"/>
    <cellStyle name="Normal 25 5 10" xfId="23976"/>
    <cellStyle name="Normal 25 5 11" xfId="10284"/>
    <cellStyle name="Normal 25 5 2" xfId="4856"/>
    <cellStyle name="Normal 25 5 2 2" xfId="4857"/>
    <cellStyle name="Normal 25 5 2 2 2" xfId="8361"/>
    <cellStyle name="Normal 25 5 2 2 2 2" xfId="22468"/>
    <cellStyle name="Normal 25 5 2 2 2 3" xfId="16995"/>
    <cellStyle name="Normal 25 5 2 2 3" xfId="14272"/>
    <cellStyle name="Normal 25 5 2 2 4" xfId="19787"/>
    <cellStyle name="Normal 25 5 2 2 5" xfId="11609"/>
    <cellStyle name="Normal 25 5 2 3" xfId="4858"/>
    <cellStyle name="Normal 25 5 2 3 2" xfId="9159"/>
    <cellStyle name="Normal 25 5 2 3 2 2" xfId="23260"/>
    <cellStyle name="Normal 25 5 2 3 2 3" xfId="17793"/>
    <cellStyle name="Normal 25 5 2 3 3" xfId="14273"/>
    <cellStyle name="Normal 25 5 2 3 4" xfId="19788"/>
    <cellStyle name="Normal 25 5 2 3 5" xfId="12404"/>
    <cellStyle name="Normal 25 5 2 4" xfId="7569"/>
    <cellStyle name="Normal 25 5 2 4 2" xfId="21676"/>
    <cellStyle name="Normal 25 5 2 4 3" xfId="16203"/>
    <cellStyle name="Normal 25 5 2 5" xfId="14271"/>
    <cellStyle name="Normal 25 5 2 6" xfId="19786"/>
    <cellStyle name="Normal 25 5 2 7" xfId="24180"/>
    <cellStyle name="Normal 25 5 2 8" xfId="10816"/>
    <cellStyle name="Normal 25 5 3" xfId="4859"/>
    <cellStyle name="Normal 25 5 3 2" xfId="4860"/>
    <cellStyle name="Normal 25 5 3 2 2" xfId="8621"/>
    <cellStyle name="Normal 25 5 3 2 2 2" xfId="22728"/>
    <cellStyle name="Normal 25 5 3 2 2 3" xfId="17255"/>
    <cellStyle name="Normal 25 5 3 2 3" xfId="14275"/>
    <cellStyle name="Normal 25 5 3 2 4" xfId="19790"/>
    <cellStyle name="Normal 25 5 3 2 5" xfId="11869"/>
    <cellStyle name="Normal 25 5 3 3" xfId="7829"/>
    <cellStyle name="Normal 25 5 3 3 2" xfId="21936"/>
    <cellStyle name="Normal 25 5 3 3 3" xfId="16463"/>
    <cellStyle name="Normal 25 5 3 4" xfId="14274"/>
    <cellStyle name="Normal 25 5 3 5" xfId="19789"/>
    <cellStyle name="Normal 25 5 3 6" xfId="11076"/>
    <cellStyle name="Normal 25 5 4" xfId="4861"/>
    <cellStyle name="Normal 25 5 4 2" xfId="6371"/>
    <cellStyle name="Normal 25 5 4 2 2" xfId="8807"/>
    <cellStyle name="Normal 25 5 4 2 2 2" xfId="22908"/>
    <cellStyle name="Normal 25 5 4 2 2 3" xfId="17441"/>
    <cellStyle name="Normal 25 5 4 2 3" xfId="15200"/>
    <cellStyle name="Normal 25 5 4 2 4" xfId="20694"/>
    <cellStyle name="Normal 25 5 4 2 5" xfId="12051"/>
    <cellStyle name="Normal 25 5 4 3" xfId="7217"/>
    <cellStyle name="Normal 25 5 4 3 2" xfId="21324"/>
    <cellStyle name="Normal 25 5 4 3 3" xfId="15851"/>
    <cellStyle name="Normal 25 5 4 4" xfId="14276"/>
    <cellStyle name="Normal 25 5 4 5" xfId="19791"/>
    <cellStyle name="Normal 25 5 4 6" xfId="10464"/>
    <cellStyle name="Normal 25 5 5" xfId="4862"/>
    <cellStyle name="Normal 25 5 5 2" xfId="8009"/>
    <cellStyle name="Normal 25 5 5 2 2" xfId="22116"/>
    <cellStyle name="Normal 25 5 5 2 3" xfId="16643"/>
    <cellStyle name="Normal 25 5 5 3" xfId="14277"/>
    <cellStyle name="Normal 25 5 5 4" xfId="19792"/>
    <cellStyle name="Normal 25 5 5 5" xfId="11256"/>
    <cellStyle name="Normal 25 5 6" xfId="4863"/>
    <cellStyle name="Normal 25 5 6 2" xfId="9424"/>
    <cellStyle name="Normal 25 5 6 2 2" xfId="23491"/>
    <cellStyle name="Normal 25 5 6 2 3" xfId="18043"/>
    <cellStyle name="Normal 25 5 6 3" xfId="14278"/>
    <cellStyle name="Normal 25 5 6 4" xfId="19793"/>
    <cellStyle name="Normal 25 5 6 5" xfId="12641"/>
    <cellStyle name="Normal 25 5 7" xfId="7034"/>
    <cellStyle name="Normal 25 5 7 2" xfId="21144"/>
    <cellStyle name="Normal 25 5 7 3" xfId="15671"/>
    <cellStyle name="Normal 25 5 8" xfId="9739"/>
    <cellStyle name="Normal 25 5 8 2" xfId="12847"/>
    <cellStyle name="Normal 25 5 9" xfId="9959"/>
    <cellStyle name="Normal 25 5 9 2" xfId="18398"/>
    <cellStyle name="Normal 25 6" xfId="4864"/>
    <cellStyle name="Normal 25 6 2" xfId="4865"/>
    <cellStyle name="Normal 25 6 2 2" xfId="8185"/>
    <cellStyle name="Normal 25 6 2 2 2" xfId="22292"/>
    <cellStyle name="Normal 25 6 2 2 3" xfId="16819"/>
    <cellStyle name="Normal 25 6 2 3" xfId="14280"/>
    <cellStyle name="Normal 25 6 2 4" xfId="19795"/>
    <cellStyle name="Normal 25 6 2 5" xfId="11432"/>
    <cellStyle name="Normal 25 6 3" xfId="4866"/>
    <cellStyle name="Normal 25 6 3 2" xfId="8983"/>
    <cellStyle name="Normal 25 6 3 2 2" xfId="23084"/>
    <cellStyle name="Normal 25 6 3 2 3" xfId="17617"/>
    <cellStyle name="Normal 25 6 3 3" xfId="14281"/>
    <cellStyle name="Normal 25 6 3 4" xfId="19796"/>
    <cellStyle name="Normal 25 6 3 5" xfId="12227"/>
    <cellStyle name="Normal 25 6 4" xfId="7393"/>
    <cellStyle name="Normal 25 6 4 2" xfId="21500"/>
    <cellStyle name="Normal 25 6 4 3" xfId="16027"/>
    <cellStyle name="Normal 25 6 5" xfId="14279"/>
    <cellStyle name="Normal 25 6 6" xfId="19794"/>
    <cellStyle name="Normal 25 6 7" xfId="10640"/>
    <cellStyle name="Normal 25 6 8" xfId="41953"/>
    <cellStyle name="Normal 25 7" xfId="4867"/>
    <cellStyle name="Normal 25 7 2" xfId="4868"/>
    <cellStyle name="Normal 25 7 2 2" xfId="8445"/>
    <cellStyle name="Normal 25 7 2 2 2" xfId="22552"/>
    <cellStyle name="Normal 25 7 2 2 3" xfId="17079"/>
    <cellStyle name="Normal 25 7 2 3" xfId="14283"/>
    <cellStyle name="Normal 25 7 2 4" xfId="19798"/>
    <cellStyle name="Normal 25 7 2 5" xfId="11693"/>
    <cellStyle name="Normal 25 7 3" xfId="7653"/>
    <cellStyle name="Normal 25 7 3 2" xfId="21760"/>
    <cellStyle name="Normal 25 7 3 3" xfId="16287"/>
    <cellStyle name="Normal 25 7 4" xfId="14282"/>
    <cellStyle name="Normal 25 7 5" xfId="19797"/>
    <cellStyle name="Normal 25 7 6" xfId="10900"/>
    <cellStyle name="Normal 25 7 7" xfId="41954"/>
    <cellStyle name="Normal 25 8" xfId="4869"/>
    <cellStyle name="Normal 25 8 2" xfId="6275"/>
    <cellStyle name="Normal 25 8 2 2" xfId="8711"/>
    <cellStyle name="Normal 25 8 2 2 2" xfId="22812"/>
    <cellStyle name="Normal 25 8 2 2 3" xfId="17345"/>
    <cellStyle name="Normal 25 8 2 3" xfId="15104"/>
    <cellStyle name="Normal 25 8 2 4" xfId="20598"/>
    <cellStyle name="Normal 25 8 2 5" xfId="11955"/>
    <cellStyle name="Normal 25 8 3" xfId="7121"/>
    <cellStyle name="Normal 25 8 3 2" xfId="21228"/>
    <cellStyle name="Normal 25 8 3 3" xfId="15755"/>
    <cellStyle name="Normal 25 8 4" xfId="14284"/>
    <cellStyle name="Normal 25 8 5" xfId="19799"/>
    <cellStyle name="Normal 25 8 6" xfId="10368"/>
    <cellStyle name="Normal 25 9" xfId="4870"/>
    <cellStyle name="Normal 25 9 2" xfId="7913"/>
    <cellStyle name="Normal 25 9 2 2" xfId="22020"/>
    <cellStyle name="Normal 25 9 2 3" xfId="16547"/>
    <cellStyle name="Normal 25 9 3" xfId="14285"/>
    <cellStyle name="Normal 25 9 4" xfId="19800"/>
    <cellStyle name="Normal 25 9 5" xfId="11160"/>
    <cellStyle name="Normal 250" xfId="44099"/>
    <cellStyle name="Normal 251" xfId="44123"/>
    <cellStyle name="Normal 252" xfId="44128"/>
    <cellStyle name="Normal 253" xfId="44130"/>
    <cellStyle name="Normal 254" xfId="44133"/>
    <cellStyle name="Normal 255" xfId="44137"/>
    <cellStyle name="Normal 256" xfId="44184"/>
    <cellStyle name="Normal 257" xfId="44191"/>
    <cellStyle name="Normal 258" xfId="44194"/>
    <cellStyle name="Normal 259" xfId="44195"/>
    <cellStyle name="Normal 26" xfId="640"/>
    <cellStyle name="Normal 26 10" xfId="6849"/>
    <cellStyle name="Normal 26 10 2" xfId="20979"/>
    <cellStyle name="Normal 26 10 3" xfId="15505"/>
    <cellStyle name="Normal 26 11" xfId="10113"/>
    <cellStyle name="Normal 26 2" xfId="1466"/>
    <cellStyle name="Normal 26 2 2" xfId="2139"/>
    <cellStyle name="Normal 26 2 2 10" xfId="10327"/>
    <cellStyle name="Normal 26 2 2 2" xfId="2940"/>
    <cellStyle name="Normal 26 2 2 2 2" xfId="4871"/>
    <cellStyle name="Normal 26 2 2 2 2 2" xfId="8664"/>
    <cellStyle name="Normal 26 2 2 2 2 2 2" xfId="22771"/>
    <cellStyle name="Normal 26 2 2 2 2 2 3" xfId="17298"/>
    <cellStyle name="Normal 26 2 2 2 2 3" xfId="14286"/>
    <cellStyle name="Normal 26 2 2 2 2 4" xfId="19801"/>
    <cellStyle name="Normal 26 2 2 2 2 5" xfId="11912"/>
    <cellStyle name="Normal 26 2 2 2 3" xfId="4872"/>
    <cellStyle name="Normal 26 2 2 2 4" xfId="7872"/>
    <cellStyle name="Normal 26 2 2 2 4 2" xfId="21979"/>
    <cellStyle name="Normal 26 2 2 2 4 3" xfId="16506"/>
    <cellStyle name="Normal 26 2 2 2 5" xfId="11119"/>
    <cellStyle name="Normal 26 2 2 3" xfId="4873"/>
    <cellStyle name="Normal 26 2 2 3 2" xfId="6603"/>
    <cellStyle name="Normal 26 2 2 3 2 2" xfId="9202"/>
    <cellStyle name="Normal 26 2 2 3 2 2 2" xfId="23303"/>
    <cellStyle name="Normal 26 2 2 3 2 2 3" xfId="17836"/>
    <cellStyle name="Normal 26 2 2 3 2 3" xfId="15388"/>
    <cellStyle name="Normal 26 2 2 3 2 4" xfId="20881"/>
    <cellStyle name="Normal 26 2 2 3 2 5" xfId="12447"/>
    <cellStyle name="Normal 26 2 2 3 3" xfId="7612"/>
    <cellStyle name="Normal 26 2 2 3 3 2" xfId="21719"/>
    <cellStyle name="Normal 26 2 2 3 3 3" xfId="16246"/>
    <cellStyle name="Normal 26 2 2 3 4" xfId="14287"/>
    <cellStyle name="Normal 26 2 2 3 5" xfId="19802"/>
    <cellStyle name="Normal 26 2 2 3 6" xfId="24158"/>
    <cellStyle name="Normal 26 2 2 3 7" xfId="10859"/>
    <cellStyle name="Normal 26 2 2 4" xfId="4874"/>
    <cellStyle name="Normal 26 2 2 4 2" xfId="8404"/>
    <cellStyle name="Normal 26 2 2 4 2 2" xfId="22511"/>
    <cellStyle name="Normal 26 2 2 4 2 3" xfId="17038"/>
    <cellStyle name="Normal 26 2 2 4 3" xfId="14288"/>
    <cellStyle name="Normal 26 2 2 4 4" xfId="19803"/>
    <cellStyle name="Normal 26 2 2 4 5" xfId="11652"/>
    <cellStyle name="Normal 26 2 2 5" xfId="4875"/>
    <cellStyle name="Normal 26 2 2 5 2" xfId="9401"/>
    <cellStyle name="Normal 26 2 2 5 2 2" xfId="23469"/>
    <cellStyle name="Normal 26 2 2 5 2 3" xfId="18021"/>
    <cellStyle name="Normal 26 2 2 5 3" xfId="14289"/>
    <cellStyle name="Normal 26 2 2 5 4" xfId="19804"/>
    <cellStyle name="Normal 26 2 2 5 5" xfId="12618"/>
    <cellStyle name="Normal 26 2 2 6" xfId="7078"/>
    <cellStyle name="Normal 26 2 2 6 2" xfId="21187"/>
    <cellStyle name="Normal 26 2 2 6 3" xfId="15714"/>
    <cellStyle name="Normal 26 2 2 7" xfId="9707"/>
    <cellStyle name="Normal 26 2 2 7 2" xfId="12825"/>
    <cellStyle name="Normal 26 2 2 8" xfId="9936"/>
    <cellStyle name="Normal 26 2 2 8 2" xfId="18376"/>
    <cellStyle name="Normal 26 2 2 9" xfId="23833"/>
    <cellStyle name="Normal 26 2 3" xfId="4876"/>
    <cellStyle name="Normal 26 2 3 2" xfId="4877"/>
    <cellStyle name="Normal 26 2 3 2 2" xfId="8228"/>
    <cellStyle name="Normal 26 2 3 2 2 2" xfId="22335"/>
    <cellStyle name="Normal 26 2 3 2 2 3" xfId="16862"/>
    <cellStyle name="Normal 26 2 3 2 3" xfId="14291"/>
    <cellStyle name="Normal 26 2 3 2 4" xfId="19806"/>
    <cellStyle name="Normal 26 2 3 2 5" xfId="11475"/>
    <cellStyle name="Normal 26 2 3 3" xfId="4878"/>
    <cellStyle name="Normal 26 2 3 3 2" xfId="9026"/>
    <cellStyle name="Normal 26 2 3 3 2 2" xfId="23127"/>
    <cellStyle name="Normal 26 2 3 3 2 3" xfId="17660"/>
    <cellStyle name="Normal 26 2 3 3 3" xfId="14292"/>
    <cellStyle name="Normal 26 2 3 3 4" xfId="19807"/>
    <cellStyle name="Normal 26 2 3 3 5" xfId="12270"/>
    <cellStyle name="Normal 26 2 3 4" xfId="7436"/>
    <cellStyle name="Normal 26 2 3 4 2" xfId="21543"/>
    <cellStyle name="Normal 26 2 3 4 3" xfId="16070"/>
    <cellStyle name="Normal 26 2 3 5" xfId="14290"/>
    <cellStyle name="Normal 26 2 3 6" xfId="19805"/>
    <cellStyle name="Normal 26 2 3 7" xfId="10683"/>
    <cellStyle name="Normal 26 2 4" xfId="4879"/>
    <cellStyle name="Normal 26 2 4 2" xfId="4880"/>
    <cellStyle name="Normal 26 2 4 2 2" xfId="8488"/>
    <cellStyle name="Normal 26 2 4 2 2 2" xfId="22595"/>
    <cellStyle name="Normal 26 2 4 2 2 3" xfId="17122"/>
    <cellStyle name="Normal 26 2 4 2 3" xfId="14294"/>
    <cellStyle name="Normal 26 2 4 2 4" xfId="19809"/>
    <cellStyle name="Normal 26 2 4 2 5" xfId="11736"/>
    <cellStyle name="Normal 26 2 4 3" xfId="7696"/>
    <cellStyle name="Normal 26 2 4 3 2" xfId="21803"/>
    <cellStyle name="Normal 26 2 4 3 3" xfId="16330"/>
    <cellStyle name="Normal 26 2 4 4" xfId="14293"/>
    <cellStyle name="Normal 26 2 4 5" xfId="19808"/>
    <cellStyle name="Normal 26 2 4 6" xfId="10943"/>
    <cellStyle name="Normal 26 2 5" xfId="4881"/>
    <cellStyle name="Normal 26 2 5 2" xfId="6414"/>
    <cellStyle name="Normal 26 2 5 2 2" xfId="8850"/>
    <cellStyle name="Normal 26 2 5 2 2 2" xfId="22951"/>
    <cellStyle name="Normal 26 2 5 2 2 3" xfId="17484"/>
    <cellStyle name="Normal 26 2 5 2 3" xfId="15243"/>
    <cellStyle name="Normal 26 2 5 2 4" xfId="20737"/>
    <cellStyle name="Normal 26 2 5 2 5" xfId="12094"/>
    <cellStyle name="Normal 26 2 5 3" xfId="7260"/>
    <cellStyle name="Normal 26 2 5 3 2" xfId="21367"/>
    <cellStyle name="Normal 26 2 5 3 3" xfId="15894"/>
    <cellStyle name="Normal 26 2 5 4" xfId="14295"/>
    <cellStyle name="Normal 26 2 5 5" xfId="19810"/>
    <cellStyle name="Normal 26 2 5 6" xfId="10507"/>
    <cellStyle name="Normal 26 2 6" xfId="4882"/>
    <cellStyle name="Normal 26 2 6 2" xfId="8052"/>
    <cellStyle name="Normal 26 2 6 2 2" xfId="22159"/>
    <cellStyle name="Normal 26 2 6 2 3" xfId="16686"/>
    <cellStyle name="Normal 26 2 6 3" xfId="14296"/>
    <cellStyle name="Normal 26 2 6 4" xfId="19811"/>
    <cellStyle name="Normal 26 2 6 5" xfId="11299"/>
    <cellStyle name="Normal 26 2 7" xfId="4883"/>
    <cellStyle name="Normal 26 2 8" xfId="6898"/>
    <cellStyle name="Normal 26 2 8 2" xfId="21011"/>
    <cellStyle name="Normal 26 2 8 3" xfId="15538"/>
    <cellStyle name="Normal 26 2 9" xfId="10149"/>
    <cellStyle name="Normal 26 3" xfId="1592"/>
    <cellStyle name="Normal 26 3 2" xfId="4884"/>
    <cellStyle name="Normal 26 3 2 2" xfId="9495"/>
    <cellStyle name="Normal 26 3 2 2 2" xfId="23542"/>
    <cellStyle name="Normal 26 3 2 2 3" xfId="18096"/>
    <cellStyle name="Normal 26 3 2 3" xfId="14297"/>
    <cellStyle name="Normal 26 3 2 4" xfId="19812"/>
    <cellStyle name="Normal 26 3 2 5" xfId="24231"/>
    <cellStyle name="Normal 26 3 2 6" xfId="12696"/>
    <cellStyle name="Normal 26 3 3" xfId="6134"/>
    <cellStyle name="Normal 26 3 3 2" xfId="41955"/>
    <cellStyle name="Normal 26 3 4" xfId="9797"/>
    <cellStyle name="Normal 26 3 4 2" xfId="12898"/>
    <cellStyle name="Normal 26 3 5" xfId="10010"/>
    <cellStyle name="Normal 26 3 5 2" xfId="18449"/>
    <cellStyle name="Normal 26 3 6" xfId="23740"/>
    <cellStyle name="Normal 26 3 7" xfId="3022"/>
    <cellStyle name="Normal 26 4" xfId="1012"/>
    <cellStyle name="Normal 26 4 2" xfId="4885"/>
    <cellStyle name="Normal 26 4 2 2" xfId="4886"/>
    <cellStyle name="Normal 26 4 2 2 2" xfId="8276"/>
    <cellStyle name="Normal 26 4 2 2 2 2" xfId="22383"/>
    <cellStyle name="Normal 26 4 2 2 2 3" xfId="16910"/>
    <cellStyle name="Normal 26 4 2 2 3" xfId="14299"/>
    <cellStyle name="Normal 26 4 2 2 4" xfId="19814"/>
    <cellStyle name="Normal 26 4 2 2 5" xfId="11523"/>
    <cellStyle name="Normal 26 4 2 3" xfId="4887"/>
    <cellStyle name="Normal 26 4 2 3 2" xfId="9074"/>
    <cellStyle name="Normal 26 4 2 3 2 2" xfId="23175"/>
    <cellStyle name="Normal 26 4 2 3 2 3" xfId="17708"/>
    <cellStyle name="Normal 26 4 2 3 3" xfId="14300"/>
    <cellStyle name="Normal 26 4 2 3 4" xfId="19815"/>
    <cellStyle name="Normal 26 4 2 3 5" xfId="12319"/>
    <cellStyle name="Normal 26 4 2 4" xfId="7484"/>
    <cellStyle name="Normal 26 4 2 4 2" xfId="21591"/>
    <cellStyle name="Normal 26 4 2 4 3" xfId="16118"/>
    <cellStyle name="Normal 26 4 2 5" xfId="14298"/>
    <cellStyle name="Normal 26 4 2 6" xfId="19813"/>
    <cellStyle name="Normal 26 4 2 7" xfId="10731"/>
    <cellStyle name="Normal 26 4 3" xfId="4888"/>
    <cellStyle name="Normal 26 4 3 2" xfId="4889"/>
    <cellStyle name="Normal 26 4 3 2 2" xfId="8536"/>
    <cellStyle name="Normal 26 4 3 2 2 2" xfId="22643"/>
    <cellStyle name="Normal 26 4 3 2 2 3" xfId="17170"/>
    <cellStyle name="Normal 26 4 3 2 3" xfId="14302"/>
    <cellStyle name="Normal 26 4 3 2 4" xfId="19817"/>
    <cellStyle name="Normal 26 4 3 2 5" xfId="11784"/>
    <cellStyle name="Normal 26 4 3 3" xfId="7744"/>
    <cellStyle name="Normal 26 4 3 3 2" xfId="21851"/>
    <cellStyle name="Normal 26 4 3 3 3" xfId="16378"/>
    <cellStyle name="Normal 26 4 3 4" xfId="14301"/>
    <cellStyle name="Normal 26 4 3 5" xfId="19816"/>
    <cellStyle name="Normal 26 4 3 6" xfId="10991"/>
    <cellStyle name="Normal 26 4 4" xfId="4890"/>
    <cellStyle name="Normal 26 4 4 2" xfId="6462"/>
    <cellStyle name="Normal 26 4 4 2 2" xfId="8898"/>
    <cellStyle name="Normal 26 4 4 2 2 2" xfId="22999"/>
    <cellStyle name="Normal 26 4 4 2 2 3" xfId="17532"/>
    <cellStyle name="Normal 26 4 4 2 3" xfId="15291"/>
    <cellStyle name="Normal 26 4 4 2 4" xfId="20785"/>
    <cellStyle name="Normal 26 4 4 2 5" xfId="12142"/>
    <cellStyle name="Normal 26 4 4 3" xfId="7308"/>
    <cellStyle name="Normal 26 4 4 3 2" xfId="21415"/>
    <cellStyle name="Normal 26 4 4 3 3" xfId="15942"/>
    <cellStyle name="Normal 26 4 4 4" xfId="14303"/>
    <cellStyle name="Normal 26 4 4 5" xfId="19818"/>
    <cellStyle name="Normal 26 4 4 6" xfId="10555"/>
    <cellStyle name="Normal 26 4 5" xfId="4891"/>
    <cellStyle name="Normal 26 4 5 2" xfId="8100"/>
    <cellStyle name="Normal 26 4 5 2 2" xfId="22207"/>
    <cellStyle name="Normal 26 4 5 2 3" xfId="16734"/>
    <cellStyle name="Normal 26 4 5 3" xfId="14304"/>
    <cellStyle name="Normal 26 4 5 4" xfId="19819"/>
    <cellStyle name="Normal 26 4 5 5" xfId="11347"/>
    <cellStyle name="Normal 26 4 6" xfId="4892"/>
    <cellStyle name="Normal 26 4 7" xfId="6949"/>
    <cellStyle name="Normal 26 4 7 2" xfId="21059"/>
    <cellStyle name="Normal 26 4 7 3" xfId="15586"/>
    <cellStyle name="Normal 26 4 8" xfId="10199"/>
    <cellStyle name="Normal 26 5" xfId="2603"/>
    <cellStyle name="Normal 26 5 10" xfId="23987"/>
    <cellStyle name="Normal 26 5 11" xfId="10295"/>
    <cellStyle name="Normal 26 5 2" xfId="4893"/>
    <cellStyle name="Normal 26 5 2 2" xfId="4894"/>
    <cellStyle name="Normal 26 5 2 2 2" xfId="8372"/>
    <cellStyle name="Normal 26 5 2 2 2 2" xfId="22479"/>
    <cellStyle name="Normal 26 5 2 2 2 3" xfId="17006"/>
    <cellStyle name="Normal 26 5 2 2 3" xfId="14306"/>
    <cellStyle name="Normal 26 5 2 2 4" xfId="19821"/>
    <cellStyle name="Normal 26 5 2 2 5" xfId="11620"/>
    <cellStyle name="Normal 26 5 2 3" xfId="4895"/>
    <cellStyle name="Normal 26 5 2 3 2" xfId="9170"/>
    <cellStyle name="Normal 26 5 2 3 2 2" xfId="23271"/>
    <cellStyle name="Normal 26 5 2 3 2 3" xfId="17804"/>
    <cellStyle name="Normal 26 5 2 3 3" xfId="14307"/>
    <cellStyle name="Normal 26 5 2 3 4" xfId="19822"/>
    <cellStyle name="Normal 26 5 2 3 5" xfId="12415"/>
    <cellStyle name="Normal 26 5 2 4" xfId="7580"/>
    <cellStyle name="Normal 26 5 2 4 2" xfId="21687"/>
    <cellStyle name="Normal 26 5 2 4 3" xfId="16214"/>
    <cellStyle name="Normal 26 5 2 5" xfId="14305"/>
    <cellStyle name="Normal 26 5 2 6" xfId="19820"/>
    <cellStyle name="Normal 26 5 2 7" xfId="24191"/>
    <cellStyle name="Normal 26 5 2 8" xfId="10827"/>
    <cellStyle name="Normal 26 5 3" xfId="4896"/>
    <cellStyle name="Normal 26 5 3 2" xfId="4897"/>
    <cellStyle name="Normal 26 5 3 2 2" xfId="8632"/>
    <cellStyle name="Normal 26 5 3 2 2 2" xfId="22739"/>
    <cellStyle name="Normal 26 5 3 2 2 3" xfId="17266"/>
    <cellStyle name="Normal 26 5 3 2 3" xfId="14309"/>
    <cellStyle name="Normal 26 5 3 2 4" xfId="19824"/>
    <cellStyle name="Normal 26 5 3 2 5" xfId="11880"/>
    <cellStyle name="Normal 26 5 3 3" xfId="7840"/>
    <cellStyle name="Normal 26 5 3 3 2" xfId="21947"/>
    <cellStyle name="Normal 26 5 3 3 3" xfId="16474"/>
    <cellStyle name="Normal 26 5 3 4" xfId="14308"/>
    <cellStyle name="Normal 26 5 3 5" xfId="19823"/>
    <cellStyle name="Normal 26 5 3 6" xfId="11087"/>
    <cellStyle name="Normal 26 5 4" xfId="4898"/>
    <cellStyle name="Normal 26 5 4 2" xfId="6382"/>
    <cellStyle name="Normal 26 5 4 2 2" xfId="8818"/>
    <cellStyle name="Normal 26 5 4 2 2 2" xfId="22919"/>
    <cellStyle name="Normal 26 5 4 2 2 3" xfId="17452"/>
    <cellStyle name="Normal 26 5 4 2 3" xfId="15211"/>
    <cellStyle name="Normal 26 5 4 2 4" xfId="20705"/>
    <cellStyle name="Normal 26 5 4 2 5" xfId="12062"/>
    <cellStyle name="Normal 26 5 4 3" xfId="7228"/>
    <cellStyle name="Normal 26 5 4 3 2" xfId="21335"/>
    <cellStyle name="Normal 26 5 4 3 3" xfId="15862"/>
    <cellStyle name="Normal 26 5 4 4" xfId="14310"/>
    <cellStyle name="Normal 26 5 4 5" xfId="19825"/>
    <cellStyle name="Normal 26 5 4 6" xfId="10475"/>
    <cellStyle name="Normal 26 5 5" xfId="4899"/>
    <cellStyle name="Normal 26 5 5 2" xfId="8020"/>
    <cellStyle name="Normal 26 5 5 2 2" xfId="22127"/>
    <cellStyle name="Normal 26 5 5 2 3" xfId="16654"/>
    <cellStyle name="Normal 26 5 5 3" xfId="14311"/>
    <cellStyle name="Normal 26 5 5 4" xfId="19826"/>
    <cellStyle name="Normal 26 5 5 5" xfId="11267"/>
    <cellStyle name="Normal 26 5 6" xfId="4900"/>
    <cellStyle name="Normal 26 5 6 2" xfId="9435"/>
    <cellStyle name="Normal 26 5 6 2 2" xfId="23502"/>
    <cellStyle name="Normal 26 5 6 2 3" xfId="18054"/>
    <cellStyle name="Normal 26 5 6 3" xfId="14312"/>
    <cellStyle name="Normal 26 5 6 4" xfId="19827"/>
    <cellStyle name="Normal 26 5 6 5" xfId="12652"/>
    <cellStyle name="Normal 26 5 7" xfId="7045"/>
    <cellStyle name="Normal 26 5 7 2" xfId="21155"/>
    <cellStyle name="Normal 26 5 7 3" xfId="15682"/>
    <cellStyle name="Normal 26 5 8" xfId="9750"/>
    <cellStyle name="Normal 26 5 8 2" xfId="12858"/>
    <cellStyle name="Normal 26 5 9" xfId="9970"/>
    <cellStyle name="Normal 26 5 9 2" xfId="18409"/>
    <cellStyle name="Normal 26 6" xfId="4901"/>
    <cellStyle name="Normal 26 6 2" xfId="4902"/>
    <cellStyle name="Normal 26 6 2 2" xfId="8196"/>
    <cellStyle name="Normal 26 6 2 2 2" xfId="22303"/>
    <cellStyle name="Normal 26 6 2 2 3" xfId="16830"/>
    <cellStyle name="Normal 26 6 2 3" xfId="14314"/>
    <cellStyle name="Normal 26 6 2 4" xfId="19829"/>
    <cellStyle name="Normal 26 6 2 5" xfId="11443"/>
    <cellStyle name="Normal 26 6 3" xfId="4903"/>
    <cellStyle name="Normal 26 6 3 2" xfId="8994"/>
    <cellStyle name="Normal 26 6 3 2 2" xfId="23095"/>
    <cellStyle name="Normal 26 6 3 2 3" xfId="17628"/>
    <cellStyle name="Normal 26 6 3 3" xfId="14315"/>
    <cellStyle name="Normal 26 6 3 4" xfId="19830"/>
    <cellStyle name="Normal 26 6 3 5" xfId="12238"/>
    <cellStyle name="Normal 26 6 4" xfId="7404"/>
    <cellStyle name="Normal 26 6 4 2" xfId="21511"/>
    <cellStyle name="Normal 26 6 4 3" xfId="16038"/>
    <cellStyle name="Normal 26 6 5" xfId="14313"/>
    <cellStyle name="Normal 26 6 6" xfId="19828"/>
    <cellStyle name="Normal 26 6 7" xfId="10651"/>
    <cellStyle name="Normal 26 6 8" xfId="41956"/>
    <cellStyle name="Normal 26 7" xfId="4904"/>
    <cellStyle name="Normal 26 7 2" xfId="4905"/>
    <cellStyle name="Normal 26 7 2 2" xfId="8456"/>
    <cellStyle name="Normal 26 7 2 2 2" xfId="22563"/>
    <cellStyle name="Normal 26 7 2 2 3" xfId="17090"/>
    <cellStyle name="Normal 26 7 2 3" xfId="14317"/>
    <cellStyle name="Normal 26 7 2 4" xfId="19832"/>
    <cellStyle name="Normal 26 7 2 5" xfId="11704"/>
    <cellStyle name="Normal 26 7 3" xfId="7664"/>
    <cellStyle name="Normal 26 7 3 2" xfId="21771"/>
    <cellStyle name="Normal 26 7 3 3" xfId="16298"/>
    <cellStyle name="Normal 26 7 4" xfId="14316"/>
    <cellStyle name="Normal 26 7 5" xfId="19831"/>
    <cellStyle name="Normal 26 7 6" xfId="10911"/>
    <cellStyle name="Normal 26 7 7" xfId="41957"/>
    <cellStyle name="Normal 26 8" xfId="4906"/>
    <cellStyle name="Normal 26 8 2" xfId="6286"/>
    <cellStyle name="Normal 26 8 2 2" xfId="8722"/>
    <cellStyle name="Normal 26 8 2 2 2" xfId="22823"/>
    <cellStyle name="Normal 26 8 2 2 3" xfId="17356"/>
    <cellStyle name="Normal 26 8 2 3" xfId="15115"/>
    <cellStyle name="Normal 26 8 2 4" xfId="20609"/>
    <cellStyle name="Normal 26 8 2 5" xfId="11966"/>
    <cellStyle name="Normal 26 8 3" xfId="7132"/>
    <cellStyle name="Normal 26 8 3 2" xfId="21239"/>
    <cellStyle name="Normal 26 8 3 3" xfId="15766"/>
    <cellStyle name="Normal 26 8 4" xfId="14318"/>
    <cellStyle name="Normal 26 8 5" xfId="19833"/>
    <cellStyle name="Normal 26 8 6" xfId="10379"/>
    <cellStyle name="Normal 26 9" xfId="4907"/>
    <cellStyle name="Normal 26 9 2" xfId="7924"/>
    <cellStyle name="Normal 26 9 2 2" xfId="22031"/>
    <cellStyle name="Normal 26 9 2 3" xfId="16558"/>
    <cellStyle name="Normal 26 9 3" xfId="14319"/>
    <cellStyle name="Normal 26 9 4" xfId="19834"/>
    <cellStyle name="Normal 26 9 5" xfId="11171"/>
    <cellStyle name="Normal 260" xfId="197"/>
    <cellStyle name="Normal 261" xfId="41221"/>
    <cellStyle name="Normal 262" xfId="44298"/>
    <cellStyle name="Normal 263" xfId="44299"/>
    <cellStyle name="Normal 264" xfId="64"/>
    <cellStyle name="Normal 265" xfId="171"/>
    <cellStyle name="Normal 266" xfId="52"/>
    <cellStyle name="Normal 267" xfId="51"/>
    <cellStyle name="Normal 27" xfId="639"/>
    <cellStyle name="Normal 27 10" xfId="6821"/>
    <cellStyle name="Normal 27 10 2" xfId="20953"/>
    <cellStyle name="Normal 27 10 3" xfId="15479"/>
    <cellStyle name="Normal 27 11" xfId="10087"/>
    <cellStyle name="Normal 27 2" xfId="1477"/>
    <cellStyle name="Normal 27 2 2" xfId="2094"/>
    <cellStyle name="Normal 27 2 2 10" xfId="10301"/>
    <cellStyle name="Normal 27 2 2 2" xfId="2950"/>
    <cellStyle name="Normal 27 2 2 2 2" xfId="4908"/>
    <cellStyle name="Normal 27 2 2 2 2 2" xfId="8638"/>
    <cellStyle name="Normal 27 2 2 2 2 2 2" xfId="22745"/>
    <cellStyle name="Normal 27 2 2 2 2 2 3" xfId="17272"/>
    <cellStyle name="Normal 27 2 2 2 2 3" xfId="14320"/>
    <cellStyle name="Normal 27 2 2 2 2 4" xfId="19835"/>
    <cellStyle name="Normal 27 2 2 2 2 5" xfId="11886"/>
    <cellStyle name="Normal 27 2 2 2 3" xfId="4909"/>
    <cellStyle name="Normal 27 2 2 2 4" xfId="7846"/>
    <cellStyle name="Normal 27 2 2 2 4 2" xfId="21953"/>
    <cellStyle name="Normal 27 2 2 2 4 3" xfId="16480"/>
    <cellStyle name="Normal 27 2 2 2 5" xfId="11093"/>
    <cellStyle name="Normal 27 2 2 3" xfId="4910"/>
    <cellStyle name="Normal 27 2 2 3 2" xfId="6577"/>
    <cellStyle name="Normal 27 2 2 3 2 2" xfId="9176"/>
    <cellStyle name="Normal 27 2 2 3 2 2 2" xfId="23277"/>
    <cellStyle name="Normal 27 2 2 3 2 2 3" xfId="17810"/>
    <cellStyle name="Normal 27 2 2 3 2 3" xfId="15362"/>
    <cellStyle name="Normal 27 2 2 3 2 4" xfId="20855"/>
    <cellStyle name="Normal 27 2 2 3 2 5" xfId="12421"/>
    <cellStyle name="Normal 27 2 2 3 3" xfId="7586"/>
    <cellStyle name="Normal 27 2 2 3 3 2" xfId="21693"/>
    <cellStyle name="Normal 27 2 2 3 3 3" xfId="16220"/>
    <cellStyle name="Normal 27 2 2 3 4" xfId="14321"/>
    <cellStyle name="Normal 27 2 2 3 5" xfId="19836"/>
    <cellStyle name="Normal 27 2 2 3 6" xfId="24132"/>
    <cellStyle name="Normal 27 2 2 3 7" xfId="10833"/>
    <cellStyle name="Normal 27 2 2 4" xfId="4911"/>
    <cellStyle name="Normal 27 2 2 4 2" xfId="8378"/>
    <cellStyle name="Normal 27 2 2 4 2 2" xfId="22485"/>
    <cellStyle name="Normal 27 2 2 4 2 3" xfId="17012"/>
    <cellStyle name="Normal 27 2 2 4 3" xfId="14322"/>
    <cellStyle name="Normal 27 2 2 4 4" xfId="19837"/>
    <cellStyle name="Normal 27 2 2 4 5" xfId="11626"/>
    <cellStyle name="Normal 27 2 2 5" xfId="4912"/>
    <cellStyle name="Normal 27 2 2 5 2" xfId="9374"/>
    <cellStyle name="Normal 27 2 2 5 2 2" xfId="23443"/>
    <cellStyle name="Normal 27 2 2 5 2 3" xfId="17995"/>
    <cellStyle name="Normal 27 2 2 5 3" xfId="14323"/>
    <cellStyle name="Normal 27 2 2 5 4" xfId="19838"/>
    <cellStyle name="Normal 27 2 2 5 5" xfId="12592"/>
    <cellStyle name="Normal 27 2 2 6" xfId="7052"/>
    <cellStyle name="Normal 27 2 2 6 2" xfId="21161"/>
    <cellStyle name="Normal 27 2 2 6 3" xfId="15688"/>
    <cellStyle name="Normal 27 2 2 7" xfId="9680"/>
    <cellStyle name="Normal 27 2 2 7 2" xfId="12799"/>
    <cellStyle name="Normal 27 2 2 8" xfId="9910"/>
    <cellStyle name="Normal 27 2 2 8 2" xfId="18350"/>
    <cellStyle name="Normal 27 2 2 9" xfId="23815"/>
    <cellStyle name="Normal 27 2 3" xfId="4913"/>
    <cellStyle name="Normal 27 2 3 2" xfId="4914"/>
    <cellStyle name="Normal 27 2 3 2 2" xfId="8202"/>
    <cellStyle name="Normal 27 2 3 2 2 2" xfId="22309"/>
    <cellStyle name="Normal 27 2 3 2 2 3" xfId="16836"/>
    <cellStyle name="Normal 27 2 3 2 3" xfId="14325"/>
    <cellStyle name="Normal 27 2 3 2 4" xfId="19840"/>
    <cellStyle name="Normal 27 2 3 2 5" xfId="11449"/>
    <cellStyle name="Normal 27 2 3 3" xfId="4915"/>
    <cellStyle name="Normal 27 2 3 3 2" xfId="9000"/>
    <cellStyle name="Normal 27 2 3 3 2 2" xfId="23101"/>
    <cellStyle name="Normal 27 2 3 3 2 3" xfId="17634"/>
    <cellStyle name="Normal 27 2 3 3 3" xfId="14326"/>
    <cellStyle name="Normal 27 2 3 3 4" xfId="19841"/>
    <cellStyle name="Normal 27 2 3 3 5" xfId="12244"/>
    <cellStyle name="Normal 27 2 3 4" xfId="7410"/>
    <cellStyle name="Normal 27 2 3 4 2" xfId="21517"/>
    <cellStyle name="Normal 27 2 3 4 3" xfId="16044"/>
    <cellStyle name="Normal 27 2 3 5" xfId="14324"/>
    <cellStyle name="Normal 27 2 3 6" xfId="19839"/>
    <cellStyle name="Normal 27 2 3 7" xfId="10657"/>
    <cellStyle name="Normal 27 2 4" xfId="4916"/>
    <cellStyle name="Normal 27 2 4 2" xfId="4917"/>
    <cellStyle name="Normal 27 2 4 2 2" xfId="8462"/>
    <cellStyle name="Normal 27 2 4 2 2 2" xfId="22569"/>
    <cellStyle name="Normal 27 2 4 2 2 3" xfId="17096"/>
    <cellStyle name="Normal 27 2 4 2 3" xfId="14328"/>
    <cellStyle name="Normal 27 2 4 2 4" xfId="19843"/>
    <cellStyle name="Normal 27 2 4 2 5" xfId="11710"/>
    <cellStyle name="Normal 27 2 4 3" xfId="7670"/>
    <cellStyle name="Normal 27 2 4 3 2" xfId="21777"/>
    <cellStyle name="Normal 27 2 4 3 3" xfId="16304"/>
    <cellStyle name="Normal 27 2 4 4" xfId="14327"/>
    <cellStyle name="Normal 27 2 4 5" xfId="19842"/>
    <cellStyle name="Normal 27 2 4 6" xfId="10917"/>
    <cellStyle name="Normal 27 2 5" xfId="4918"/>
    <cellStyle name="Normal 27 2 5 2" xfId="6388"/>
    <cellStyle name="Normal 27 2 5 2 2" xfId="8824"/>
    <cellStyle name="Normal 27 2 5 2 2 2" xfId="22925"/>
    <cellStyle name="Normal 27 2 5 2 2 3" xfId="17458"/>
    <cellStyle name="Normal 27 2 5 2 3" xfId="15217"/>
    <cellStyle name="Normal 27 2 5 2 4" xfId="20711"/>
    <cellStyle name="Normal 27 2 5 2 5" xfId="12068"/>
    <cellStyle name="Normal 27 2 5 3" xfId="7234"/>
    <cellStyle name="Normal 27 2 5 3 2" xfId="21341"/>
    <cellStyle name="Normal 27 2 5 3 3" xfId="15868"/>
    <cellStyle name="Normal 27 2 5 4" xfId="14329"/>
    <cellStyle name="Normal 27 2 5 5" xfId="19844"/>
    <cellStyle name="Normal 27 2 5 6" xfId="10481"/>
    <cellStyle name="Normal 27 2 6" xfId="4919"/>
    <cellStyle name="Normal 27 2 6 2" xfId="8026"/>
    <cellStyle name="Normal 27 2 6 2 2" xfId="22133"/>
    <cellStyle name="Normal 27 2 6 2 3" xfId="16660"/>
    <cellStyle name="Normal 27 2 6 3" xfId="14330"/>
    <cellStyle name="Normal 27 2 6 4" xfId="19845"/>
    <cellStyle name="Normal 27 2 6 5" xfId="11273"/>
    <cellStyle name="Normal 27 2 7" xfId="4920"/>
    <cellStyle name="Normal 27 2 8" xfId="6870"/>
    <cellStyle name="Normal 27 2 8 2" xfId="20985"/>
    <cellStyle name="Normal 27 2 8 3" xfId="15512"/>
    <cellStyle name="Normal 27 2 9" xfId="10123"/>
    <cellStyle name="Normal 27 3" xfId="1530"/>
    <cellStyle name="Normal 27 3 2" xfId="4921"/>
    <cellStyle name="Normal 27 3 2 2" xfId="9471"/>
    <cellStyle name="Normal 27 3 2 2 2" xfId="23518"/>
    <cellStyle name="Normal 27 3 2 2 3" xfId="18072"/>
    <cellStyle name="Normal 27 3 2 3" xfId="14331"/>
    <cellStyle name="Normal 27 3 2 4" xfId="19846"/>
    <cellStyle name="Normal 27 3 2 5" xfId="24207"/>
    <cellStyle name="Normal 27 3 2 6" xfId="12672"/>
    <cellStyle name="Normal 27 3 3" xfId="6135"/>
    <cellStyle name="Normal 27 3 3 2" xfId="41958"/>
    <cellStyle name="Normal 27 3 4" xfId="9773"/>
    <cellStyle name="Normal 27 3 4 2" xfId="12874"/>
    <cellStyle name="Normal 27 3 5" xfId="9986"/>
    <cellStyle name="Normal 27 3 5 2" xfId="18425"/>
    <cellStyle name="Normal 27 3 6" xfId="23715"/>
    <cellStyle name="Normal 27 3 7" xfId="2986"/>
    <cellStyle name="Normal 27 4" xfId="1022"/>
    <cellStyle name="Normal 27 4 2" xfId="4922"/>
    <cellStyle name="Normal 27 4 2 2" xfId="4923"/>
    <cellStyle name="Normal 27 4 2 2 2" xfId="8250"/>
    <cellStyle name="Normal 27 4 2 2 2 2" xfId="22357"/>
    <cellStyle name="Normal 27 4 2 2 2 3" xfId="16884"/>
    <cellStyle name="Normal 27 4 2 2 3" xfId="14333"/>
    <cellStyle name="Normal 27 4 2 2 4" xfId="19848"/>
    <cellStyle name="Normal 27 4 2 2 5" xfId="11497"/>
    <cellStyle name="Normal 27 4 2 3" xfId="4924"/>
    <cellStyle name="Normal 27 4 2 3 2" xfId="9048"/>
    <cellStyle name="Normal 27 4 2 3 2 2" xfId="23149"/>
    <cellStyle name="Normal 27 4 2 3 2 3" xfId="17682"/>
    <cellStyle name="Normal 27 4 2 3 3" xfId="14334"/>
    <cellStyle name="Normal 27 4 2 3 4" xfId="19849"/>
    <cellStyle name="Normal 27 4 2 3 5" xfId="12293"/>
    <cellStyle name="Normal 27 4 2 4" xfId="7458"/>
    <cellStyle name="Normal 27 4 2 4 2" xfId="21565"/>
    <cellStyle name="Normal 27 4 2 4 3" xfId="16092"/>
    <cellStyle name="Normal 27 4 2 5" xfId="14332"/>
    <cellStyle name="Normal 27 4 2 6" xfId="19847"/>
    <cellStyle name="Normal 27 4 2 7" xfId="10705"/>
    <cellStyle name="Normal 27 4 3" xfId="4925"/>
    <cellStyle name="Normal 27 4 3 2" xfId="4926"/>
    <cellStyle name="Normal 27 4 3 2 2" xfId="8510"/>
    <cellStyle name="Normal 27 4 3 2 2 2" xfId="22617"/>
    <cellStyle name="Normal 27 4 3 2 2 3" xfId="17144"/>
    <cellStyle name="Normal 27 4 3 2 3" xfId="14336"/>
    <cellStyle name="Normal 27 4 3 2 4" xfId="19851"/>
    <cellStyle name="Normal 27 4 3 2 5" xfId="11758"/>
    <cellStyle name="Normal 27 4 3 3" xfId="7718"/>
    <cellStyle name="Normal 27 4 3 3 2" xfId="21825"/>
    <cellStyle name="Normal 27 4 3 3 3" xfId="16352"/>
    <cellStyle name="Normal 27 4 3 4" xfId="14335"/>
    <cellStyle name="Normal 27 4 3 5" xfId="19850"/>
    <cellStyle name="Normal 27 4 3 6" xfId="10965"/>
    <cellStyle name="Normal 27 4 4" xfId="4927"/>
    <cellStyle name="Normal 27 4 4 2" xfId="6436"/>
    <cellStyle name="Normal 27 4 4 2 2" xfId="8872"/>
    <cellStyle name="Normal 27 4 4 2 2 2" xfId="22973"/>
    <cellStyle name="Normal 27 4 4 2 2 3" xfId="17506"/>
    <cellStyle name="Normal 27 4 4 2 3" xfId="15265"/>
    <cellStyle name="Normal 27 4 4 2 4" xfId="20759"/>
    <cellStyle name="Normal 27 4 4 2 5" xfId="12116"/>
    <cellStyle name="Normal 27 4 4 3" xfId="7282"/>
    <cellStyle name="Normal 27 4 4 3 2" xfId="21389"/>
    <cellStyle name="Normal 27 4 4 3 3" xfId="15916"/>
    <cellStyle name="Normal 27 4 4 4" xfId="14337"/>
    <cellStyle name="Normal 27 4 4 5" xfId="19852"/>
    <cellStyle name="Normal 27 4 4 6" xfId="10529"/>
    <cellStyle name="Normal 27 4 5" xfId="4928"/>
    <cellStyle name="Normal 27 4 5 2" xfId="8074"/>
    <cellStyle name="Normal 27 4 5 2 2" xfId="22181"/>
    <cellStyle name="Normal 27 4 5 2 3" xfId="16708"/>
    <cellStyle name="Normal 27 4 5 3" xfId="14338"/>
    <cellStyle name="Normal 27 4 5 4" xfId="19853"/>
    <cellStyle name="Normal 27 4 5 5" xfId="11321"/>
    <cellStyle name="Normal 27 4 6" xfId="4929"/>
    <cellStyle name="Normal 27 4 7" xfId="6923"/>
    <cellStyle name="Normal 27 4 7 2" xfId="21033"/>
    <cellStyle name="Normal 27 4 7 3" xfId="15560"/>
    <cellStyle name="Normal 27 4 8" xfId="10173"/>
    <cellStyle name="Normal 27 5" xfId="2578"/>
    <cellStyle name="Normal 27 5 10" xfId="23962"/>
    <cellStyle name="Normal 27 5 11" xfId="10269"/>
    <cellStyle name="Normal 27 5 2" xfId="4930"/>
    <cellStyle name="Normal 27 5 2 2" xfId="4931"/>
    <cellStyle name="Normal 27 5 2 2 2" xfId="8346"/>
    <cellStyle name="Normal 27 5 2 2 2 2" xfId="22453"/>
    <cellStyle name="Normal 27 5 2 2 2 3" xfId="16980"/>
    <cellStyle name="Normal 27 5 2 2 3" xfId="14340"/>
    <cellStyle name="Normal 27 5 2 2 4" xfId="19855"/>
    <cellStyle name="Normal 27 5 2 2 5" xfId="11594"/>
    <cellStyle name="Normal 27 5 2 3" xfId="4932"/>
    <cellStyle name="Normal 27 5 2 3 2" xfId="9144"/>
    <cellStyle name="Normal 27 5 2 3 2 2" xfId="23245"/>
    <cellStyle name="Normal 27 5 2 3 2 3" xfId="17778"/>
    <cellStyle name="Normal 27 5 2 3 3" xfId="14341"/>
    <cellStyle name="Normal 27 5 2 3 4" xfId="19856"/>
    <cellStyle name="Normal 27 5 2 3 5" xfId="12389"/>
    <cellStyle name="Normal 27 5 2 4" xfId="7554"/>
    <cellStyle name="Normal 27 5 2 4 2" xfId="21661"/>
    <cellStyle name="Normal 27 5 2 4 3" xfId="16188"/>
    <cellStyle name="Normal 27 5 2 5" xfId="14339"/>
    <cellStyle name="Normal 27 5 2 6" xfId="19854"/>
    <cellStyle name="Normal 27 5 2 7" xfId="24166"/>
    <cellStyle name="Normal 27 5 2 8" xfId="10801"/>
    <cellStyle name="Normal 27 5 3" xfId="4933"/>
    <cellStyle name="Normal 27 5 3 2" xfId="4934"/>
    <cellStyle name="Normal 27 5 3 2 2" xfId="8606"/>
    <cellStyle name="Normal 27 5 3 2 2 2" xfId="22713"/>
    <cellStyle name="Normal 27 5 3 2 2 3" xfId="17240"/>
    <cellStyle name="Normal 27 5 3 2 3" xfId="14343"/>
    <cellStyle name="Normal 27 5 3 2 4" xfId="19858"/>
    <cellStyle name="Normal 27 5 3 2 5" xfId="11854"/>
    <cellStyle name="Normal 27 5 3 3" xfId="7814"/>
    <cellStyle name="Normal 27 5 3 3 2" xfId="21921"/>
    <cellStyle name="Normal 27 5 3 3 3" xfId="16448"/>
    <cellStyle name="Normal 27 5 3 4" xfId="14342"/>
    <cellStyle name="Normal 27 5 3 5" xfId="19857"/>
    <cellStyle name="Normal 27 5 3 6" xfId="11061"/>
    <cellStyle name="Normal 27 5 4" xfId="4935"/>
    <cellStyle name="Normal 27 5 4 2" xfId="6356"/>
    <cellStyle name="Normal 27 5 4 2 2" xfId="8792"/>
    <cellStyle name="Normal 27 5 4 2 2 2" xfId="22893"/>
    <cellStyle name="Normal 27 5 4 2 2 3" xfId="17426"/>
    <cellStyle name="Normal 27 5 4 2 3" xfId="15185"/>
    <cellStyle name="Normal 27 5 4 2 4" xfId="20679"/>
    <cellStyle name="Normal 27 5 4 2 5" xfId="12036"/>
    <cellStyle name="Normal 27 5 4 3" xfId="7202"/>
    <cellStyle name="Normal 27 5 4 3 2" xfId="21309"/>
    <cellStyle name="Normal 27 5 4 3 3" xfId="15836"/>
    <cellStyle name="Normal 27 5 4 4" xfId="14344"/>
    <cellStyle name="Normal 27 5 4 5" xfId="19859"/>
    <cellStyle name="Normal 27 5 4 6" xfId="10449"/>
    <cellStyle name="Normal 27 5 5" xfId="4936"/>
    <cellStyle name="Normal 27 5 5 2" xfId="7994"/>
    <cellStyle name="Normal 27 5 5 2 2" xfId="22101"/>
    <cellStyle name="Normal 27 5 5 2 3" xfId="16628"/>
    <cellStyle name="Normal 27 5 5 3" xfId="14345"/>
    <cellStyle name="Normal 27 5 5 4" xfId="19860"/>
    <cellStyle name="Normal 27 5 5 5" xfId="11241"/>
    <cellStyle name="Normal 27 5 6" xfId="4937"/>
    <cellStyle name="Normal 27 5 6 2" xfId="9410"/>
    <cellStyle name="Normal 27 5 6 2 2" xfId="23477"/>
    <cellStyle name="Normal 27 5 6 2 3" xfId="18029"/>
    <cellStyle name="Normal 27 5 6 3" xfId="14346"/>
    <cellStyle name="Normal 27 5 6 4" xfId="19861"/>
    <cellStyle name="Normal 27 5 6 5" xfId="12627"/>
    <cellStyle name="Normal 27 5 7" xfId="7019"/>
    <cellStyle name="Normal 27 5 7 2" xfId="21129"/>
    <cellStyle name="Normal 27 5 7 3" xfId="15656"/>
    <cellStyle name="Normal 27 5 8" xfId="9725"/>
    <cellStyle name="Normal 27 5 8 2" xfId="12833"/>
    <cellStyle name="Normal 27 5 9" xfId="9945"/>
    <cellStyle name="Normal 27 5 9 2" xfId="18384"/>
    <cellStyle name="Normal 27 6" xfId="4938"/>
    <cellStyle name="Normal 27 6 2" xfId="4939"/>
    <cellStyle name="Normal 27 6 2 2" xfId="8170"/>
    <cellStyle name="Normal 27 6 2 2 2" xfId="22277"/>
    <cellStyle name="Normal 27 6 2 2 3" xfId="16804"/>
    <cellStyle name="Normal 27 6 2 3" xfId="14348"/>
    <cellStyle name="Normal 27 6 2 4" xfId="19863"/>
    <cellStyle name="Normal 27 6 2 5" xfId="11417"/>
    <cellStyle name="Normal 27 6 3" xfId="4940"/>
    <cellStyle name="Normal 27 6 3 2" xfId="8968"/>
    <cellStyle name="Normal 27 6 3 2 2" xfId="23069"/>
    <cellStyle name="Normal 27 6 3 2 3" xfId="17602"/>
    <cellStyle name="Normal 27 6 3 3" xfId="14349"/>
    <cellStyle name="Normal 27 6 3 4" xfId="19864"/>
    <cellStyle name="Normal 27 6 3 5" xfId="12212"/>
    <cellStyle name="Normal 27 6 4" xfId="7378"/>
    <cellStyle name="Normal 27 6 4 2" xfId="21485"/>
    <cellStyle name="Normal 27 6 4 3" xfId="16012"/>
    <cellStyle name="Normal 27 6 5" xfId="14347"/>
    <cellStyle name="Normal 27 6 6" xfId="19862"/>
    <cellStyle name="Normal 27 6 7" xfId="10625"/>
    <cellStyle name="Normal 27 6 8" xfId="41959"/>
    <cellStyle name="Normal 27 7" xfId="4941"/>
    <cellStyle name="Normal 27 7 2" xfId="4942"/>
    <cellStyle name="Normal 27 7 2 2" xfId="8430"/>
    <cellStyle name="Normal 27 7 2 2 2" xfId="22537"/>
    <cellStyle name="Normal 27 7 2 2 3" xfId="17064"/>
    <cellStyle name="Normal 27 7 2 3" xfId="14351"/>
    <cellStyle name="Normal 27 7 2 4" xfId="19866"/>
    <cellStyle name="Normal 27 7 2 5" xfId="11678"/>
    <cellStyle name="Normal 27 7 3" xfId="7638"/>
    <cellStyle name="Normal 27 7 3 2" xfId="21745"/>
    <cellStyle name="Normal 27 7 3 3" xfId="16272"/>
    <cellStyle name="Normal 27 7 4" xfId="14350"/>
    <cellStyle name="Normal 27 7 5" xfId="19865"/>
    <cellStyle name="Normal 27 7 6" xfId="10885"/>
    <cellStyle name="Normal 27 7 7" xfId="41960"/>
    <cellStyle name="Normal 27 8" xfId="4943"/>
    <cellStyle name="Normal 27 8 2" xfId="6260"/>
    <cellStyle name="Normal 27 8 2 2" xfId="8696"/>
    <cellStyle name="Normal 27 8 2 2 2" xfId="22797"/>
    <cellStyle name="Normal 27 8 2 2 3" xfId="17330"/>
    <cellStyle name="Normal 27 8 2 3" xfId="15089"/>
    <cellStyle name="Normal 27 8 2 4" xfId="20583"/>
    <cellStyle name="Normal 27 8 2 5" xfId="11940"/>
    <cellStyle name="Normal 27 8 3" xfId="7106"/>
    <cellStyle name="Normal 27 8 3 2" xfId="21213"/>
    <cellStyle name="Normal 27 8 3 3" xfId="15740"/>
    <cellStyle name="Normal 27 8 4" xfId="14352"/>
    <cellStyle name="Normal 27 8 5" xfId="19867"/>
    <cellStyle name="Normal 27 8 6" xfId="10353"/>
    <cellStyle name="Normal 27 9" xfId="4944"/>
    <cellStyle name="Normal 27 9 2" xfId="7898"/>
    <cellStyle name="Normal 27 9 2 2" xfId="22005"/>
    <cellStyle name="Normal 27 9 2 3" xfId="16532"/>
    <cellStyle name="Normal 27 9 3" xfId="14353"/>
    <cellStyle name="Normal 27 9 4" xfId="19868"/>
    <cellStyle name="Normal 27 9 5" xfId="11145"/>
    <cellStyle name="Normal 28" xfId="644"/>
    <cellStyle name="Normal 28 10" xfId="6847"/>
    <cellStyle name="Normal 28 10 2" xfId="20977"/>
    <cellStyle name="Normal 28 10 3" xfId="15503"/>
    <cellStyle name="Normal 28 11" xfId="10111"/>
    <cellStyle name="Normal 28 2" xfId="1478"/>
    <cellStyle name="Normal 28 2 2" xfId="2137"/>
    <cellStyle name="Normal 28 2 2 10" xfId="10325"/>
    <cellStyle name="Normal 28 2 2 2" xfId="2951"/>
    <cellStyle name="Normal 28 2 2 2 2" xfId="4945"/>
    <cellStyle name="Normal 28 2 2 2 2 2" xfId="8662"/>
    <cellStyle name="Normal 28 2 2 2 2 2 2" xfId="22769"/>
    <cellStyle name="Normal 28 2 2 2 2 2 3" xfId="17296"/>
    <cellStyle name="Normal 28 2 2 2 2 3" xfId="14354"/>
    <cellStyle name="Normal 28 2 2 2 2 4" xfId="19869"/>
    <cellStyle name="Normal 28 2 2 2 2 5" xfId="11910"/>
    <cellStyle name="Normal 28 2 2 2 3" xfId="4946"/>
    <cellStyle name="Normal 28 2 2 2 4" xfId="7870"/>
    <cellStyle name="Normal 28 2 2 2 4 2" xfId="21977"/>
    <cellStyle name="Normal 28 2 2 2 4 3" xfId="16504"/>
    <cellStyle name="Normal 28 2 2 2 5" xfId="11117"/>
    <cellStyle name="Normal 28 2 2 3" xfId="4947"/>
    <cellStyle name="Normal 28 2 2 3 2" xfId="6601"/>
    <cellStyle name="Normal 28 2 2 3 2 2" xfId="9200"/>
    <cellStyle name="Normal 28 2 2 3 2 2 2" xfId="23301"/>
    <cellStyle name="Normal 28 2 2 3 2 2 3" xfId="17834"/>
    <cellStyle name="Normal 28 2 2 3 2 3" xfId="15386"/>
    <cellStyle name="Normal 28 2 2 3 2 4" xfId="20879"/>
    <cellStyle name="Normal 28 2 2 3 2 5" xfId="12445"/>
    <cellStyle name="Normal 28 2 2 3 3" xfId="7610"/>
    <cellStyle name="Normal 28 2 2 3 3 2" xfId="21717"/>
    <cellStyle name="Normal 28 2 2 3 3 3" xfId="16244"/>
    <cellStyle name="Normal 28 2 2 3 4" xfId="14355"/>
    <cellStyle name="Normal 28 2 2 3 5" xfId="19870"/>
    <cellStyle name="Normal 28 2 2 3 6" xfId="24156"/>
    <cellStyle name="Normal 28 2 2 3 7" xfId="10857"/>
    <cellStyle name="Normal 28 2 2 4" xfId="4948"/>
    <cellStyle name="Normal 28 2 2 4 2" xfId="8402"/>
    <cellStyle name="Normal 28 2 2 4 2 2" xfId="22509"/>
    <cellStyle name="Normal 28 2 2 4 2 3" xfId="17036"/>
    <cellStyle name="Normal 28 2 2 4 3" xfId="14356"/>
    <cellStyle name="Normal 28 2 2 4 4" xfId="19871"/>
    <cellStyle name="Normal 28 2 2 4 5" xfId="11650"/>
    <cellStyle name="Normal 28 2 2 5" xfId="4949"/>
    <cellStyle name="Normal 28 2 2 5 2" xfId="9399"/>
    <cellStyle name="Normal 28 2 2 5 2 2" xfId="23467"/>
    <cellStyle name="Normal 28 2 2 5 2 3" xfId="18019"/>
    <cellStyle name="Normal 28 2 2 5 3" xfId="14357"/>
    <cellStyle name="Normal 28 2 2 5 4" xfId="19872"/>
    <cellStyle name="Normal 28 2 2 5 5" xfId="12616"/>
    <cellStyle name="Normal 28 2 2 6" xfId="7076"/>
    <cellStyle name="Normal 28 2 2 6 2" xfId="21185"/>
    <cellStyle name="Normal 28 2 2 6 3" xfId="15712"/>
    <cellStyle name="Normal 28 2 2 7" xfId="9705"/>
    <cellStyle name="Normal 28 2 2 7 2" xfId="12823"/>
    <cellStyle name="Normal 28 2 2 8" xfId="9934"/>
    <cellStyle name="Normal 28 2 2 8 2" xfId="18374"/>
    <cellStyle name="Normal 28 2 2 9" xfId="23832"/>
    <cellStyle name="Normal 28 2 3" xfId="4950"/>
    <cellStyle name="Normal 28 2 3 2" xfId="4951"/>
    <cellStyle name="Normal 28 2 3 2 2" xfId="8226"/>
    <cellStyle name="Normal 28 2 3 2 2 2" xfId="22333"/>
    <cellStyle name="Normal 28 2 3 2 2 3" xfId="16860"/>
    <cellStyle name="Normal 28 2 3 2 3" xfId="14359"/>
    <cellStyle name="Normal 28 2 3 2 4" xfId="19874"/>
    <cellStyle name="Normal 28 2 3 2 5" xfId="11473"/>
    <cellStyle name="Normal 28 2 3 3" xfId="4952"/>
    <cellStyle name="Normal 28 2 3 3 2" xfId="9024"/>
    <cellStyle name="Normal 28 2 3 3 2 2" xfId="23125"/>
    <cellStyle name="Normal 28 2 3 3 2 3" xfId="17658"/>
    <cellStyle name="Normal 28 2 3 3 3" xfId="14360"/>
    <cellStyle name="Normal 28 2 3 3 4" xfId="19875"/>
    <cellStyle name="Normal 28 2 3 3 5" xfId="12268"/>
    <cellStyle name="Normal 28 2 3 4" xfId="7434"/>
    <cellStyle name="Normal 28 2 3 4 2" xfId="21541"/>
    <cellStyle name="Normal 28 2 3 4 3" xfId="16068"/>
    <cellStyle name="Normal 28 2 3 5" xfId="14358"/>
    <cellStyle name="Normal 28 2 3 6" xfId="19873"/>
    <cellStyle name="Normal 28 2 3 7" xfId="10681"/>
    <cellStyle name="Normal 28 2 4" xfId="4953"/>
    <cellStyle name="Normal 28 2 4 2" xfId="4954"/>
    <cellStyle name="Normal 28 2 4 2 2" xfId="8486"/>
    <cellStyle name="Normal 28 2 4 2 2 2" xfId="22593"/>
    <cellStyle name="Normal 28 2 4 2 2 3" xfId="17120"/>
    <cellStyle name="Normal 28 2 4 2 3" xfId="14362"/>
    <cellStyle name="Normal 28 2 4 2 4" xfId="19877"/>
    <cellStyle name="Normal 28 2 4 2 5" xfId="11734"/>
    <cellStyle name="Normal 28 2 4 3" xfId="7694"/>
    <cellStyle name="Normal 28 2 4 3 2" xfId="21801"/>
    <cellStyle name="Normal 28 2 4 3 3" xfId="16328"/>
    <cellStyle name="Normal 28 2 4 4" xfId="14361"/>
    <cellStyle name="Normal 28 2 4 5" xfId="19876"/>
    <cellStyle name="Normal 28 2 4 6" xfId="10941"/>
    <cellStyle name="Normal 28 2 5" xfId="4955"/>
    <cellStyle name="Normal 28 2 5 2" xfId="6412"/>
    <cellStyle name="Normal 28 2 5 2 2" xfId="8848"/>
    <cellStyle name="Normal 28 2 5 2 2 2" xfId="22949"/>
    <cellStyle name="Normal 28 2 5 2 2 3" xfId="17482"/>
    <cellStyle name="Normal 28 2 5 2 3" xfId="15241"/>
    <cellStyle name="Normal 28 2 5 2 4" xfId="20735"/>
    <cellStyle name="Normal 28 2 5 2 5" xfId="12092"/>
    <cellStyle name="Normal 28 2 5 3" xfId="7258"/>
    <cellStyle name="Normal 28 2 5 3 2" xfId="21365"/>
    <cellStyle name="Normal 28 2 5 3 3" xfId="15892"/>
    <cellStyle name="Normal 28 2 5 4" xfId="14363"/>
    <cellStyle name="Normal 28 2 5 5" xfId="19878"/>
    <cellStyle name="Normal 28 2 5 6" xfId="10505"/>
    <cellStyle name="Normal 28 2 6" xfId="4956"/>
    <cellStyle name="Normal 28 2 6 2" xfId="8050"/>
    <cellStyle name="Normal 28 2 6 2 2" xfId="22157"/>
    <cellStyle name="Normal 28 2 6 2 3" xfId="16684"/>
    <cellStyle name="Normal 28 2 6 3" xfId="14364"/>
    <cellStyle name="Normal 28 2 6 4" xfId="19879"/>
    <cellStyle name="Normal 28 2 6 5" xfId="11297"/>
    <cellStyle name="Normal 28 2 7" xfId="4957"/>
    <cellStyle name="Normal 28 2 8" xfId="6896"/>
    <cellStyle name="Normal 28 2 8 2" xfId="21009"/>
    <cellStyle name="Normal 28 2 8 3" xfId="15536"/>
    <cellStyle name="Normal 28 2 9" xfId="10147"/>
    <cellStyle name="Normal 28 3" xfId="1590"/>
    <cellStyle name="Normal 28 3 2" xfId="4958"/>
    <cellStyle name="Normal 28 3 2 2" xfId="9493"/>
    <cellStyle name="Normal 28 3 2 2 2" xfId="23540"/>
    <cellStyle name="Normal 28 3 2 2 3" xfId="18094"/>
    <cellStyle name="Normal 28 3 2 3" xfId="14365"/>
    <cellStyle name="Normal 28 3 2 4" xfId="19880"/>
    <cellStyle name="Normal 28 3 2 5" xfId="24229"/>
    <cellStyle name="Normal 28 3 2 6" xfId="12694"/>
    <cellStyle name="Normal 28 3 3" xfId="6136"/>
    <cellStyle name="Normal 28 3 3 2" xfId="41961"/>
    <cellStyle name="Normal 28 3 4" xfId="9795"/>
    <cellStyle name="Normal 28 3 4 2" xfId="12896"/>
    <cellStyle name="Normal 28 3 5" xfId="10008"/>
    <cellStyle name="Normal 28 3 5 2" xfId="18447"/>
    <cellStyle name="Normal 28 3 6" xfId="23738"/>
    <cellStyle name="Normal 28 3 7" xfId="3020"/>
    <cellStyle name="Normal 28 4" xfId="1023"/>
    <cellStyle name="Normal 28 4 2" xfId="4959"/>
    <cellStyle name="Normal 28 4 2 2" xfId="4960"/>
    <cellStyle name="Normal 28 4 2 2 2" xfId="8274"/>
    <cellStyle name="Normal 28 4 2 2 2 2" xfId="22381"/>
    <cellStyle name="Normal 28 4 2 2 2 3" xfId="16908"/>
    <cellStyle name="Normal 28 4 2 2 3" xfId="14367"/>
    <cellStyle name="Normal 28 4 2 2 4" xfId="19882"/>
    <cellStyle name="Normal 28 4 2 2 5" xfId="11521"/>
    <cellStyle name="Normal 28 4 2 3" xfId="4961"/>
    <cellStyle name="Normal 28 4 2 3 2" xfId="9072"/>
    <cellStyle name="Normal 28 4 2 3 2 2" xfId="23173"/>
    <cellStyle name="Normal 28 4 2 3 2 3" xfId="17706"/>
    <cellStyle name="Normal 28 4 2 3 3" xfId="14368"/>
    <cellStyle name="Normal 28 4 2 3 4" xfId="19883"/>
    <cellStyle name="Normal 28 4 2 3 5" xfId="12317"/>
    <cellStyle name="Normal 28 4 2 4" xfId="7482"/>
    <cellStyle name="Normal 28 4 2 4 2" xfId="21589"/>
    <cellStyle name="Normal 28 4 2 4 3" xfId="16116"/>
    <cellStyle name="Normal 28 4 2 5" xfId="14366"/>
    <cellStyle name="Normal 28 4 2 6" xfId="19881"/>
    <cellStyle name="Normal 28 4 2 7" xfId="10729"/>
    <cellStyle name="Normal 28 4 3" xfId="4962"/>
    <cellStyle name="Normal 28 4 3 2" xfId="4963"/>
    <cellStyle name="Normal 28 4 3 2 2" xfId="8534"/>
    <cellStyle name="Normal 28 4 3 2 2 2" xfId="22641"/>
    <cellStyle name="Normal 28 4 3 2 2 3" xfId="17168"/>
    <cellStyle name="Normal 28 4 3 2 3" xfId="14370"/>
    <cellStyle name="Normal 28 4 3 2 4" xfId="19885"/>
    <cellStyle name="Normal 28 4 3 2 5" xfId="11782"/>
    <cellStyle name="Normal 28 4 3 3" xfId="7742"/>
    <cellStyle name="Normal 28 4 3 3 2" xfId="21849"/>
    <cellStyle name="Normal 28 4 3 3 3" xfId="16376"/>
    <cellStyle name="Normal 28 4 3 4" xfId="14369"/>
    <cellStyle name="Normal 28 4 3 5" xfId="19884"/>
    <cellStyle name="Normal 28 4 3 6" xfId="10989"/>
    <cellStyle name="Normal 28 4 4" xfId="4964"/>
    <cellStyle name="Normal 28 4 4 2" xfId="6460"/>
    <cellStyle name="Normal 28 4 4 2 2" xfId="8896"/>
    <cellStyle name="Normal 28 4 4 2 2 2" xfId="22997"/>
    <cellStyle name="Normal 28 4 4 2 2 3" xfId="17530"/>
    <cellStyle name="Normal 28 4 4 2 3" xfId="15289"/>
    <cellStyle name="Normal 28 4 4 2 4" xfId="20783"/>
    <cellStyle name="Normal 28 4 4 2 5" xfId="12140"/>
    <cellStyle name="Normal 28 4 4 3" xfId="7306"/>
    <cellStyle name="Normal 28 4 4 3 2" xfId="21413"/>
    <cellStyle name="Normal 28 4 4 3 3" xfId="15940"/>
    <cellStyle name="Normal 28 4 4 4" xfId="14371"/>
    <cellStyle name="Normal 28 4 4 5" xfId="19886"/>
    <cellStyle name="Normal 28 4 4 6" xfId="10553"/>
    <cellStyle name="Normal 28 4 5" xfId="4965"/>
    <cellStyle name="Normal 28 4 5 2" xfId="8098"/>
    <cellStyle name="Normal 28 4 5 2 2" xfId="22205"/>
    <cellStyle name="Normal 28 4 5 2 3" xfId="16732"/>
    <cellStyle name="Normal 28 4 5 3" xfId="14372"/>
    <cellStyle name="Normal 28 4 5 4" xfId="19887"/>
    <cellStyle name="Normal 28 4 5 5" xfId="11345"/>
    <cellStyle name="Normal 28 4 6" xfId="4966"/>
    <cellStyle name="Normal 28 4 7" xfId="6947"/>
    <cellStyle name="Normal 28 4 7 2" xfId="21057"/>
    <cellStyle name="Normal 28 4 7 3" xfId="15584"/>
    <cellStyle name="Normal 28 4 8" xfId="10197"/>
    <cellStyle name="Normal 28 5" xfId="2601"/>
    <cellStyle name="Normal 28 5 10" xfId="23985"/>
    <cellStyle name="Normal 28 5 11" xfId="10293"/>
    <cellStyle name="Normal 28 5 2" xfId="4967"/>
    <cellStyle name="Normal 28 5 2 2" xfId="4968"/>
    <cellStyle name="Normal 28 5 2 2 2" xfId="8370"/>
    <cellStyle name="Normal 28 5 2 2 2 2" xfId="22477"/>
    <cellStyle name="Normal 28 5 2 2 2 3" xfId="17004"/>
    <cellStyle name="Normal 28 5 2 2 3" xfId="14374"/>
    <cellStyle name="Normal 28 5 2 2 4" xfId="19889"/>
    <cellStyle name="Normal 28 5 2 2 5" xfId="11618"/>
    <cellStyle name="Normal 28 5 2 3" xfId="4969"/>
    <cellStyle name="Normal 28 5 2 3 2" xfId="9168"/>
    <cellStyle name="Normal 28 5 2 3 2 2" xfId="23269"/>
    <cellStyle name="Normal 28 5 2 3 2 3" xfId="17802"/>
    <cellStyle name="Normal 28 5 2 3 3" xfId="14375"/>
    <cellStyle name="Normal 28 5 2 3 4" xfId="19890"/>
    <cellStyle name="Normal 28 5 2 3 5" xfId="12413"/>
    <cellStyle name="Normal 28 5 2 4" xfId="7578"/>
    <cellStyle name="Normal 28 5 2 4 2" xfId="21685"/>
    <cellStyle name="Normal 28 5 2 4 3" xfId="16212"/>
    <cellStyle name="Normal 28 5 2 5" xfId="14373"/>
    <cellStyle name="Normal 28 5 2 6" xfId="19888"/>
    <cellStyle name="Normal 28 5 2 7" xfId="24189"/>
    <cellStyle name="Normal 28 5 2 8" xfId="10825"/>
    <cellStyle name="Normal 28 5 3" xfId="4970"/>
    <cellStyle name="Normal 28 5 3 2" xfId="4971"/>
    <cellStyle name="Normal 28 5 3 2 2" xfId="8630"/>
    <cellStyle name="Normal 28 5 3 2 2 2" xfId="22737"/>
    <cellStyle name="Normal 28 5 3 2 2 3" xfId="17264"/>
    <cellStyle name="Normal 28 5 3 2 3" xfId="14377"/>
    <cellStyle name="Normal 28 5 3 2 4" xfId="19892"/>
    <cellStyle name="Normal 28 5 3 2 5" xfId="11878"/>
    <cellStyle name="Normal 28 5 3 3" xfId="7838"/>
    <cellStyle name="Normal 28 5 3 3 2" xfId="21945"/>
    <cellStyle name="Normal 28 5 3 3 3" xfId="16472"/>
    <cellStyle name="Normal 28 5 3 4" xfId="14376"/>
    <cellStyle name="Normal 28 5 3 5" xfId="19891"/>
    <cellStyle name="Normal 28 5 3 6" xfId="11085"/>
    <cellStyle name="Normal 28 5 4" xfId="4972"/>
    <cellStyle name="Normal 28 5 4 2" xfId="6380"/>
    <cellStyle name="Normal 28 5 4 2 2" xfId="8816"/>
    <cellStyle name="Normal 28 5 4 2 2 2" xfId="22917"/>
    <cellStyle name="Normal 28 5 4 2 2 3" xfId="17450"/>
    <cellStyle name="Normal 28 5 4 2 3" xfId="15209"/>
    <cellStyle name="Normal 28 5 4 2 4" xfId="20703"/>
    <cellStyle name="Normal 28 5 4 2 5" xfId="12060"/>
    <cellStyle name="Normal 28 5 4 3" xfId="7226"/>
    <cellStyle name="Normal 28 5 4 3 2" xfId="21333"/>
    <cellStyle name="Normal 28 5 4 3 3" xfId="15860"/>
    <cellStyle name="Normal 28 5 4 4" xfId="14378"/>
    <cellStyle name="Normal 28 5 4 5" xfId="19893"/>
    <cellStyle name="Normal 28 5 4 6" xfId="10473"/>
    <cellStyle name="Normal 28 5 5" xfId="4973"/>
    <cellStyle name="Normal 28 5 5 2" xfId="8018"/>
    <cellStyle name="Normal 28 5 5 2 2" xfId="22125"/>
    <cellStyle name="Normal 28 5 5 2 3" xfId="16652"/>
    <cellStyle name="Normal 28 5 5 3" xfId="14379"/>
    <cellStyle name="Normal 28 5 5 4" xfId="19894"/>
    <cellStyle name="Normal 28 5 5 5" xfId="11265"/>
    <cellStyle name="Normal 28 5 6" xfId="4974"/>
    <cellStyle name="Normal 28 5 6 2" xfId="9433"/>
    <cellStyle name="Normal 28 5 6 2 2" xfId="23500"/>
    <cellStyle name="Normal 28 5 6 2 3" xfId="18052"/>
    <cellStyle name="Normal 28 5 6 3" xfId="14380"/>
    <cellStyle name="Normal 28 5 6 4" xfId="19895"/>
    <cellStyle name="Normal 28 5 6 5" xfId="12650"/>
    <cellStyle name="Normal 28 5 7" xfId="7043"/>
    <cellStyle name="Normal 28 5 7 2" xfId="21153"/>
    <cellStyle name="Normal 28 5 7 3" xfId="15680"/>
    <cellStyle name="Normal 28 5 8" xfId="9748"/>
    <cellStyle name="Normal 28 5 8 2" xfId="12856"/>
    <cellStyle name="Normal 28 5 9" xfId="9968"/>
    <cellStyle name="Normal 28 5 9 2" xfId="18407"/>
    <cellStyle name="Normal 28 6" xfId="4975"/>
    <cellStyle name="Normal 28 6 2" xfId="4976"/>
    <cellStyle name="Normal 28 6 2 2" xfId="8194"/>
    <cellStyle name="Normal 28 6 2 2 2" xfId="22301"/>
    <cellStyle name="Normal 28 6 2 2 3" xfId="16828"/>
    <cellStyle name="Normal 28 6 2 3" xfId="14382"/>
    <cellStyle name="Normal 28 6 2 4" xfId="19897"/>
    <cellStyle name="Normal 28 6 2 5" xfId="11441"/>
    <cellStyle name="Normal 28 6 3" xfId="4977"/>
    <cellStyle name="Normal 28 6 3 2" xfId="8992"/>
    <cellStyle name="Normal 28 6 3 2 2" xfId="23093"/>
    <cellStyle name="Normal 28 6 3 2 3" xfId="17626"/>
    <cellStyle name="Normal 28 6 3 3" xfId="14383"/>
    <cellStyle name="Normal 28 6 3 4" xfId="19898"/>
    <cellStyle name="Normal 28 6 3 5" xfId="12236"/>
    <cellStyle name="Normal 28 6 4" xfId="7402"/>
    <cellStyle name="Normal 28 6 4 2" xfId="21509"/>
    <cellStyle name="Normal 28 6 4 3" xfId="16036"/>
    <cellStyle name="Normal 28 6 5" xfId="14381"/>
    <cellStyle name="Normal 28 6 6" xfId="19896"/>
    <cellStyle name="Normal 28 6 7" xfId="10649"/>
    <cellStyle name="Normal 28 6 8" xfId="41962"/>
    <cellStyle name="Normal 28 7" xfId="4978"/>
    <cellStyle name="Normal 28 7 2" xfId="4979"/>
    <cellStyle name="Normal 28 7 2 2" xfId="8454"/>
    <cellStyle name="Normal 28 7 2 2 2" xfId="22561"/>
    <cellStyle name="Normal 28 7 2 2 3" xfId="17088"/>
    <cellStyle name="Normal 28 7 2 3" xfId="14385"/>
    <cellStyle name="Normal 28 7 2 4" xfId="19900"/>
    <cellStyle name="Normal 28 7 2 5" xfId="11702"/>
    <cellStyle name="Normal 28 7 3" xfId="7662"/>
    <cellStyle name="Normal 28 7 3 2" xfId="21769"/>
    <cellStyle name="Normal 28 7 3 3" xfId="16296"/>
    <cellStyle name="Normal 28 7 4" xfId="14384"/>
    <cellStyle name="Normal 28 7 5" xfId="19899"/>
    <cellStyle name="Normal 28 7 6" xfId="10909"/>
    <cellStyle name="Normal 28 7 7" xfId="41963"/>
    <cellStyle name="Normal 28 8" xfId="4980"/>
    <cellStyle name="Normal 28 8 2" xfId="6284"/>
    <cellStyle name="Normal 28 8 2 2" xfId="8720"/>
    <cellStyle name="Normal 28 8 2 2 2" xfId="22821"/>
    <cellStyle name="Normal 28 8 2 2 3" xfId="17354"/>
    <cellStyle name="Normal 28 8 2 3" xfId="15113"/>
    <cellStyle name="Normal 28 8 2 4" xfId="20607"/>
    <cellStyle name="Normal 28 8 2 5" xfId="11964"/>
    <cellStyle name="Normal 28 8 3" xfId="7130"/>
    <cellStyle name="Normal 28 8 3 2" xfId="21237"/>
    <cellStyle name="Normal 28 8 3 3" xfId="15764"/>
    <cellStyle name="Normal 28 8 4" xfId="14386"/>
    <cellStyle name="Normal 28 8 5" xfId="19901"/>
    <cellStyle name="Normal 28 8 6" xfId="10377"/>
    <cellStyle name="Normal 28 9" xfId="4981"/>
    <cellStyle name="Normal 28 9 2" xfId="7922"/>
    <cellStyle name="Normal 28 9 2 2" xfId="22029"/>
    <cellStyle name="Normal 28 9 2 3" xfId="16556"/>
    <cellStyle name="Normal 28 9 3" xfId="14387"/>
    <cellStyle name="Normal 28 9 4" xfId="19902"/>
    <cellStyle name="Normal 28 9 5" xfId="11169"/>
    <cellStyle name="Normal 29" xfId="630"/>
    <cellStyle name="Normal 29 10" xfId="6823"/>
    <cellStyle name="Normal 29 10 2" xfId="20955"/>
    <cellStyle name="Normal 29 10 3" xfId="15481"/>
    <cellStyle name="Normal 29 11" xfId="10089"/>
    <cellStyle name="Normal 29 2" xfId="1142"/>
    <cellStyle name="Normal 29 2 2" xfId="4982"/>
    <cellStyle name="Normal 29 2 2 2" xfId="4983"/>
    <cellStyle name="Normal 29 2 2 2 2" xfId="4984"/>
    <cellStyle name="Normal 29 2 2 2 2 2" xfId="8640"/>
    <cellStyle name="Normal 29 2 2 2 2 2 2" xfId="22747"/>
    <cellStyle name="Normal 29 2 2 2 2 2 3" xfId="17274"/>
    <cellStyle name="Normal 29 2 2 2 2 3" xfId="14390"/>
    <cellStyle name="Normal 29 2 2 2 2 4" xfId="19905"/>
    <cellStyle name="Normal 29 2 2 2 2 5" xfId="11888"/>
    <cellStyle name="Normal 29 2 2 2 3" xfId="7848"/>
    <cellStyle name="Normal 29 2 2 2 3 2" xfId="21955"/>
    <cellStyle name="Normal 29 2 2 2 3 3" xfId="16482"/>
    <cellStyle name="Normal 29 2 2 2 4" xfId="14389"/>
    <cellStyle name="Normal 29 2 2 2 5" xfId="19904"/>
    <cellStyle name="Normal 29 2 2 2 6" xfId="11095"/>
    <cellStyle name="Normal 29 2 2 3" xfId="4985"/>
    <cellStyle name="Normal 29 2 2 3 2" xfId="6579"/>
    <cellStyle name="Normal 29 2 2 3 2 2" xfId="9178"/>
    <cellStyle name="Normal 29 2 2 3 2 2 2" xfId="23279"/>
    <cellStyle name="Normal 29 2 2 3 2 2 3" xfId="17812"/>
    <cellStyle name="Normal 29 2 2 3 2 3" xfId="15364"/>
    <cellStyle name="Normal 29 2 2 3 2 4" xfId="20857"/>
    <cellStyle name="Normal 29 2 2 3 2 5" xfId="12423"/>
    <cellStyle name="Normal 29 2 2 3 3" xfId="7588"/>
    <cellStyle name="Normal 29 2 2 3 3 2" xfId="21695"/>
    <cellStyle name="Normal 29 2 2 3 3 3" xfId="16222"/>
    <cellStyle name="Normal 29 2 2 3 4" xfId="14391"/>
    <cellStyle name="Normal 29 2 2 3 5" xfId="19906"/>
    <cellStyle name="Normal 29 2 2 3 6" xfId="10835"/>
    <cellStyle name="Normal 29 2 2 4" xfId="4986"/>
    <cellStyle name="Normal 29 2 2 4 2" xfId="8380"/>
    <cellStyle name="Normal 29 2 2 4 2 2" xfId="22487"/>
    <cellStyle name="Normal 29 2 2 4 2 3" xfId="17014"/>
    <cellStyle name="Normal 29 2 2 4 3" xfId="14392"/>
    <cellStyle name="Normal 29 2 2 4 4" xfId="19907"/>
    <cellStyle name="Normal 29 2 2 4 5" xfId="11628"/>
    <cellStyle name="Normal 29 2 2 5" xfId="7054"/>
    <cellStyle name="Normal 29 2 2 5 2" xfId="21163"/>
    <cellStyle name="Normal 29 2 2 5 3" xfId="15690"/>
    <cellStyle name="Normal 29 2 2 6" xfId="14388"/>
    <cellStyle name="Normal 29 2 2 7" xfId="19903"/>
    <cellStyle name="Normal 29 2 2 8" xfId="10303"/>
    <cellStyle name="Normal 29 2 3" xfId="4987"/>
    <cellStyle name="Normal 29 2 3 2" xfId="4988"/>
    <cellStyle name="Normal 29 2 3 2 2" xfId="8204"/>
    <cellStyle name="Normal 29 2 3 2 2 2" xfId="22311"/>
    <cellStyle name="Normal 29 2 3 2 2 3" xfId="16838"/>
    <cellStyle name="Normal 29 2 3 2 3" xfId="14394"/>
    <cellStyle name="Normal 29 2 3 2 4" xfId="19909"/>
    <cellStyle name="Normal 29 2 3 2 5" xfId="11451"/>
    <cellStyle name="Normal 29 2 3 3" xfId="4989"/>
    <cellStyle name="Normal 29 2 3 3 2" xfId="9002"/>
    <cellStyle name="Normal 29 2 3 3 2 2" xfId="23103"/>
    <cellStyle name="Normal 29 2 3 3 2 3" xfId="17636"/>
    <cellStyle name="Normal 29 2 3 3 3" xfId="14395"/>
    <cellStyle name="Normal 29 2 3 3 4" xfId="19910"/>
    <cellStyle name="Normal 29 2 3 3 5" xfId="12246"/>
    <cellStyle name="Normal 29 2 3 4" xfId="7412"/>
    <cellStyle name="Normal 29 2 3 4 2" xfId="21519"/>
    <cellStyle name="Normal 29 2 3 4 3" xfId="16046"/>
    <cellStyle name="Normal 29 2 3 5" xfId="14393"/>
    <cellStyle name="Normal 29 2 3 6" xfId="19908"/>
    <cellStyle name="Normal 29 2 3 7" xfId="10659"/>
    <cellStyle name="Normal 29 2 4" xfId="4990"/>
    <cellStyle name="Normal 29 2 4 2" xfId="4991"/>
    <cellStyle name="Normal 29 2 4 2 2" xfId="8464"/>
    <cellStyle name="Normal 29 2 4 2 2 2" xfId="22571"/>
    <cellStyle name="Normal 29 2 4 2 2 3" xfId="17098"/>
    <cellStyle name="Normal 29 2 4 2 3" xfId="14397"/>
    <cellStyle name="Normal 29 2 4 2 4" xfId="19912"/>
    <cellStyle name="Normal 29 2 4 2 5" xfId="11712"/>
    <cellStyle name="Normal 29 2 4 3" xfId="7672"/>
    <cellStyle name="Normal 29 2 4 3 2" xfId="21779"/>
    <cellStyle name="Normal 29 2 4 3 3" xfId="16306"/>
    <cellStyle name="Normal 29 2 4 4" xfId="14396"/>
    <cellStyle name="Normal 29 2 4 5" xfId="19911"/>
    <cellStyle name="Normal 29 2 4 6" xfId="10919"/>
    <cellStyle name="Normal 29 2 5" xfId="4992"/>
    <cellStyle name="Normal 29 2 5 2" xfId="6390"/>
    <cellStyle name="Normal 29 2 5 2 2" xfId="8826"/>
    <cellStyle name="Normal 29 2 5 2 2 2" xfId="22927"/>
    <cellStyle name="Normal 29 2 5 2 2 3" xfId="17460"/>
    <cellStyle name="Normal 29 2 5 2 3" xfId="15219"/>
    <cellStyle name="Normal 29 2 5 2 4" xfId="20713"/>
    <cellStyle name="Normal 29 2 5 2 5" xfId="12070"/>
    <cellStyle name="Normal 29 2 5 3" xfId="7236"/>
    <cellStyle name="Normal 29 2 5 3 2" xfId="21343"/>
    <cellStyle name="Normal 29 2 5 3 3" xfId="15870"/>
    <cellStyle name="Normal 29 2 5 4" xfId="14398"/>
    <cellStyle name="Normal 29 2 5 5" xfId="19913"/>
    <cellStyle name="Normal 29 2 5 6" xfId="10483"/>
    <cellStyle name="Normal 29 2 6" xfId="4993"/>
    <cellStyle name="Normal 29 2 6 2" xfId="8028"/>
    <cellStyle name="Normal 29 2 6 2 2" xfId="22135"/>
    <cellStyle name="Normal 29 2 6 2 3" xfId="16662"/>
    <cellStyle name="Normal 29 2 6 3" xfId="14399"/>
    <cellStyle name="Normal 29 2 6 4" xfId="19914"/>
    <cellStyle name="Normal 29 2 6 5" xfId="11275"/>
    <cellStyle name="Normal 29 2 7" xfId="4994"/>
    <cellStyle name="Normal 29 2 8" xfId="6872"/>
    <cellStyle name="Normal 29 2 8 2" xfId="20987"/>
    <cellStyle name="Normal 29 2 8 3" xfId="15514"/>
    <cellStyle name="Normal 29 2 9" xfId="10125"/>
    <cellStyle name="Normal 29 3" xfId="1533"/>
    <cellStyle name="Normal 29 3 2" xfId="4995"/>
    <cellStyle name="Normal 29 3 2 2" xfId="9376"/>
    <cellStyle name="Normal 29 3 2 2 2" xfId="23445"/>
    <cellStyle name="Normal 29 3 2 2 3" xfId="17997"/>
    <cellStyle name="Normal 29 3 2 3" xfId="14400"/>
    <cellStyle name="Normal 29 3 2 4" xfId="19915"/>
    <cellStyle name="Normal 29 3 2 5" xfId="24134"/>
    <cellStyle name="Normal 29 3 2 6" xfId="12594"/>
    <cellStyle name="Normal 29 3 3" xfId="6137"/>
    <cellStyle name="Normal 29 3 3 2" xfId="41964"/>
    <cellStyle name="Normal 29 3 4" xfId="9682"/>
    <cellStyle name="Normal 29 3 4 2" xfId="12801"/>
    <cellStyle name="Normal 29 3 5" xfId="9912"/>
    <cellStyle name="Normal 29 3 5 2" xfId="18352"/>
    <cellStyle name="Normal 29 3 6" xfId="23716"/>
    <cellStyle name="Normal 29 3 7" xfId="2097"/>
    <cellStyle name="Normal 29 4" xfId="871"/>
    <cellStyle name="Normal 29 4 2" xfId="4996"/>
    <cellStyle name="Normal 29 4 2 2" xfId="4997"/>
    <cellStyle name="Normal 29 4 2 2 2" xfId="8252"/>
    <cellStyle name="Normal 29 4 2 2 2 2" xfId="22359"/>
    <cellStyle name="Normal 29 4 2 2 2 3" xfId="16886"/>
    <cellStyle name="Normal 29 4 2 2 3" xfId="14402"/>
    <cellStyle name="Normal 29 4 2 2 4" xfId="19917"/>
    <cellStyle name="Normal 29 4 2 2 5" xfId="11499"/>
    <cellStyle name="Normal 29 4 2 3" xfId="4998"/>
    <cellStyle name="Normal 29 4 2 3 2" xfId="9050"/>
    <cellStyle name="Normal 29 4 2 3 2 2" xfId="23151"/>
    <cellStyle name="Normal 29 4 2 3 2 3" xfId="17684"/>
    <cellStyle name="Normal 29 4 2 3 3" xfId="14403"/>
    <cellStyle name="Normal 29 4 2 3 4" xfId="19918"/>
    <cellStyle name="Normal 29 4 2 3 5" xfId="12295"/>
    <cellStyle name="Normal 29 4 2 4" xfId="7460"/>
    <cellStyle name="Normal 29 4 2 4 2" xfId="21567"/>
    <cellStyle name="Normal 29 4 2 4 3" xfId="16094"/>
    <cellStyle name="Normal 29 4 2 5" xfId="14401"/>
    <cellStyle name="Normal 29 4 2 6" xfId="19916"/>
    <cellStyle name="Normal 29 4 2 7" xfId="10707"/>
    <cellStyle name="Normal 29 4 3" xfId="4999"/>
    <cellStyle name="Normal 29 4 3 2" xfId="5000"/>
    <cellStyle name="Normal 29 4 3 2 2" xfId="8512"/>
    <cellStyle name="Normal 29 4 3 2 2 2" xfId="22619"/>
    <cellStyle name="Normal 29 4 3 2 2 3" xfId="17146"/>
    <cellStyle name="Normal 29 4 3 2 3" xfId="14405"/>
    <cellStyle name="Normal 29 4 3 2 4" xfId="19920"/>
    <cellStyle name="Normal 29 4 3 2 5" xfId="11760"/>
    <cellStyle name="Normal 29 4 3 3" xfId="7720"/>
    <cellStyle name="Normal 29 4 3 3 2" xfId="21827"/>
    <cellStyle name="Normal 29 4 3 3 3" xfId="16354"/>
    <cellStyle name="Normal 29 4 3 4" xfId="14404"/>
    <cellStyle name="Normal 29 4 3 5" xfId="19919"/>
    <cellStyle name="Normal 29 4 3 6" xfId="10967"/>
    <cellStyle name="Normal 29 4 4" xfId="5001"/>
    <cellStyle name="Normal 29 4 4 2" xfId="6438"/>
    <cellStyle name="Normal 29 4 4 2 2" xfId="8874"/>
    <cellStyle name="Normal 29 4 4 2 2 2" xfId="22975"/>
    <cellStyle name="Normal 29 4 4 2 2 3" xfId="17508"/>
    <cellStyle name="Normal 29 4 4 2 3" xfId="15267"/>
    <cellStyle name="Normal 29 4 4 2 4" xfId="20761"/>
    <cellStyle name="Normal 29 4 4 2 5" xfId="12118"/>
    <cellStyle name="Normal 29 4 4 3" xfId="7284"/>
    <cellStyle name="Normal 29 4 4 3 2" xfId="21391"/>
    <cellStyle name="Normal 29 4 4 3 3" xfId="15918"/>
    <cellStyle name="Normal 29 4 4 4" xfId="14406"/>
    <cellStyle name="Normal 29 4 4 5" xfId="19921"/>
    <cellStyle name="Normal 29 4 4 6" xfId="10531"/>
    <cellStyle name="Normal 29 4 5" xfId="5002"/>
    <cellStyle name="Normal 29 4 5 2" xfId="8076"/>
    <cellStyle name="Normal 29 4 5 2 2" xfId="22183"/>
    <cellStyle name="Normal 29 4 5 2 3" xfId="16710"/>
    <cellStyle name="Normal 29 4 5 3" xfId="14407"/>
    <cellStyle name="Normal 29 4 5 4" xfId="19922"/>
    <cellStyle name="Normal 29 4 5 5" xfId="11323"/>
    <cellStyle name="Normal 29 4 6" xfId="5003"/>
    <cellStyle name="Normal 29 4 7" xfId="6925"/>
    <cellStyle name="Normal 29 4 7 2" xfId="21035"/>
    <cellStyle name="Normal 29 4 7 3" xfId="15562"/>
    <cellStyle name="Normal 29 4 8" xfId="10175"/>
    <cellStyle name="Normal 29 5" xfId="2579"/>
    <cellStyle name="Normal 29 5 10" xfId="23963"/>
    <cellStyle name="Normal 29 5 11" xfId="10271"/>
    <cellStyle name="Normal 29 5 2" xfId="5004"/>
    <cellStyle name="Normal 29 5 2 2" xfId="5005"/>
    <cellStyle name="Normal 29 5 2 2 2" xfId="8348"/>
    <cellStyle name="Normal 29 5 2 2 2 2" xfId="22455"/>
    <cellStyle name="Normal 29 5 2 2 2 3" xfId="16982"/>
    <cellStyle name="Normal 29 5 2 2 3" xfId="14409"/>
    <cellStyle name="Normal 29 5 2 2 4" xfId="19924"/>
    <cellStyle name="Normal 29 5 2 2 5" xfId="11596"/>
    <cellStyle name="Normal 29 5 2 3" xfId="5006"/>
    <cellStyle name="Normal 29 5 2 3 2" xfId="9146"/>
    <cellStyle name="Normal 29 5 2 3 2 2" xfId="23247"/>
    <cellStyle name="Normal 29 5 2 3 2 3" xfId="17780"/>
    <cellStyle name="Normal 29 5 2 3 3" xfId="14410"/>
    <cellStyle name="Normal 29 5 2 3 4" xfId="19925"/>
    <cellStyle name="Normal 29 5 2 3 5" xfId="12391"/>
    <cellStyle name="Normal 29 5 2 4" xfId="7556"/>
    <cellStyle name="Normal 29 5 2 4 2" xfId="21663"/>
    <cellStyle name="Normal 29 5 2 4 3" xfId="16190"/>
    <cellStyle name="Normal 29 5 2 5" xfId="14408"/>
    <cellStyle name="Normal 29 5 2 6" xfId="19923"/>
    <cellStyle name="Normal 29 5 2 7" xfId="24167"/>
    <cellStyle name="Normal 29 5 2 8" xfId="10803"/>
    <cellStyle name="Normal 29 5 3" xfId="5007"/>
    <cellStyle name="Normal 29 5 3 2" xfId="5008"/>
    <cellStyle name="Normal 29 5 3 2 2" xfId="8608"/>
    <cellStyle name="Normal 29 5 3 2 2 2" xfId="22715"/>
    <cellStyle name="Normal 29 5 3 2 2 3" xfId="17242"/>
    <cellStyle name="Normal 29 5 3 2 3" xfId="14412"/>
    <cellStyle name="Normal 29 5 3 2 4" xfId="19927"/>
    <cellStyle name="Normal 29 5 3 2 5" xfId="11856"/>
    <cellStyle name="Normal 29 5 3 3" xfId="7816"/>
    <cellStyle name="Normal 29 5 3 3 2" xfId="21923"/>
    <cellStyle name="Normal 29 5 3 3 3" xfId="16450"/>
    <cellStyle name="Normal 29 5 3 4" xfId="14411"/>
    <cellStyle name="Normal 29 5 3 5" xfId="19926"/>
    <cellStyle name="Normal 29 5 3 6" xfId="11063"/>
    <cellStyle name="Normal 29 5 4" xfId="5009"/>
    <cellStyle name="Normal 29 5 4 2" xfId="6358"/>
    <cellStyle name="Normal 29 5 4 2 2" xfId="8794"/>
    <cellStyle name="Normal 29 5 4 2 2 2" xfId="22895"/>
    <cellStyle name="Normal 29 5 4 2 2 3" xfId="17428"/>
    <cellStyle name="Normal 29 5 4 2 3" xfId="15187"/>
    <cellStyle name="Normal 29 5 4 2 4" xfId="20681"/>
    <cellStyle name="Normal 29 5 4 2 5" xfId="12038"/>
    <cellStyle name="Normal 29 5 4 3" xfId="7204"/>
    <cellStyle name="Normal 29 5 4 3 2" xfId="21311"/>
    <cellStyle name="Normal 29 5 4 3 3" xfId="15838"/>
    <cellStyle name="Normal 29 5 4 4" xfId="14413"/>
    <cellStyle name="Normal 29 5 4 5" xfId="19928"/>
    <cellStyle name="Normal 29 5 4 6" xfId="10451"/>
    <cellStyle name="Normal 29 5 5" xfId="5010"/>
    <cellStyle name="Normal 29 5 5 2" xfId="7996"/>
    <cellStyle name="Normal 29 5 5 2 2" xfId="22103"/>
    <cellStyle name="Normal 29 5 5 2 3" xfId="16630"/>
    <cellStyle name="Normal 29 5 5 3" xfId="14414"/>
    <cellStyle name="Normal 29 5 5 4" xfId="19929"/>
    <cellStyle name="Normal 29 5 5 5" xfId="11243"/>
    <cellStyle name="Normal 29 5 6" xfId="5011"/>
    <cellStyle name="Normal 29 5 6 2" xfId="9411"/>
    <cellStyle name="Normal 29 5 6 2 2" xfId="23478"/>
    <cellStyle name="Normal 29 5 6 2 3" xfId="18030"/>
    <cellStyle name="Normal 29 5 6 3" xfId="14415"/>
    <cellStyle name="Normal 29 5 6 4" xfId="19930"/>
    <cellStyle name="Normal 29 5 6 5" xfId="12628"/>
    <cellStyle name="Normal 29 5 7" xfId="7021"/>
    <cellStyle name="Normal 29 5 7 2" xfId="21131"/>
    <cellStyle name="Normal 29 5 7 3" xfId="15658"/>
    <cellStyle name="Normal 29 5 8" xfId="9726"/>
    <cellStyle name="Normal 29 5 8 2" xfId="12834"/>
    <cellStyle name="Normal 29 5 9" xfId="9946"/>
    <cellStyle name="Normal 29 5 9 2" xfId="18385"/>
    <cellStyle name="Normal 29 6" xfId="5012"/>
    <cellStyle name="Normal 29 6 2" xfId="5013"/>
    <cellStyle name="Normal 29 6 2 2" xfId="8172"/>
    <cellStyle name="Normal 29 6 2 2 2" xfId="22279"/>
    <cellStyle name="Normal 29 6 2 2 3" xfId="16806"/>
    <cellStyle name="Normal 29 6 2 3" xfId="14417"/>
    <cellStyle name="Normal 29 6 2 4" xfId="19932"/>
    <cellStyle name="Normal 29 6 2 5" xfId="11419"/>
    <cellStyle name="Normal 29 6 3" xfId="5014"/>
    <cellStyle name="Normal 29 6 3 2" xfId="8970"/>
    <cellStyle name="Normal 29 6 3 2 2" xfId="23071"/>
    <cellStyle name="Normal 29 6 3 2 3" xfId="17604"/>
    <cellStyle name="Normal 29 6 3 3" xfId="14418"/>
    <cellStyle name="Normal 29 6 3 4" xfId="19933"/>
    <cellStyle name="Normal 29 6 3 5" xfId="12214"/>
    <cellStyle name="Normal 29 6 4" xfId="7380"/>
    <cellStyle name="Normal 29 6 4 2" xfId="21487"/>
    <cellStyle name="Normal 29 6 4 3" xfId="16014"/>
    <cellStyle name="Normal 29 6 5" xfId="14416"/>
    <cellStyle name="Normal 29 6 6" xfId="19931"/>
    <cellStyle name="Normal 29 6 7" xfId="10627"/>
    <cellStyle name="Normal 29 6 8" xfId="41965"/>
    <cellStyle name="Normal 29 7" xfId="5015"/>
    <cellStyle name="Normal 29 7 2" xfId="5016"/>
    <cellStyle name="Normal 29 7 2 2" xfId="8432"/>
    <cellStyle name="Normal 29 7 2 2 2" xfId="22539"/>
    <cellStyle name="Normal 29 7 2 2 3" xfId="17066"/>
    <cellStyle name="Normal 29 7 2 3" xfId="14420"/>
    <cellStyle name="Normal 29 7 2 4" xfId="19935"/>
    <cellStyle name="Normal 29 7 2 5" xfId="11680"/>
    <cellStyle name="Normal 29 7 3" xfId="7640"/>
    <cellStyle name="Normal 29 7 3 2" xfId="21747"/>
    <cellStyle name="Normal 29 7 3 3" xfId="16274"/>
    <cellStyle name="Normal 29 7 4" xfId="14419"/>
    <cellStyle name="Normal 29 7 5" xfId="19934"/>
    <cellStyle name="Normal 29 7 6" xfId="10887"/>
    <cellStyle name="Normal 29 7 7" xfId="41966"/>
    <cellStyle name="Normal 29 8" xfId="5017"/>
    <cellStyle name="Normal 29 8 2" xfId="6262"/>
    <cellStyle name="Normal 29 8 2 2" xfId="8698"/>
    <cellStyle name="Normal 29 8 2 2 2" xfId="22799"/>
    <cellStyle name="Normal 29 8 2 2 3" xfId="17332"/>
    <cellStyle name="Normal 29 8 2 3" xfId="15091"/>
    <cellStyle name="Normal 29 8 2 4" xfId="20585"/>
    <cellStyle name="Normal 29 8 2 5" xfId="11942"/>
    <cellStyle name="Normal 29 8 3" xfId="7108"/>
    <cellStyle name="Normal 29 8 3 2" xfId="21215"/>
    <cellStyle name="Normal 29 8 3 3" xfId="15742"/>
    <cellStyle name="Normal 29 8 4" xfId="14421"/>
    <cellStyle name="Normal 29 8 5" xfId="19936"/>
    <cellStyle name="Normal 29 8 6" xfId="10355"/>
    <cellStyle name="Normal 29 9" xfId="5018"/>
    <cellStyle name="Normal 29 9 2" xfId="7900"/>
    <cellStyle name="Normal 29 9 2 2" xfId="22007"/>
    <cellStyle name="Normal 29 9 2 3" xfId="16534"/>
    <cellStyle name="Normal 29 9 3" xfId="14422"/>
    <cellStyle name="Normal 29 9 4" xfId="19937"/>
    <cellStyle name="Normal 29 9 5" xfId="11147"/>
    <cellStyle name="Normal 3" xfId="4"/>
    <cellStyle name="Normal 3 10" xfId="44127"/>
    <cellStyle name="Normal 3 11" xfId="69"/>
    <cellStyle name="Normal 3 12" xfId="56"/>
    <cellStyle name="Normal 3 2" xfId="14"/>
    <cellStyle name="Normal 3 2 10" xfId="5019"/>
    <cellStyle name="Normal 3 2 10 2" xfId="7909"/>
    <cellStyle name="Normal 3 2 10 2 2" xfId="22016"/>
    <cellStyle name="Normal 3 2 10 2 3" xfId="16543"/>
    <cellStyle name="Normal 3 2 10 3" xfId="14423"/>
    <cellStyle name="Normal 3 2 10 4" xfId="19938"/>
    <cellStyle name="Normal 3 2 10 5" xfId="11156"/>
    <cellStyle name="Normal 3 2 11" xfId="6834"/>
    <cellStyle name="Normal 3 2 11 2" xfId="20964"/>
    <cellStyle name="Normal 3 2 11 3" xfId="15490"/>
    <cellStyle name="Normal 3 2 12" xfId="10098"/>
    <cellStyle name="Normal 3 2 13" xfId="158"/>
    <cellStyle name="Normal 3 2 2" xfId="18"/>
    <cellStyle name="Normal 3 2 2 2" xfId="24282"/>
    <cellStyle name="Normal 3 2 2 2 2" xfId="43224"/>
    <cellStyle name="Normal 3 2 2 3" xfId="43217"/>
    <cellStyle name="Normal 3 2 2 4" xfId="44091"/>
    <cellStyle name="Normal 3 2 2 5" xfId="1402"/>
    <cellStyle name="Normal 3 2 3" xfId="1292"/>
    <cellStyle name="Normal 3 2 3 2" xfId="5020"/>
    <cellStyle name="Normal 3 2 3 2 2" xfId="43056"/>
    <cellStyle name="Normal 3 2 3 3" xfId="5021"/>
    <cellStyle name="Normal 3 2 4" xfId="1276"/>
    <cellStyle name="Normal 3 2 4 10" xfId="9921"/>
    <cellStyle name="Normal 3 2 4 10 2" xfId="18361"/>
    <cellStyle name="Normal 3 2 4 11" xfId="10134"/>
    <cellStyle name="Normal 3 2 4 12" xfId="2122"/>
    <cellStyle name="Normal 3 2 4 2" xfId="2920"/>
    <cellStyle name="Normal 3 2 4 2 2" xfId="5022"/>
    <cellStyle name="Normal 3 2 4 2 2 2" xfId="5023"/>
    <cellStyle name="Normal 3 2 4 2 2 2 2" xfId="8649"/>
    <cellStyle name="Normal 3 2 4 2 2 2 2 2" xfId="22756"/>
    <cellStyle name="Normal 3 2 4 2 2 2 2 3" xfId="17283"/>
    <cellStyle name="Normal 3 2 4 2 2 2 3" xfId="14425"/>
    <cellStyle name="Normal 3 2 4 2 2 2 4" xfId="19940"/>
    <cellStyle name="Normal 3 2 4 2 2 2 5" xfId="11897"/>
    <cellStyle name="Normal 3 2 4 2 2 3" xfId="7857"/>
    <cellStyle name="Normal 3 2 4 2 2 3 2" xfId="21964"/>
    <cellStyle name="Normal 3 2 4 2 2 3 3" xfId="16491"/>
    <cellStyle name="Normal 3 2 4 2 2 4" xfId="14424"/>
    <cellStyle name="Normal 3 2 4 2 2 5" xfId="19939"/>
    <cellStyle name="Normal 3 2 4 2 2 6" xfId="11104"/>
    <cellStyle name="Normal 3 2 4 2 3" xfId="5024"/>
    <cellStyle name="Normal 3 2 4 2 3 2" xfId="6588"/>
    <cellStyle name="Normal 3 2 4 2 3 2 2" xfId="9187"/>
    <cellStyle name="Normal 3 2 4 2 3 2 2 2" xfId="23288"/>
    <cellStyle name="Normal 3 2 4 2 3 2 2 3" xfId="17821"/>
    <cellStyle name="Normal 3 2 4 2 3 2 3" xfId="15373"/>
    <cellStyle name="Normal 3 2 4 2 3 2 4" xfId="20866"/>
    <cellStyle name="Normal 3 2 4 2 3 2 5" xfId="12432"/>
    <cellStyle name="Normal 3 2 4 2 3 3" xfId="7597"/>
    <cellStyle name="Normal 3 2 4 2 3 3 2" xfId="21704"/>
    <cellStyle name="Normal 3 2 4 2 3 3 3" xfId="16231"/>
    <cellStyle name="Normal 3 2 4 2 3 4" xfId="14426"/>
    <cellStyle name="Normal 3 2 4 2 3 5" xfId="19941"/>
    <cellStyle name="Normal 3 2 4 2 3 6" xfId="10844"/>
    <cellStyle name="Normal 3 2 4 2 4" xfId="5025"/>
    <cellStyle name="Normal 3 2 4 2 4 2" xfId="8389"/>
    <cellStyle name="Normal 3 2 4 2 4 2 2" xfId="22496"/>
    <cellStyle name="Normal 3 2 4 2 4 2 3" xfId="17023"/>
    <cellStyle name="Normal 3 2 4 2 4 3" xfId="14427"/>
    <cellStyle name="Normal 3 2 4 2 4 4" xfId="19942"/>
    <cellStyle name="Normal 3 2 4 2 4 5" xfId="11637"/>
    <cellStyle name="Normal 3 2 4 2 5" xfId="5026"/>
    <cellStyle name="Normal 3 2 4 2 6" xfId="7063"/>
    <cellStyle name="Normal 3 2 4 2 6 2" xfId="21172"/>
    <cellStyle name="Normal 3 2 4 2 6 3" xfId="15699"/>
    <cellStyle name="Normal 3 2 4 2 7" xfId="10312"/>
    <cellStyle name="Normal 3 2 4 2 8" xfId="41968"/>
    <cellStyle name="Normal 3 2 4 3" xfId="5027"/>
    <cellStyle name="Normal 3 2 4 3 2" xfId="5028"/>
    <cellStyle name="Normal 3 2 4 3 2 2" xfId="8213"/>
    <cellStyle name="Normal 3 2 4 3 2 2 2" xfId="22320"/>
    <cellStyle name="Normal 3 2 4 3 2 2 3" xfId="16847"/>
    <cellStyle name="Normal 3 2 4 3 2 3" xfId="14429"/>
    <cellStyle name="Normal 3 2 4 3 2 4" xfId="19944"/>
    <cellStyle name="Normal 3 2 4 3 2 5" xfId="11460"/>
    <cellStyle name="Normal 3 2 4 3 3" xfId="5029"/>
    <cellStyle name="Normal 3 2 4 3 3 2" xfId="9011"/>
    <cellStyle name="Normal 3 2 4 3 3 2 2" xfId="23112"/>
    <cellStyle name="Normal 3 2 4 3 3 2 3" xfId="17645"/>
    <cellStyle name="Normal 3 2 4 3 3 3" xfId="14430"/>
    <cellStyle name="Normal 3 2 4 3 3 4" xfId="19945"/>
    <cellStyle name="Normal 3 2 4 3 3 5" xfId="12255"/>
    <cellStyle name="Normal 3 2 4 3 4" xfId="7421"/>
    <cellStyle name="Normal 3 2 4 3 4 2" xfId="21528"/>
    <cellStyle name="Normal 3 2 4 3 4 3" xfId="16055"/>
    <cellStyle name="Normal 3 2 4 3 5" xfId="14428"/>
    <cellStyle name="Normal 3 2 4 3 6" xfId="19943"/>
    <cellStyle name="Normal 3 2 4 3 7" xfId="23825"/>
    <cellStyle name="Normal 3 2 4 3 8" xfId="10668"/>
    <cellStyle name="Normal 3 2 4 4" xfId="5030"/>
    <cellStyle name="Normal 3 2 4 4 2" xfId="5031"/>
    <cellStyle name="Normal 3 2 4 4 2 2" xfId="8473"/>
    <cellStyle name="Normal 3 2 4 4 2 2 2" xfId="22580"/>
    <cellStyle name="Normal 3 2 4 4 2 2 3" xfId="17107"/>
    <cellStyle name="Normal 3 2 4 4 2 3" xfId="14432"/>
    <cellStyle name="Normal 3 2 4 4 2 4" xfId="19947"/>
    <cellStyle name="Normal 3 2 4 4 2 5" xfId="11721"/>
    <cellStyle name="Normal 3 2 4 4 3" xfId="7681"/>
    <cellStyle name="Normal 3 2 4 4 3 2" xfId="21788"/>
    <cellStyle name="Normal 3 2 4 4 3 3" xfId="16315"/>
    <cellStyle name="Normal 3 2 4 4 4" xfId="14431"/>
    <cellStyle name="Normal 3 2 4 4 5" xfId="19946"/>
    <cellStyle name="Normal 3 2 4 4 6" xfId="24143"/>
    <cellStyle name="Normal 3 2 4 4 7" xfId="10928"/>
    <cellStyle name="Normal 3 2 4 5" xfId="5032"/>
    <cellStyle name="Normal 3 2 4 5 2" xfId="6399"/>
    <cellStyle name="Normal 3 2 4 5 2 2" xfId="8835"/>
    <cellStyle name="Normal 3 2 4 5 2 2 2" xfId="22936"/>
    <cellStyle name="Normal 3 2 4 5 2 2 3" xfId="17469"/>
    <cellStyle name="Normal 3 2 4 5 2 3" xfId="15228"/>
    <cellStyle name="Normal 3 2 4 5 2 4" xfId="20722"/>
    <cellStyle name="Normal 3 2 4 5 2 5" xfId="12079"/>
    <cellStyle name="Normal 3 2 4 5 3" xfId="7245"/>
    <cellStyle name="Normal 3 2 4 5 3 2" xfId="21352"/>
    <cellStyle name="Normal 3 2 4 5 3 3" xfId="15879"/>
    <cellStyle name="Normal 3 2 4 5 4" xfId="14433"/>
    <cellStyle name="Normal 3 2 4 5 5" xfId="19948"/>
    <cellStyle name="Normal 3 2 4 5 6" xfId="10492"/>
    <cellStyle name="Normal 3 2 4 5 7" xfId="43052"/>
    <cellStyle name="Normal 3 2 4 6" xfId="5033"/>
    <cellStyle name="Normal 3 2 4 6 2" xfId="8037"/>
    <cellStyle name="Normal 3 2 4 6 2 2" xfId="22144"/>
    <cellStyle name="Normal 3 2 4 6 2 3" xfId="16671"/>
    <cellStyle name="Normal 3 2 4 6 3" xfId="14434"/>
    <cellStyle name="Normal 3 2 4 6 4" xfId="19949"/>
    <cellStyle name="Normal 3 2 4 6 5" xfId="11284"/>
    <cellStyle name="Normal 3 2 4 7" xfId="5034"/>
    <cellStyle name="Normal 3 2 4 7 2" xfId="9385"/>
    <cellStyle name="Normal 3 2 4 7 2 2" xfId="23454"/>
    <cellStyle name="Normal 3 2 4 7 2 3" xfId="18006"/>
    <cellStyle name="Normal 3 2 4 7 3" xfId="14435"/>
    <cellStyle name="Normal 3 2 4 7 4" xfId="19950"/>
    <cellStyle name="Normal 3 2 4 7 5" xfId="12603"/>
    <cellStyle name="Normal 3 2 4 8" xfId="6883"/>
    <cellStyle name="Normal 3 2 4 8 2" xfId="20996"/>
    <cellStyle name="Normal 3 2 4 8 3" xfId="15523"/>
    <cellStyle name="Normal 3 2 4 9" xfId="9692"/>
    <cellStyle name="Normal 3 2 4 9 2" xfId="12810"/>
    <cellStyle name="Normal 3 2 5" xfId="1572"/>
    <cellStyle name="Normal 3 2 5 10" xfId="23725"/>
    <cellStyle name="Normal 3 2 5 11" xfId="10184"/>
    <cellStyle name="Normal 3 2 5 12" xfId="3006"/>
    <cellStyle name="Normal 3 2 5 2" xfId="5035"/>
    <cellStyle name="Normal 3 2 5 2 2" xfId="5036"/>
    <cellStyle name="Normal 3 2 5 2 2 2" xfId="8261"/>
    <cellStyle name="Normal 3 2 5 2 2 2 2" xfId="22368"/>
    <cellStyle name="Normal 3 2 5 2 2 2 3" xfId="16895"/>
    <cellStyle name="Normal 3 2 5 2 2 3" xfId="14437"/>
    <cellStyle name="Normal 3 2 5 2 2 4" xfId="19952"/>
    <cellStyle name="Normal 3 2 5 2 2 5" xfId="11508"/>
    <cellStyle name="Normal 3 2 5 2 3" xfId="5037"/>
    <cellStyle name="Normal 3 2 5 2 3 2" xfId="9059"/>
    <cellStyle name="Normal 3 2 5 2 3 2 2" xfId="23160"/>
    <cellStyle name="Normal 3 2 5 2 3 2 3" xfId="17693"/>
    <cellStyle name="Normal 3 2 5 2 3 3" xfId="14438"/>
    <cellStyle name="Normal 3 2 5 2 3 4" xfId="19953"/>
    <cellStyle name="Normal 3 2 5 2 3 5" xfId="12304"/>
    <cellStyle name="Normal 3 2 5 2 4" xfId="7469"/>
    <cellStyle name="Normal 3 2 5 2 4 2" xfId="21576"/>
    <cellStyle name="Normal 3 2 5 2 4 3" xfId="16103"/>
    <cellStyle name="Normal 3 2 5 2 5" xfId="14436"/>
    <cellStyle name="Normal 3 2 5 2 6" xfId="19951"/>
    <cellStyle name="Normal 3 2 5 2 7" xfId="24216"/>
    <cellStyle name="Normal 3 2 5 2 8" xfId="10716"/>
    <cellStyle name="Normal 3 2 5 3" xfId="5038"/>
    <cellStyle name="Normal 3 2 5 3 2" xfId="5039"/>
    <cellStyle name="Normal 3 2 5 3 2 2" xfId="8521"/>
    <cellStyle name="Normal 3 2 5 3 2 2 2" xfId="22628"/>
    <cellStyle name="Normal 3 2 5 3 2 2 3" xfId="17155"/>
    <cellStyle name="Normal 3 2 5 3 2 3" xfId="14440"/>
    <cellStyle name="Normal 3 2 5 3 2 4" xfId="19955"/>
    <cellStyle name="Normal 3 2 5 3 2 5" xfId="11769"/>
    <cellStyle name="Normal 3 2 5 3 3" xfId="7729"/>
    <cellStyle name="Normal 3 2 5 3 3 2" xfId="21836"/>
    <cellStyle name="Normal 3 2 5 3 3 3" xfId="16363"/>
    <cellStyle name="Normal 3 2 5 3 4" xfId="14439"/>
    <cellStyle name="Normal 3 2 5 3 5" xfId="19954"/>
    <cellStyle name="Normal 3 2 5 3 6" xfId="10976"/>
    <cellStyle name="Normal 3 2 5 4" xfId="5040"/>
    <cellStyle name="Normal 3 2 5 4 2" xfId="6447"/>
    <cellStyle name="Normal 3 2 5 4 2 2" xfId="8883"/>
    <cellStyle name="Normal 3 2 5 4 2 2 2" xfId="22984"/>
    <cellStyle name="Normal 3 2 5 4 2 2 3" xfId="17517"/>
    <cellStyle name="Normal 3 2 5 4 2 3" xfId="15276"/>
    <cellStyle name="Normal 3 2 5 4 2 4" xfId="20770"/>
    <cellStyle name="Normal 3 2 5 4 2 5" xfId="12127"/>
    <cellStyle name="Normal 3 2 5 4 3" xfId="7293"/>
    <cellStyle name="Normal 3 2 5 4 3 2" xfId="21400"/>
    <cellStyle name="Normal 3 2 5 4 3 3" xfId="15927"/>
    <cellStyle name="Normal 3 2 5 4 4" xfId="14441"/>
    <cellStyle name="Normal 3 2 5 4 5" xfId="19956"/>
    <cellStyle name="Normal 3 2 5 4 6" xfId="10540"/>
    <cellStyle name="Normal 3 2 5 4 7" xfId="43068"/>
    <cellStyle name="Normal 3 2 5 5" xfId="5041"/>
    <cellStyle name="Normal 3 2 5 5 2" xfId="8085"/>
    <cellStyle name="Normal 3 2 5 5 2 2" xfId="22192"/>
    <cellStyle name="Normal 3 2 5 5 2 3" xfId="16719"/>
    <cellStyle name="Normal 3 2 5 5 3" xfId="14442"/>
    <cellStyle name="Normal 3 2 5 5 4" xfId="19957"/>
    <cellStyle name="Normal 3 2 5 5 5" xfId="11332"/>
    <cellStyle name="Normal 3 2 5 6" xfId="5042"/>
    <cellStyle name="Normal 3 2 5 6 2" xfId="9480"/>
    <cellStyle name="Normal 3 2 5 6 2 2" xfId="23527"/>
    <cellStyle name="Normal 3 2 5 6 2 3" xfId="18081"/>
    <cellStyle name="Normal 3 2 5 6 3" xfId="14443"/>
    <cellStyle name="Normal 3 2 5 6 4" xfId="19958"/>
    <cellStyle name="Normal 3 2 5 6 5" xfId="12681"/>
    <cellStyle name="Normal 3 2 5 7" xfId="6934"/>
    <cellStyle name="Normal 3 2 5 7 2" xfId="21044"/>
    <cellStyle name="Normal 3 2 5 7 3" xfId="15571"/>
    <cellStyle name="Normal 3 2 5 8" xfId="9782"/>
    <cellStyle name="Normal 3 2 5 8 2" xfId="12883"/>
    <cellStyle name="Normal 3 2 5 9" xfId="9995"/>
    <cellStyle name="Normal 3 2 5 9 2" xfId="18434"/>
    <cellStyle name="Normal 3 2 6" xfId="428"/>
    <cellStyle name="Normal 3 2 6 10" xfId="23972"/>
    <cellStyle name="Normal 3 2 6 11" xfId="10280"/>
    <cellStyle name="Normal 3 2 6 12" xfId="2588"/>
    <cellStyle name="Normal 3 2 6 2" xfId="5043"/>
    <cellStyle name="Normal 3 2 6 2 2" xfId="5044"/>
    <cellStyle name="Normal 3 2 6 2 2 2" xfId="8357"/>
    <cellStyle name="Normal 3 2 6 2 2 2 2" xfId="22464"/>
    <cellStyle name="Normal 3 2 6 2 2 2 3" xfId="16991"/>
    <cellStyle name="Normal 3 2 6 2 2 3" xfId="14445"/>
    <cellStyle name="Normal 3 2 6 2 2 4" xfId="19960"/>
    <cellStyle name="Normal 3 2 6 2 2 5" xfId="11605"/>
    <cellStyle name="Normal 3 2 6 2 3" xfId="5045"/>
    <cellStyle name="Normal 3 2 6 2 3 2" xfId="9155"/>
    <cellStyle name="Normal 3 2 6 2 3 2 2" xfId="23256"/>
    <cellStyle name="Normal 3 2 6 2 3 2 3" xfId="17789"/>
    <cellStyle name="Normal 3 2 6 2 3 3" xfId="14446"/>
    <cellStyle name="Normal 3 2 6 2 3 4" xfId="19961"/>
    <cellStyle name="Normal 3 2 6 2 3 5" xfId="12400"/>
    <cellStyle name="Normal 3 2 6 2 4" xfId="7565"/>
    <cellStyle name="Normal 3 2 6 2 4 2" xfId="21672"/>
    <cellStyle name="Normal 3 2 6 2 4 3" xfId="16199"/>
    <cellStyle name="Normal 3 2 6 2 5" xfId="14444"/>
    <cellStyle name="Normal 3 2 6 2 6" xfId="19959"/>
    <cellStyle name="Normal 3 2 6 2 7" xfId="24176"/>
    <cellStyle name="Normal 3 2 6 2 8" xfId="10812"/>
    <cellStyle name="Normal 3 2 6 3" xfId="5046"/>
    <cellStyle name="Normal 3 2 6 3 2" xfId="5047"/>
    <cellStyle name="Normal 3 2 6 3 2 2" xfId="8617"/>
    <cellStyle name="Normal 3 2 6 3 2 2 2" xfId="22724"/>
    <cellStyle name="Normal 3 2 6 3 2 2 3" xfId="17251"/>
    <cellStyle name="Normal 3 2 6 3 2 3" xfId="14448"/>
    <cellStyle name="Normal 3 2 6 3 2 4" xfId="19963"/>
    <cellStyle name="Normal 3 2 6 3 2 5" xfId="11865"/>
    <cellStyle name="Normal 3 2 6 3 3" xfId="7825"/>
    <cellStyle name="Normal 3 2 6 3 3 2" xfId="21932"/>
    <cellStyle name="Normal 3 2 6 3 3 3" xfId="16459"/>
    <cellStyle name="Normal 3 2 6 3 4" xfId="14447"/>
    <cellStyle name="Normal 3 2 6 3 5" xfId="19962"/>
    <cellStyle name="Normal 3 2 6 3 6" xfId="11072"/>
    <cellStyle name="Normal 3 2 6 4" xfId="5048"/>
    <cellStyle name="Normal 3 2 6 4 2" xfId="6367"/>
    <cellStyle name="Normal 3 2 6 4 2 2" xfId="8803"/>
    <cellStyle name="Normal 3 2 6 4 2 2 2" xfId="22904"/>
    <cellStyle name="Normal 3 2 6 4 2 2 3" xfId="17437"/>
    <cellStyle name="Normal 3 2 6 4 2 3" xfId="15196"/>
    <cellStyle name="Normal 3 2 6 4 2 4" xfId="20690"/>
    <cellStyle name="Normal 3 2 6 4 2 5" xfId="12047"/>
    <cellStyle name="Normal 3 2 6 4 3" xfId="7213"/>
    <cellStyle name="Normal 3 2 6 4 3 2" xfId="21320"/>
    <cellStyle name="Normal 3 2 6 4 3 3" xfId="15847"/>
    <cellStyle name="Normal 3 2 6 4 4" xfId="14449"/>
    <cellStyle name="Normal 3 2 6 4 5" xfId="19964"/>
    <cellStyle name="Normal 3 2 6 4 6" xfId="10460"/>
    <cellStyle name="Normal 3 2 6 5" xfId="5049"/>
    <cellStyle name="Normal 3 2 6 5 2" xfId="8005"/>
    <cellStyle name="Normal 3 2 6 5 2 2" xfId="22112"/>
    <cellStyle name="Normal 3 2 6 5 2 3" xfId="16639"/>
    <cellStyle name="Normal 3 2 6 5 3" xfId="14450"/>
    <cellStyle name="Normal 3 2 6 5 4" xfId="19965"/>
    <cellStyle name="Normal 3 2 6 5 5" xfId="11252"/>
    <cellStyle name="Normal 3 2 6 6" xfId="5050"/>
    <cellStyle name="Normal 3 2 6 6 2" xfId="9420"/>
    <cellStyle name="Normal 3 2 6 6 2 2" xfId="23487"/>
    <cellStyle name="Normal 3 2 6 6 2 3" xfId="18039"/>
    <cellStyle name="Normal 3 2 6 6 3" xfId="14451"/>
    <cellStyle name="Normal 3 2 6 6 4" xfId="19966"/>
    <cellStyle name="Normal 3 2 6 6 5" xfId="12637"/>
    <cellStyle name="Normal 3 2 6 7" xfId="7030"/>
    <cellStyle name="Normal 3 2 6 7 2" xfId="21140"/>
    <cellStyle name="Normal 3 2 6 7 3" xfId="15667"/>
    <cellStyle name="Normal 3 2 6 8" xfId="9735"/>
    <cellStyle name="Normal 3 2 6 8 2" xfId="12843"/>
    <cellStyle name="Normal 3 2 6 9" xfId="9955"/>
    <cellStyle name="Normal 3 2 6 9 2" xfId="18394"/>
    <cellStyle name="Normal 3 2 7" xfId="5051"/>
    <cellStyle name="Normal 3 2 7 2" xfId="5052"/>
    <cellStyle name="Normal 3 2 7 2 2" xfId="8181"/>
    <cellStyle name="Normal 3 2 7 2 2 2" xfId="22288"/>
    <cellStyle name="Normal 3 2 7 2 2 3" xfId="16815"/>
    <cellStyle name="Normal 3 2 7 2 3" xfId="14453"/>
    <cellStyle name="Normal 3 2 7 2 4" xfId="19968"/>
    <cellStyle name="Normal 3 2 7 2 5" xfId="11428"/>
    <cellStyle name="Normal 3 2 7 3" xfId="5053"/>
    <cellStyle name="Normal 3 2 7 3 2" xfId="8979"/>
    <cellStyle name="Normal 3 2 7 3 2 2" xfId="23080"/>
    <cellStyle name="Normal 3 2 7 3 2 3" xfId="17613"/>
    <cellStyle name="Normal 3 2 7 3 3" xfId="14454"/>
    <cellStyle name="Normal 3 2 7 3 4" xfId="19969"/>
    <cellStyle name="Normal 3 2 7 3 5" xfId="12223"/>
    <cellStyle name="Normal 3 2 7 4" xfId="7389"/>
    <cellStyle name="Normal 3 2 7 4 2" xfId="21496"/>
    <cellStyle name="Normal 3 2 7 4 3" xfId="16023"/>
    <cellStyle name="Normal 3 2 7 5" xfId="14452"/>
    <cellStyle name="Normal 3 2 7 6" xfId="19967"/>
    <cellStyle name="Normal 3 2 7 7" xfId="10636"/>
    <cellStyle name="Normal 3 2 7 8" xfId="24623"/>
    <cellStyle name="Normal 3 2 8" xfId="5054"/>
    <cellStyle name="Normal 3 2 8 2" xfId="5055"/>
    <cellStyle name="Normal 3 2 8 2 2" xfId="8441"/>
    <cellStyle name="Normal 3 2 8 2 2 2" xfId="22548"/>
    <cellStyle name="Normal 3 2 8 2 2 3" xfId="17075"/>
    <cellStyle name="Normal 3 2 8 2 3" xfId="14456"/>
    <cellStyle name="Normal 3 2 8 2 4" xfId="19971"/>
    <cellStyle name="Normal 3 2 8 2 5" xfId="11689"/>
    <cellStyle name="Normal 3 2 8 3" xfId="7649"/>
    <cellStyle name="Normal 3 2 8 3 2" xfId="21756"/>
    <cellStyle name="Normal 3 2 8 3 3" xfId="16283"/>
    <cellStyle name="Normal 3 2 8 4" xfId="14455"/>
    <cellStyle name="Normal 3 2 8 5" xfId="19970"/>
    <cellStyle name="Normal 3 2 8 6" xfId="10896"/>
    <cellStyle name="Normal 3 2 9" xfId="5056"/>
    <cellStyle name="Normal 3 2 9 2" xfId="6271"/>
    <cellStyle name="Normal 3 2 9 2 2" xfId="8707"/>
    <cellStyle name="Normal 3 2 9 2 2 2" xfId="22808"/>
    <cellStyle name="Normal 3 2 9 2 2 3" xfId="17341"/>
    <cellStyle name="Normal 3 2 9 2 3" xfId="15100"/>
    <cellStyle name="Normal 3 2 9 2 4" xfId="20594"/>
    <cellStyle name="Normal 3 2 9 2 5" xfId="11951"/>
    <cellStyle name="Normal 3 2 9 3" xfId="7117"/>
    <cellStyle name="Normal 3 2 9 3 2" xfId="21224"/>
    <cellStyle name="Normal 3 2 9 3 3" xfId="15751"/>
    <cellStyle name="Normal 3 2 9 4" xfId="14457"/>
    <cellStyle name="Normal 3 2 9 5" xfId="19972"/>
    <cellStyle name="Normal 3 2 9 6" xfId="10364"/>
    <cellStyle name="Normal 3 3" xfId="159"/>
    <cellStyle name="Normal 3 3 2" xfId="167"/>
    <cellStyle name="Normal 3 3 2 2" xfId="1403"/>
    <cellStyle name="Normal 3 3 2 2 2" xfId="41970"/>
    <cellStyle name="Normal 3 3 2 2 3" xfId="44290"/>
    <cellStyle name="Normal 3 3 2 3" xfId="1983"/>
    <cellStyle name="Normal 3 3 2 4" xfId="41971"/>
    <cellStyle name="Normal 3 3 2 5" xfId="43062"/>
    <cellStyle name="Normal 3 3 2 6" xfId="43222"/>
    <cellStyle name="Normal 3 3 2 7" xfId="41969"/>
    <cellStyle name="Normal 3 3 2 8" xfId="44278"/>
    <cellStyle name="Normal 3 3 2 9" xfId="922"/>
    <cellStyle name="Normal 3 3 3" xfId="1299"/>
    <cellStyle name="Normal 3 3 3 2" xfId="43055"/>
    <cellStyle name="Normal 3 3 3 2 2" xfId="44294"/>
    <cellStyle name="Normal 3 3 3 3" xfId="44282"/>
    <cellStyle name="Normal 3 3 4" xfId="729"/>
    <cellStyle name="Normal 3 3 4 2" xfId="5057"/>
    <cellStyle name="Normal 3 3 4 2 2" xfId="43051"/>
    <cellStyle name="Normal 3 3 4 3" xfId="41972"/>
    <cellStyle name="Normal 3 3 4 4" xfId="44286"/>
    <cellStyle name="Normal 3 3 5" xfId="41973"/>
    <cellStyle name="Normal 3 3 6" xfId="43067"/>
    <cellStyle name="Normal 3 3 7" xfId="44270"/>
    <cellStyle name="Normal 3 3 8" xfId="557"/>
    <cellStyle name="Normal 3 4" xfId="163"/>
    <cellStyle name="Normal 3 4 2" xfId="1311"/>
    <cellStyle name="Normal 3 4 3" xfId="2071"/>
    <cellStyle name="Normal 3 4 3 2" xfId="2917"/>
    <cellStyle name="Normal 3 4 3 2 2" xfId="6771"/>
    <cellStyle name="Normal 3 4 3 2 2 2" xfId="20921"/>
    <cellStyle name="Normal 3 4 3 2 2 3" xfId="24201"/>
    <cellStyle name="Normal 3 4 3 2 2 4" xfId="15447"/>
    <cellStyle name="Normal 3 4 3 2 3" xfId="9462"/>
    <cellStyle name="Normal 3 4 3 2 3 2" xfId="23512"/>
    <cellStyle name="Normal 3 4 3 2 3 3" xfId="18066"/>
    <cellStyle name="Normal 3 4 3 2 4" xfId="9764"/>
    <cellStyle name="Normal 3 4 3 2 4 2" xfId="12868"/>
    <cellStyle name="Normal 3 4 3 2 5" xfId="9980"/>
    <cellStyle name="Normal 3 4 3 2 5 2" xfId="18419"/>
    <cellStyle name="Normal 3 4 3 2 6" xfId="24012"/>
    <cellStyle name="Normal 3 4 3 2 7" xfId="12666"/>
    <cellStyle name="Normal 3 4 3 3" xfId="23810"/>
    <cellStyle name="Normal 3 4 3 4" xfId="23709"/>
    <cellStyle name="Normal 3 4 3 5" xfId="41974"/>
    <cellStyle name="Normal 3 4 4" xfId="6074"/>
    <cellStyle name="Normal 3 4 4 2" xfId="20558"/>
    <cellStyle name="Normal 3 4 4 3" xfId="15055"/>
    <cellStyle name="Normal 3 4 4 4" xfId="41975"/>
    <cellStyle name="Normal 3 4 5" xfId="43219"/>
    <cellStyle name="Normal 3 4 6" xfId="625"/>
    <cellStyle name="Normal 3 5" xfId="149"/>
    <cellStyle name="Normal 3 5 2" xfId="3042"/>
    <cellStyle name="Normal 3 5 2 2" xfId="5058"/>
    <cellStyle name="Normal 3 5 2 3" xfId="6736"/>
    <cellStyle name="Normal 3 5 2 3 2" xfId="43057"/>
    <cellStyle name="Normal 3 5 3" xfId="2767"/>
    <cellStyle name="Normal 3 5 3 2" xfId="41976"/>
    <cellStyle name="Normal 3 5 4" xfId="3109"/>
    <cellStyle name="Normal 3 5 5" xfId="23959"/>
    <cellStyle name="Normal 3 5 5 2" xfId="24406"/>
    <cellStyle name="Normal 3 5 6" xfId="2554"/>
    <cellStyle name="Normal 3 5 6 2" xfId="43069"/>
    <cellStyle name="Normal 3 5 7" xfId="427"/>
    <cellStyle name="Normal 3 6" xfId="244"/>
    <cellStyle name="Normal 3 6 2" xfId="10067"/>
    <cellStyle name="Normal 3 6 2 2" xfId="43058"/>
    <cellStyle name="Normal 3 7" xfId="24287"/>
    <cellStyle name="Normal 3 7 2" xfId="43053"/>
    <cellStyle name="Normal 3 8" xfId="43073"/>
    <cellStyle name="Normal 3 9" xfId="41967"/>
    <cellStyle name="Normal 3_Notes" xfId="1282"/>
    <cellStyle name="Normal 30" xfId="632"/>
    <cellStyle name="Normal 30 10" xfId="5059"/>
    <cellStyle name="Normal 30 11" xfId="6845"/>
    <cellStyle name="Normal 30 11 2" xfId="20975"/>
    <cellStyle name="Normal 30 11 3" xfId="15501"/>
    <cellStyle name="Normal 30 12" xfId="10109"/>
    <cellStyle name="Normal 30 2" xfId="1588"/>
    <cellStyle name="Normal 30 2 10" xfId="10145"/>
    <cellStyle name="Normal 30 2 11" xfId="2422"/>
    <cellStyle name="Normal 30 2 2" xfId="3018"/>
    <cellStyle name="Normal 30 2 2 10" xfId="10323"/>
    <cellStyle name="Normal 30 2 2 2" xfId="5060"/>
    <cellStyle name="Normal 30 2 2 2 2" xfId="5061"/>
    <cellStyle name="Normal 30 2 2 2 2 2" xfId="8660"/>
    <cellStyle name="Normal 30 2 2 2 2 2 2" xfId="22767"/>
    <cellStyle name="Normal 30 2 2 2 2 2 3" xfId="17294"/>
    <cellStyle name="Normal 30 2 2 2 2 3" xfId="14459"/>
    <cellStyle name="Normal 30 2 2 2 2 4" xfId="19974"/>
    <cellStyle name="Normal 30 2 2 2 2 5" xfId="11908"/>
    <cellStyle name="Normal 30 2 2 2 3" xfId="7868"/>
    <cellStyle name="Normal 30 2 2 2 3 2" xfId="21975"/>
    <cellStyle name="Normal 30 2 2 2 3 3" xfId="16502"/>
    <cellStyle name="Normal 30 2 2 2 4" xfId="14458"/>
    <cellStyle name="Normal 30 2 2 2 5" xfId="19973"/>
    <cellStyle name="Normal 30 2 2 2 6" xfId="24227"/>
    <cellStyle name="Normal 30 2 2 2 7" xfId="11115"/>
    <cellStyle name="Normal 30 2 2 3" xfId="5062"/>
    <cellStyle name="Normal 30 2 2 3 2" xfId="6599"/>
    <cellStyle name="Normal 30 2 2 3 2 2" xfId="9198"/>
    <cellStyle name="Normal 30 2 2 3 2 2 2" xfId="23299"/>
    <cellStyle name="Normal 30 2 2 3 2 2 3" xfId="17832"/>
    <cellStyle name="Normal 30 2 2 3 2 3" xfId="15384"/>
    <cellStyle name="Normal 30 2 2 3 2 4" xfId="20877"/>
    <cellStyle name="Normal 30 2 2 3 2 5" xfId="12443"/>
    <cellStyle name="Normal 30 2 2 3 3" xfId="7608"/>
    <cellStyle name="Normal 30 2 2 3 3 2" xfId="21715"/>
    <cellStyle name="Normal 30 2 2 3 3 3" xfId="16242"/>
    <cellStyle name="Normal 30 2 2 3 4" xfId="14460"/>
    <cellStyle name="Normal 30 2 2 3 5" xfId="19975"/>
    <cellStyle name="Normal 30 2 2 3 6" xfId="10855"/>
    <cellStyle name="Normal 30 2 2 4" xfId="5063"/>
    <cellStyle name="Normal 30 2 2 4 2" xfId="8400"/>
    <cellStyle name="Normal 30 2 2 4 2 2" xfId="22507"/>
    <cellStyle name="Normal 30 2 2 4 2 3" xfId="17034"/>
    <cellStyle name="Normal 30 2 2 4 3" xfId="14461"/>
    <cellStyle name="Normal 30 2 2 4 4" xfId="19976"/>
    <cellStyle name="Normal 30 2 2 4 5" xfId="11648"/>
    <cellStyle name="Normal 30 2 2 5" xfId="5064"/>
    <cellStyle name="Normal 30 2 2 5 2" xfId="9491"/>
    <cellStyle name="Normal 30 2 2 5 2 2" xfId="23538"/>
    <cellStyle name="Normal 30 2 2 5 2 3" xfId="18092"/>
    <cellStyle name="Normal 30 2 2 5 3" xfId="14462"/>
    <cellStyle name="Normal 30 2 2 5 4" xfId="19977"/>
    <cellStyle name="Normal 30 2 2 5 5" xfId="12692"/>
    <cellStyle name="Normal 30 2 2 6" xfId="7074"/>
    <cellStyle name="Normal 30 2 2 6 2" xfId="21183"/>
    <cellStyle name="Normal 30 2 2 6 3" xfId="15710"/>
    <cellStyle name="Normal 30 2 2 7" xfId="9793"/>
    <cellStyle name="Normal 30 2 2 7 2" xfId="12894"/>
    <cellStyle name="Normal 30 2 2 8" xfId="10006"/>
    <cellStyle name="Normal 30 2 2 8 2" xfId="18445"/>
    <cellStyle name="Normal 30 2 2 9" xfId="24027"/>
    <cellStyle name="Normal 30 2 3" xfId="5065"/>
    <cellStyle name="Normal 30 2 3 2" xfId="5066"/>
    <cellStyle name="Normal 30 2 3 2 2" xfId="8224"/>
    <cellStyle name="Normal 30 2 3 2 2 2" xfId="22331"/>
    <cellStyle name="Normal 30 2 3 2 2 3" xfId="16858"/>
    <cellStyle name="Normal 30 2 3 2 3" xfId="14464"/>
    <cellStyle name="Normal 30 2 3 2 4" xfId="19979"/>
    <cellStyle name="Normal 30 2 3 2 5" xfId="11471"/>
    <cellStyle name="Normal 30 2 3 3" xfId="5067"/>
    <cellStyle name="Normal 30 2 3 3 2" xfId="9022"/>
    <cellStyle name="Normal 30 2 3 3 2 2" xfId="23123"/>
    <cellStyle name="Normal 30 2 3 3 2 3" xfId="17656"/>
    <cellStyle name="Normal 30 2 3 3 3" xfId="14465"/>
    <cellStyle name="Normal 30 2 3 3 4" xfId="19980"/>
    <cellStyle name="Normal 30 2 3 3 5" xfId="12266"/>
    <cellStyle name="Normal 30 2 3 4" xfId="7432"/>
    <cellStyle name="Normal 30 2 3 4 2" xfId="21539"/>
    <cellStyle name="Normal 30 2 3 4 3" xfId="16066"/>
    <cellStyle name="Normal 30 2 3 5" xfId="14463"/>
    <cellStyle name="Normal 30 2 3 6" xfId="19978"/>
    <cellStyle name="Normal 30 2 3 7" xfId="23954"/>
    <cellStyle name="Normal 30 2 3 8" xfId="10679"/>
    <cellStyle name="Normal 30 2 4" xfId="5068"/>
    <cellStyle name="Normal 30 2 4 2" xfId="5069"/>
    <cellStyle name="Normal 30 2 4 2 2" xfId="8484"/>
    <cellStyle name="Normal 30 2 4 2 2 2" xfId="22591"/>
    <cellStyle name="Normal 30 2 4 2 2 3" xfId="17118"/>
    <cellStyle name="Normal 30 2 4 2 3" xfId="14467"/>
    <cellStyle name="Normal 30 2 4 2 4" xfId="19982"/>
    <cellStyle name="Normal 30 2 4 2 5" xfId="11732"/>
    <cellStyle name="Normal 30 2 4 3" xfId="7692"/>
    <cellStyle name="Normal 30 2 4 3 2" xfId="21799"/>
    <cellStyle name="Normal 30 2 4 3 3" xfId="16326"/>
    <cellStyle name="Normal 30 2 4 4" xfId="14466"/>
    <cellStyle name="Normal 30 2 4 5" xfId="19981"/>
    <cellStyle name="Normal 30 2 4 6" xfId="10939"/>
    <cellStyle name="Normal 30 2 5" xfId="5070"/>
    <cellStyle name="Normal 30 2 5 2" xfId="6410"/>
    <cellStyle name="Normal 30 2 5 2 2" xfId="8846"/>
    <cellStyle name="Normal 30 2 5 2 2 2" xfId="22947"/>
    <cellStyle name="Normal 30 2 5 2 2 3" xfId="17480"/>
    <cellStyle name="Normal 30 2 5 2 3" xfId="15239"/>
    <cellStyle name="Normal 30 2 5 2 4" xfId="20733"/>
    <cellStyle name="Normal 30 2 5 2 5" xfId="12090"/>
    <cellStyle name="Normal 30 2 5 3" xfId="7256"/>
    <cellStyle name="Normal 30 2 5 3 2" xfId="21363"/>
    <cellStyle name="Normal 30 2 5 3 3" xfId="15890"/>
    <cellStyle name="Normal 30 2 5 4" xfId="14468"/>
    <cellStyle name="Normal 30 2 5 5" xfId="19983"/>
    <cellStyle name="Normal 30 2 5 6" xfId="10503"/>
    <cellStyle name="Normal 30 2 6" xfId="5071"/>
    <cellStyle name="Normal 30 2 6 2" xfId="8048"/>
    <cellStyle name="Normal 30 2 6 2 2" xfId="22155"/>
    <cellStyle name="Normal 30 2 6 2 3" xfId="16682"/>
    <cellStyle name="Normal 30 2 6 3" xfId="14469"/>
    <cellStyle name="Normal 30 2 6 4" xfId="19984"/>
    <cellStyle name="Normal 30 2 6 5" xfId="11295"/>
    <cellStyle name="Normal 30 2 7" xfId="5072"/>
    <cellStyle name="Normal 30 2 8" xfId="6894"/>
    <cellStyle name="Normal 30 2 8 2" xfId="21007"/>
    <cellStyle name="Normal 30 2 8 3" xfId="15534"/>
    <cellStyle name="Normal 30 2 9" xfId="23736"/>
    <cellStyle name="Normal 30 3" xfId="1059"/>
    <cellStyle name="Normal 30 3 2" xfId="2836"/>
    <cellStyle name="Normal 30 3 3" xfId="5073"/>
    <cellStyle name="Normal 30 3 3 2" xfId="9397"/>
    <cellStyle name="Normal 30 3 3 2 2" xfId="23465"/>
    <cellStyle name="Normal 30 3 3 2 3" xfId="18017"/>
    <cellStyle name="Normal 30 3 3 3" xfId="14470"/>
    <cellStyle name="Normal 30 3 3 4" xfId="19985"/>
    <cellStyle name="Normal 30 3 3 5" xfId="24154"/>
    <cellStyle name="Normal 30 3 3 6" xfId="12614"/>
    <cellStyle name="Normal 30 3 4" xfId="6138"/>
    <cellStyle name="Normal 30 3 4 2" xfId="41977"/>
    <cellStyle name="Normal 30 3 5" xfId="9703"/>
    <cellStyle name="Normal 30 3 5 2" xfId="12821"/>
    <cellStyle name="Normal 30 3 6" xfId="9932"/>
    <cellStyle name="Normal 30 3 6 2" xfId="18372"/>
    <cellStyle name="Normal 30 3 7" xfId="23831"/>
    <cellStyle name="Normal 30 3 8" xfId="2135"/>
    <cellStyle name="Normal 30 4" xfId="2599"/>
    <cellStyle name="Normal 30 4 10" xfId="23983"/>
    <cellStyle name="Normal 30 4 11" xfId="10195"/>
    <cellStyle name="Normal 30 4 2" xfId="5074"/>
    <cellStyle name="Normal 30 4 2 2" xfId="5075"/>
    <cellStyle name="Normal 30 4 2 2 2" xfId="8272"/>
    <cellStyle name="Normal 30 4 2 2 2 2" xfId="22379"/>
    <cellStyle name="Normal 30 4 2 2 2 3" xfId="16906"/>
    <cellStyle name="Normal 30 4 2 2 3" xfId="14472"/>
    <cellStyle name="Normal 30 4 2 2 4" xfId="19987"/>
    <cellStyle name="Normal 30 4 2 2 5" xfId="11519"/>
    <cellStyle name="Normal 30 4 2 3" xfId="5076"/>
    <cellStyle name="Normal 30 4 2 3 2" xfId="9070"/>
    <cellStyle name="Normal 30 4 2 3 2 2" xfId="23171"/>
    <cellStyle name="Normal 30 4 2 3 2 3" xfId="17704"/>
    <cellStyle name="Normal 30 4 2 3 3" xfId="14473"/>
    <cellStyle name="Normal 30 4 2 3 4" xfId="19988"/>
    <cellStyle name="Normal 30 4 2 3 5" xfId="12315"/>
    <cellStyle name="Normal 30 4 2 4" xfId="7480"/>
    <cellStyle name="Normal 30 4 2 4 2" xfId="21587"/>
    <cellStyle name="Normal 30 4 2 4 3" xfId="16114"/>
    <cellStyle name="Normal 30 4 2 5" xfId="14471"/>
    <cellStyle name="Normal 30 4 2 6" xfId="19986"/>
    <cellStyle name="Normal 30 4 2 7" xfId="24187"/>
    <cellStyle name="Normal 30 4 2 8" xfId="10727"/>
    <cellStyle name="Normal 30 4 3" xfId="5077"/>
    <cellStyle name="Normal 30 4 3 2" xfId="5078"/>
    <cellStyle name="Normal 30 4 3 2 2" xfId="8532"/>
    <cellStyle name="Normal 30 4 3 2 2 2" xfId="22639"/>
    <cellStyle name="Normal 30 4 3 2 2 3" xfId="17166"/>
    <cellStyle name="Normal 30 4 3 2 3" xfId="14475"/>
    <cellStyle name="Normal 30 4 3 2 4" xfId="19990"/>
    <cellStyle name="Normal 30 4 3 2 5" xfId="11780"/>
    <cellStyle name="Normal 30 4 3 3" xfId="7740"/>
    <cellStyle name="Normal 30 4 3 3 2" xfId="21847"/>
    <cellStyle name="Normal 30 4 3 3 3" xfId="16374"/>
    <cellStyle name="Normal 30 4 3 4" xfId="14474"/>
    <cellStyle name="Normal 30 4 3 5" xfId="19989"/>
    <cellStyle name="Normal 30 4 3 6" xfId="10987"/>
    <cellStyle name="Normal 30 4 4" xfId="5079"/>
    <cellStyle name="Normal 30 4 4 2" xfId="6458"/>
    <cellStyle name="Normal 30 4 4 2 2" xfId="8894"/>
    <cellStyle name="Normal 30 4 4 2 2 2" xfId="22995"/>
    <cellStyle name="Normal 30 4 4 2 2 3" xfId="17528"/>
    <cellStyle name="Normal 30 4 4 2 3" xfId="15287"/>
    <cellStyle name="Normal 30 4 4 2 4" xfId="20781"/>
    <cellStyle name="Normal 30 4 4 2 5" xfId="12138"/>
    <cellStyle name="Normal 30 4 4 3" xfId="7304"/>
    <cellStyle name="Normal 30 4 4 3 2" xfId="21411"/>
    <cellStyle name="Normal 30 4 4 3 3" xfId="15938"/>
    <cellStyle name="Normal 30 4 4 4" xfId="14476"/>
    <cellStyle name="Normal 30 4 4 5" xfId="19991"/>
    <cellStyle name="Normal 30 4 4 6" xfId="10551"/>
    <cellStyle name="Normal 30 4 5" xfId="5080"/>
    <cellStyle name="Normal 30 4 5 2" xfId="8096"/>
    <cellStyle name="Normal 30 4 5 2 2" xfId="22203"/>
    <cellStyle name="Normal 30 4 5 2 3" xfId="16730"/>
    <cellStyle name="Normal 30 4 5 3" xfId="14477"/>
    <cellStyle name="Normal 30 4 5 4" xfId="19992"/>
    <cellStyle name="Normal 30 4 5 5" xfId="11343"/>
    <cellStyle name="Normal 30 4 6" xfId="5081"/>
    <cellStyle name="Normal 30 4 6 2" xfId="9431"/>
    <cellStyle name="Normal 30 4 6 2 2" xfId="23498"/>
    <cellStyle name="Normal 30 4 6 2 3" xfId="18050"/>
    <cellStyle name="Normal 30 4 6 3" xfId="14478"/>
    <cellStyle name="Normal 30 4 6 4" xfId="19993"/>
    <cellStyle name="Normal 30 4 6 5" xfId="12648"/>
    <cellStyle name="Normal 30 4 7" xfId="6945"/>
    <cellStyle name="Normal 30 4 7 2" xfId="21055"/>
    <cellStyle name="Normal 30 4 7 3" xfId="15582"/>
    <cellStyle name="Normal 30 4 8" xfId="9746"/>
    <cellStyle name="Normal 30 4 8 2" xfId="12854"/>
    <cellStyle name="Normal 30 4 9" xfId="9966"/>
    <cellStyle name="Normal 30 4 9 2" xfId="18405"/>
    <cellStyle name="Normal 30 5" xfId="5082"/>
    <cellStyle name="Normal 30 5 10" xfId="41978"/>
    <cellStyle name="Normal 30 5 2" xfId="5083"/>
    <cellStyle name="Normal 30 5 2 2" xfId="5084"/>
    <cellStyle name="Normal 30 5 2 2 2" xfId="8368"/>
    <cellStyle name="Normal 30 5 2 2 2 2" xfId="22475"/>
    <cellStyle name="Normal 30 5 2 2 2 3" xfId="17002"/>
    <cellStyle name="Normal 30 5 2 2 3" xfId="14481"/>
    <cellStyle name="Normal 30 5 2 2 4" xfId="19996"/>
    <cellStyle name="Normal 30 5 2 2 5" xfId="11616"/>
    <cellStyle name="Normal 30 5 2 3" xfId="5085"/>
    <cellStyle name="Normal 30 5 2 3 2" xfId="9166"/>
    <cellStyle name="Normal 30 5 2 3 2 2" xfId="23267"/>
    <cellStyle name="Normal 30 5 2 3 2 3" xfId="17800"/>
    <cellStyle name="Normal 30 5 2 3 3" xfId="14482"/>
    <cellStyle name="Normal 30 5 2 3 4" xfId="19997"/>
    <cellStyle name="Normal 30 5 2 3 5" xfId="12411"/>
    <cellStyle name="Normal 30 5 2 4" xfId="7576"/>
    <cellStyle name="Normal 30 5 2 4 2" xfId="21683"/>
    <cellStyle name="Normal 30 5 2 4 3" xfId="16210"/>
    <cellStyle name="Normal 30 5 2 5" xfId="14480"/>
    <cellStyle name="Normal 30 5 2 6" xfId="19995"/>
    <cellStyle name="Normal 30 5 2 7" xfId="10823"/>
    <cellStyle name="Normal 30 5 3" xfId="5086"/>
    <cellStyle name="Normal 30 5 3 2" xfId="5087"/>
    <cellStyle name="Normal 30 5 3 2 2" xfId="8628"/>
    <cellStyle name="Normal 30 5 3 2 2 2" xfId="22735"/>
    <cellStyle name="Normal 30 5 3 2 2 3" xfId="17262"/>
    <cellStyle name="Normal 30 5 3 2 3" xfId="14484"/>
    <cellStyle name="Normal 30 5 3 2 4" xfId="19999"/>
    <cellStyle name="Normal 30 5 3 2 5" xfId="11876"/>
    <cellStyle name="Normal 30 5 3 3" xfId="7836"/>
    <cellStyle name="Normal 30 5 3 3 2" xfId="21943"/>
    <cellStyle name="Normal 30 5 3 3 3" xfId="16470"/>
    <cellStyle name="Normal 30 5 3 4" xfId="14483"/>
    <cellStyle name="Normal 30 5 3 5" xfId="19998"/>
    <cellStyle name="Normal 30 5 3 6" xfId="11083"/>
    <cellStyle name="Normal 30 5 4" xfId="5088"/>
    <cellStyle name="Normal 30 5 4 2" xfId="6378"/>
    <cellStyle name="Normal 30 5 4 2 2" xfId="8814"/>
    <cellStyle name="Normal 30 5 4 2 2 2" xfId="22915"/>
    <cellStyle name="Normal 30 5 4 2 2 3" xfId="17448"/>
    <cellStyle name="Normal 30 5 4 2 3" xfId="15207"/>
    <cellStyle name="Normal 30 5 4 2 4" xfId="20701"/>
    <cellStyle name="Normal 30 5 4 2 5" xfId="12058"/>
    <cellStyle name="Normal 30 5 4 3" xfId="7224"/>
    <cellStyle name="Normal 30 5 4 3 2" xfId="21331"/>
    <cellStyle name="Normal 30 5 4 3 3" xfId="15858"/>
    <cellStyle name="Normal 30 5 4 4" xfId="14485"/>
    <cellStyle name="Normal 30 5 4 5" xfId="20000"/>
    <cellStyle name="Normal 30 5 4 6" xfId="10471"/>
    <cellStyle name="Normal 30 5 5" xfId="5089"/>
    <cellStyle name="Normal 30 5 5 2" xfId="8016"/>
    <cellStyle name="Normal 30 5 5 2 2" xfId="22123"/>
    <cellStyle name="Normal 30 5 5 2 3" xfId="16650"/>
    <cellStyle name="Normal 30 5 5 3" xfId="14486"/>
    <cellStyle name="Normal 30 5 5 4" xfId="20001"/>
    <cellStyle name="Normal 30 5 5 5" xfId="11263"/>
    <cellStyle name="Normal 30 5 6" xfId="7041"/>
    <cellStyle name="Normal 30 5 6 2" xfId="21151"/>
    <cellStyle name="Normal 30 5 6 3" xfId="15678"/>
    <cellStyle name="Normal 30 5 7" xfId="14479"/>
    <cellStyle name="Normal 30 5 8" xfId="19994"/>
    <cellStyle name="Normal 30 5 9" xfId="10291"/>
    <cellStyle name="Normal 30 6" xfId="5090"/>
    <cellStyle name="Normal 30 6 2" xfId="5091"/>
    <cellStyle name="Normal 30 6 2 2" xfId="8192"/>
    <cellStyle name="Normal 30 6 2 2 2" xfId="22299"/>
    <cellStyle name="Normal 30 6 2 2 3" xfId="16826"/>
    <cellStyle name="Normal 30 6 2 3" xfId="14488"/>
    <cellStyle name="Normal 30 6 2 4" xfId="20003"/>
    <cellStyle name="Normal 30 6 2 5" xfId="11439"/>
    <cellStyle name="Normal 30 6 3" xfId="5092"/>
    <cellStyle name="Normal 30 6 3 2" xfId="8990"/>
    <cellStyle name="Normal 30 6 3 2 2" xfId="23091"/>
    <cellStyle name="Normal 30 6 3 2 3" xfId="17624"/>
    <cellStyle name="Normal 30 6 3 3" xfId="14489"/>
    <cellStyle name="Normal 30 6 3 4" xfId="20004"/>
    <cellStyle name="Normal 30 6 3 5" xfId="12234"/>
    <cellStyle name="Normal 30 6 4" xfId="7400"/>
    <cellStyle name="Normal 30 6 4 2" xfId="21507"/>
    <cellStyle name="Normal 30 6 4 3" xfId="16034"/>
    <cellStyle name="Normal 30 6 5" xfId="14487"/>
    <cellStyle name="Normal 30 6 6" xfId="20002"/>
    <cellStyle name="Normal 30 6 7" xfId="10647"/>
    <cellStyle name="Normal 30 6 8" xfId="41979"/>
    <cellStyle name="Normal 30 7" xfId="5093"/>
    <cellStyle name="Normal 30 7 2" xfId="5094"/>
    <cellStyle name="Normal 30 7 2 2" xfId="8452"/>
    <cellStyle name="Normal 30 7 2 2 2" xfId="22559"/>
    <cellStyle name="Normal 30 7 2 2 3" xfId="17086"/>
    <cellStyle name="Normal 30 7 2 3" xfId="14491"/>
    <cellStyle name="Normal 30 7 2 4" xfId="20006"/>
    <cellStyle name="Normal 30 7 2 5" xfId="11700"/>
    <cellStyle name="Normal 30 7 3" xfId="7660"/>
    <cellStyle name="Normal 30 7 3 2" xfId="21767"/>
    <cellStyle name="Normal 30 7 3 3" xfId="16294"/>
    <cellStyle name="Normal 30 7 4" xfId="14490"/>
    <cellStyle name="Normal 30 7 5" xfId="20005"/>
    <cellStyle name="Normal 30 7 6" xfId="10907"/>
    <cellStyle name="Normal 30 8" xfId="5095"/>
    <cellStyle name="Normal 30 8 2" xfId="6282"/>
    <cellStyle name="Normal 30 8 2 2" xfId="8718"/>
    <cellStyle name="Normal 30 8 2 2 2" xfId="22819"/>
    <cellStyle name="Normal 30 8 2 2 3" xfId="17352"/>
    <cellStyle name="Normal 30 8 2 3" xfId="15111"/>
    <cellStyle name="Normal 30 8 2 4" xfId="20605"/>
    <cellStyle name="Normal 30 8 2 5" xfId="11962"/>
    <cellStyle name="Normal 30 8 3" xfId="7128"/>
    <cellStyle name="Normal 30 8 3 2" xfId="21235"/>
    <cellStyle name="Normal 30 8 3 3" xfId="15762"/>
    <cellStyle name="Normal 30 8 4" xfId="14492"/>
    <cellStyle name="Normal 30 8 5" xfId="20007"/>
    <cellStyle name="Normal 30 8 6" xfId="10375"/>
    <cellStyle name="Normal 30 9" xfId="5096"/>
    <cellStyle name="Normal 30 9 2" xfId="7920"/>
    <cellStyle name="Normal 30 9 2 2" xfId="22027"/>
    <cellStyle name="Normal 30 9 2 3" xfId="16554"/>
    <cellStyle name="Normal 30 9 3" xfId="14493"/>
    <cellStyle name="Normal 30 9 4" xfId="20008"/>
    <cellStyle name="Normal 30 9 5" xfId="11167"/>
    <cellStyle name="Normal 31" xfId="637"/>
    <cellStyle name="Normal 31 10" xfId="5097"/>
    <cellStyle name="Normal 31 11" xfId="6822"/>
    <cellStyle name="Normal 31 11 2" xfId="20954"/>
    <cellStyle name="Normal 31 11 3" xfId="15480"/>
    <cellStyle name="Normal 31 12" xfId="23705"/>
    <cellStyle name="Normal 31 13" xfId="10088"/>
    <cellStyle name="Normal 31 2" xfId="1310"/>
    <cellStyle name="Normal 31 2 2" xfId="5098"/>
    <cellStyle name="Normal 31 2 2 2" xfId="5099"/>
    <cellStyle name="Normal 31 2 2 2 2" xfId="5100"/>
    <cellStyle name="Normal 31 2 2 2 2 2" xfId="8639"/>
    <cellStyle name="Normal 31 2 2 2 2 2 2" xfId="22746"/>
    <cellStyle name="Normal 31 2 2 2 2 2 3" xfId="17273"/>
    <cellStyle name="Normal 31 2 2 2 2 3" xfId="14496"/>
    <cellStyle name="Normal 31 2 2 2 2 4" xfId="20011"/>
    <cellStyle name="Normal 31 2 2 2 2 5" xfId="11887"/>
    <cellStyle name="Normal 31 2 2 2 3" xfId="7847"/>
    <cellStyle name="Normal 31 2 2 2 3 2" xfId="21954"/>
    <cellStyle name="Normal 31 2 2 2 3 3" xfId="16481"/>
    <cellStyle name="Normal 31 2 2 2 4" xfId="14495"/>
    <cellStyle name="Normal 31 2 2 2 5" xfId="20010"/>
    <cellStyle name="Normal 31 2 2 2 6" xfId="11094"/>
    <cellStyle name="Normal 31 2 2 3" xfId="5101"/>
    <cellStyle name="Normal 31 2 2 3 2" xfId="6578"/>
    <cellStyle name="Normal 31 2 2 3 2 2" xfId="9177"/>
    <cellStyle name="Normal 31 2 2 3 2 2 2" xfId="23278"/>
    <cellStyle name="Normal 31 2 2 3 2 2 3" xfId="17811"/>
    <cellStyle name="Normal 31 2 2 3 2 3" xfId="15363"/>
    <cellStyle name="Normal 31 2 2 3 2 4" xfId="20856"/>
    <cellStyle name="Normal 31 2 2 3 2 5" xfId="12422"/>
    <cellStyle name="Normal 31 2 2 3 3" xfId="7587"/>
    <cellStyle name="Normal 31 2 2 3 3 2" xfId="21694"/>
    <cellStyle name="Normal 31 2 2 3 3 3" xfId="16221"/>
    <cellStyle name="Normal 31 2 2 3 4" xfId="14497"/>
    <cellStyle name="Normal 31 2 2 3 5" xfId="20012"/>
    <cellStyle name="Normal 31 2 2 3 6" xfId="10834"/>
    <cellStyle name="Normal 31 2 2 4" xfId="5102"/>
    <cellStyle name="Normal 31 2 2 4 2" xfId="8379"/>
    <cellStyle name="Normal 31 2 2 4 2 2" xfId="22486"/>
    <cellStyle name="Normal 31 2 2 4 2 3" xfId="17013"/>
    <cellStyle name="Normal 31 2 2 4 3" xfId="14498"/>
    <cellStyle name="Normal 31 2 2 4 4" xfId="20013"/>
    <cellStyle name="Normal 31 2 2 4 5" xfId="11627"/>
    <cellStyle name="Normal 31 2 2 5" xfId="7053"/>
    <cellStyle name="Normal 31 2 2 5 2" xfId="21162"/>
    <cellStyle name="Normal 31 2 2 5 3" xfId="15689"/>
    <cellStyle name="Normal 31 2 2 6" xfId="14494"/>
    <cellStyle name="Normal 31 2 2 7" xfId="20009"/>
    <cellStyle name="Normal 31 2 2 8" xfId="10302"/>
    <cellStyle name="Normal 31 2 3" xfId="5103"/>
    <cellStyle name="Normal 31 2 3 2" xfId="5104"/>
    <cellStyle name="Normal 31 2 3 2 2" xfId="8203"/>
    <cellStyle name="Normal 31 2 3 2 2 2" xfId="22310"/>
    <cellStyle name="Normal 31 2 3 2 2 3" xfId="16837"/>
    <cellStyle name="Normal 31 2 3 2 3" xfId="14500"/>
    <cellStyle name="Normal 31 2 3 2 4" xfId="20015"/>
    <cellStyle name="Normal 31 2 3 2 5" xfId="11450"/>
    <cellStyle name="Normal 31 2 3 3" xfId="5105"/>
    <cellStyle name="Normal 31 2 3 3 2" xfId="9001"/>
    <cellStyle name="Normal 31 2 3 3 2 2" xfId="23102"/>
    <cellStyle name="Normal 31 2 3 3 2 3" xfId="17635"/>
    <cellStyle name="Normal 31 2 3 3 3" xfId="14501"/>
    <cellStyle name="Normal 31 2 3 3 4" xfId="20016"/>
    <cellStyle name="Normal 31 2 3 3 5" xfId="12245"/>
    <cellStyle name="Normal 31 2 3 4" xfId="7411"/>
    <cellStyle name="Normal 31 2 3 4 2" xfId="21518"/>
    <cellStyle name="Normal 31 2 3 4 3" xfId="16045"/>
    <cellStyle name="Normal 31 2 3 5" xfId="14499"/>
    <cellStyle name="Normal 31 2 3 6" xfId="20014"/>
    <cellStyle name="Normal 31 2 3 7" xfId="10658"/>
    <cellStyle name="Normal 31 2 4" xfId="5106"/>
    <cellStyle name="Normal 31 2 4 2" xfId="5107"/>
    <cellStyle name="Normal 31 2 4 2 2" xfId="8463"/>
    <cellStyle name="Normal 31 2 4 2 2 2" xfId="22570"/>
    <cellStyle name="Normal 31 2 4 2 2 3" xfId="17097"/>
    <cellStyle name="Normal 31 2 4 2 3" xfId="14503"/>
    <cellStyle name="Normal 31 2 4 2 4" xfId="20018"/>
    <cellStyle name="Normal 31 2 4 2 5" xfId="11711"/>
    <cellStyle name="Normal 31 2 4 3" xfId="7671"/>
    <cellStyle name="Normal 31 2 4 3 2" xfId="21778"/>
    <cellStyle name="Normal 31 2 4 3 3" xfId="16305"/>
    <cellStyle name="Normal 31 2 4 4" xfId="14502"/>
    <cellStyle name="Normal 31 2 4 5" xfId="20017"/>
    <cellStyle name="Normal 31 2 4 6" xfId="10918"/>
    <cellStyle name="Normal 31 2 5" xfId="5108"/>
    <cellStyle name="Normal 31 2 5 2" xfId="6389"/>
    <cellStyle name="Normal 31 2 5 2 2" xfId="8825"/>
    <cellStyle name="Normal 31 2 5 2 2 2" xfId="22926"/>
    <cellStyle name="Normal 31 2 5 2 2 3" xfId="17459"/>
    <cellStyle name="Normal 31 2 5 2 3" xfId="15218"/>
    <cellStyle name="Normal 31 2 5 2 4" xfId="20712"/>
    <cellStyle name="Normal 31 2 5 2 5" xfId="12069"/>
    <cellStyle name="Normal 31 2 5 3" xfId="7235"/>
    <cellStyle name="Normal 31 2 5 3 2" xfId="21342"/>
    <cellStyle name="Normal 31 2 5 3 3" xfId="15869"/>
    <cellStyle name="Normal 31 2 5 4" xfId="14504"/>
    <cellStyle name="Normal 31 2 5 5" xfId="20019"/>
    <cellStyle name="Normal 31 2 5 6" xfId="10482"/>
    <cellStyle name="Normal 31 2 6" xfId="5109"/>
    <cellStyle name="Normal 31 2 6 2" xfId="8027"/>
    <cellStyle name="Normal 31 2 6 2 2" xfId="22134"/>
    <cellStyle name="Normal 31 2 6 2 3" xfId="16661"/>
    <cellStyle name="Normal 31 2 6 3" xfId="14505"/>
    <cellStyle name="Normal 31 2 6 4" xfId="20020"/>
    <cellStyle name="Normal 31 2 6 5" xfId="11274"/>
    <cellStyle name="Normal 31 2 7" xfId="5110"/>
    <cellStyle name="Normal 31 2 8" xfId="6871"/>
    <cellStyle name="Normal 31 2 8 2" xfId="20986"/>
    <cellStyle name="Normal 31 2 8 3" xfId="15513"/>
    <cellStyle name="Normal 31 2 9" xfId="10124"/>
    <cellStyle name="Normal 31 3" xfId="1103"/>
    <cellStyle name="Normal 31 3 2" xfId="5111"/>
    <cellStyle name="Normal 31 3 2 2" xfId="9375"/>
    <cellStyle name="Normal 31 3 2 2 2" xfId="23444"/>
    <cellStyle name="Normal 31 3 2 2 3" xfId="17996"/>
    <cellStyle name="Normal 31 3 2 3" xfId="14506"/>
    <cellStyle name="Normal 31 3 2 4" xfId="20021"/>
    <cellStyle name="Normal 31 3 2 5" xfId="24133"/>
    <cellStyle name="Normal 31 3 2 6" xfId="12593"/>
    <cellStyle name="Normal 31 3 3" xfId="6139"/>
    <cellStyle name="Normal 31 3 3 2" xfId="41980"/>
    <cellStyle name="Normal 31 3 4" xfId="9681"/>
    <cellStyle name="Normal 31 3 4 2" xfId="12800"/>
    <cellStyle name="Normal 31 3 5" xfId="9911"/>
    <cellStyle name="Normal 31 3 5 2" xfId="18351"/>
    <cellStyle name="Normal 31 3 6" xfId="23817"/>
    <cellStyle name="Normal 31 3 7" xfId="2096"/>
    <cellStyle name="Normal 31 4" xfId="3176"/>
    <cellStyle name="Normal 31 4 10" xfId="41981"/>
    <cellStyle name="Normal 31 4 2" xfId="5112"/>
    <cellStyle name="Normal 31 4 2 2" xfId="5113"/>
    <cellStyle name="Normal 31 4 2 2 2" xfId="8251"/>
    <cellStyle name="Normal 31 4 2 2 2 2" xfId="22358"/>
    <cellStyle name="Normal 31 4 2 2 2 3" xfId="16885"/>
    <cellStyle name="Normal 31 4 2 2 3" xfId="14508"/>
    <cellStyle name="Normal 31 4 2 2 4" xfId="20023"/>
    <cellStyle name="Normal 31 4 2 2 5" xfId="11498"/>
    <cellStyle name="Normal 31 4 2 3" xfId="5114"/>
    <cellStyle name="Normal 31 4 2 3 2" xfId="9049"/>
    <cellStyle name="Normal 31 4 2 3 2 2" xfId="23150"/>
    <cellStyle name="Normal 31 4 2 3 2 3" xfId="17683"/>
    <cellStyle name="Normal 31 4 2 3 3" xfId="14509"/>
    <cellStyle name="Normal 31 4 2 3 4" xfId="20024"/>
    <cellStyle name="Normal 31 4 2 3 5" xfId="12294"/>
    <cellStyle name="Normal 31 4 2 4" xfId="7459"/>
    <cellStyle name="Normal 31 4 2 4 2" xfId="21566"/>
    <cellStyle name="Normal 31 4 2 4 3" xfId="16093"/>
    <cellStyle name="Normal 31 4 2 5" xfId="14507"/>
    <cellStyle name="Normal 31 4 2 6" xfId="20022"/>
    <cellStyle name="Normal 31 4 2 7" xfId="10706"/>
    <cellStyle name="Normal 31 4 3" xfId="5115"/>
    <cellStyle name="Normal 31 4 3 2" xfId="5116"/>
    <cellStyle name="Normal 31 4 3 2 2" xfId="8511"/>
    <cellStyle name="Normal 31 4 3 2 2 2" xfId="22618"/>
    <cellStyle name="Normal 31 4 3 2 2 3" xfId="17145"/>
    <cellStyle name="Normal 31 4 3 2 3" xfId="14511"/>
    <cellStyle name="Normal 31 4 3 2 4" xfId="20026"/>
    <cellStyle name="Normal 31 4 3 2 5" xfId="11759"/>
    <cellStyle name="Normal 31 4 3 3" xfId="7719"/>
    <cellStyle name="Normal 31 4 3 3 2" xfId="21826"/>
    <cellStyle name="Normal 31 4 3 3 3" xfId="16353"/>
    <cellStyle name="Normal 31 4 3 4" xfId="14510"/>
    <cellStyle name="Normal 31 4 3 5" xfId="20025"/>
    <cellStyle name="Normal 31 4 3 6" xfId="10966"/>
    <cellStyle name="Normal 31 4 4" xfId="5117"/>
    <cellStyle name="Normal 31 4 4 2" xfId="6437"/>
    <cellStyle name="Normal 31 4 4 2 2" xfId="8873"/>
    <cellStyle name="Normal 31 4 4 2 2 2" xfId="22974"/>
    <cellStyle name="Normal 31 4 4 2 2 3" xfId="17507"/>
    <cellStyle name="Normal 31 4 4 2 3" xfId="15266"/>
    <cellStyle name="Normal 31 4 4 2 4" xfId="20760"/>
    <cellStyle name="Normal 31 4 4 2 5" xfId="12117"/>
    <cellStyle name="Normal 31 4 4 3" xfId="7283"/>
    <cellStyle name="Normal 31 4 4 3 2" xfId="21390"/>
    <cellStyle name="Normal 31 4 4 3 3" xfId="15917"/>
    <cellStyle name="Normal 31 4 4 4" xfId="14512"/>
    <cellStyle name="Normal 31 4 4 5" xfId="20027"/>
    <cellStyle name="Normal 31 4 4 6" xfId="10530"/>
    <cellStyle name="Normal 31 4 5" xfId="5118"/>
    <cellStyle name="Normal 31 4 5 2" xfId="8075"/>
    <cellStyle name="Normal 31 4 5 2 2" xfId="22182"/>
    <cellStyle name="Normal 31 4 5 2 3" xfId="16709"/>
    <cellStyle name="Normal 31 4 5 3" xfId="14513"/>
    <cellStyle name="Normal 31 4 5 4" xfId="20028"/>
    <cellStyle name="Normal 31 4 5 5" xfId="11322"/>
    <cellStyle name="Normal 31 4 6" xfId="6924"/>
    <cellStyle name="Normal 31 4 6 2" xfId="21034"/>
    <cellStyle name="Normal 31 4 6 3" xfId="15561"/>
    <cellStyle name="Normal 31 4 7" xfId="12968"/>
    <cellStyle name="Normal 31 4 8" xfId="18510"/>
    <cellStyle name="Normal 31 4 9" xfId="10174"/>
    <cellStyle name="Normal 31 5" xfId="5119"/>
    <cellStyle name="Normal 31 5 10" xfId="41982"/>
    <cellStyle name="Normal 31 5 2" xfId="5120"/>
    <cellStyle name="Normal 31 5 2 2" xfId="5121"/>
    <cellStyle name="Normal 31 5 2 2 2" xfId="8347"/>
    <cellStyle name="Normal 31 5 2 2 2 2" xfId="22454"/>
    <cellStyle name="Normal 31 5 2 2 2 3" xfId="16981"/>
    <cellStyle name="Normal 31 5 2 2 3" xfId="14516"/>
    <cellStyle name="Normal 31 5 2 2 4" xfId="20031"/>
    <cellStyle name="Normal 31 5 2 2 5" xfId="11595"/>
    <cellStyle name="Normal 31 5 2 3" xfId="5122"/>
    <cellStyle name="Normal 31 5 2 3 2" xfId="9145"/>
    <cellStyle name="Normal 31 5 2 3 2 2" xfId="23246"/>
    <cellStyle name="Normal 31 5 2 3 2 3" xfId="17779"/>
    <cellStyle name="Normal 31 5 2 3 3" xfId="14517"/>
    <cellStyle name="Normal 31 5 2 3 4" xfId="20032"/>
    <cellStyle name="Normal 31 5 2 3 5" xfId="12390"/>
    <cellStyle name="Normal 31 5 2 4" xfId="7555"/>
    <cellStyle name="Normal 31 5 2 4 2" xfId="21662"/>
    <cellStyle name="Normal 31 5 2 4 3" xfId="16189"/>
    <cellStyle name="Normal 31 5 2 5" xfId="14515"/>
    <cellStyle name="Normal 31 5 2 6" xfId="20030"/>
    <cellStyle name="Normal 31 5 2 7" xfId="10802"/>
    <cellStyle name="Normal 31 5 3" xfId="5123"/>
    <cellStyle name="Normal 31 5 3 2" xfId="5124"/>
    <cellStyle name="Normal 31 5 3 2 2" xfId="8607"/>
    <cellStyle name="Normal 31 5 3 2 2 2" xfId="22714"/>
    <cellStyle name="Normal 31 5 3 2 2 3" xfId="17241"/>
    <cellStyle name="Normal 31 5 3 2 3" xfId="14519"/>
    <cellStyle name="Normal 31 5 3 2 4" xfId="20034"/>
    <cellStyle name="Normal 31 5 3 2 5" xfId="11855"/>
    <cellStyle name="Normal 31 5 3 3" xfId="7815"/>
    <cellStyle name="Normal 31 5 3 3 2" xfId="21922"/>
    <cellStyle name="Normal 31 5 3 3 3" xfId="16449"/>
    <cellStyle name="Normal 31 5 3 4" xfId="14518"/>
    <cellStyle name="Normal 31 5 3 5" xfId="20033"/>
    <cellStyle name="Normal 31 5 3 6" xfId="11062"/>
    <cellStyle name="Normal 31 5 4" xfId="5125"/>
    <cellStyle name="Normal 31 5 4 2" xfId="6357"/>
    <cellStyle name="Normal 31 5 4 2 2" xfId="8793"/>
    <cellStyle name="Normal 31 5 4 2 2 2" xfId="22894"/>
    <cellStyle name="Normal 31 5 4 2 2 3" xfId="17427"/>
    <cellStyle name="Normal 31 5 4 2 3" xfId="15186"/>
    <cellStyle name="Normal 31 5 4 2 4" xfId="20680"/>
    <cellStyle name="Normal 31 5 4 2 5" xfId="12037"/>
    <cellStyle name="Normal 31 5 4 3" xfId="7203"/>
    <cellStyle name="Normal 31 5 4 3 2" xfId="21310"/>
    <cellStyle name="Normal 31 5 4 3 3" xfId="15837"/>
    <cellStyle name="Normal 31 5 4 4" xfId="14520"/>
    <cellStyle name="Normal 31 5 4 5" xfId="20035"/>
    <cellStyle name="Normal 31 5 4 6" xfId="10450"/>
    <cellStyle name="Normal 31 5 5" xfId="5126"/>
    <cellStyle name="Normal 31 5 5 2" xfId="7995"/>
    <cellStyle name="Normal 31 5 5 2 2" xfId="22102"/>
    <cellStyle name="Normal 31 5 5 2 3" xfId="16629"/>
    <cellStyle name="Normal 31 5 5 3" xfId="14521"/>
    <cellStyle name="Normal 31 5 5 4" xfId="20036"/>
    <cellStyle name="Normal 31 5 5 5" xfId="11242"/>
    <cellStyle name="Normal 31 5 6" xfId="7020"/>
    <cellStyle name="Normal 31 5 6 2" xfId="21130"/>
    <cellStyle name="Normal 31 5 6 3" xfId="15657"/>
    <cellStyle name="Normal 31 5 7" xfId="14514"/>
    <cellStyle name="Normal 31 5 8" xfId="20029"/>
    <cellStyle name="Normal 31 5 9" xfId="10270"/>
    <cellStyle name="Normal 31 6" xfId="5127"/>
    <cellStyle name="Normal 31 6 2" xfId="5128"/>
    <cellStyle name="Normal 31 6 2 2" xfId="8171"/>
    <cellStyle name="Normal 31 6 2 2 2" xfId="22278"/>
    <cellStyle name="Normal 31 6 2 2 3" xfId="16805"/>
    <cellStyle name="Normal 31 6 2 3" xfId="14523"/>
    <cellStyle name="Normal 31 6 2 4" xfId="20038"/>
    <cellStyle name="Normal 31 6 2 5" xfId="11418"/>
    <cellStyle name="Normal 31 6 3" xfId="5129"/>
    <cellStyle name="Normal 31 6 3 2" xfId="8969"/>
    <cellStyle name="Normal 31 6 3 2 2" xfId="23070"/>
    <cellStyle name="Normal 31 6 3 2 3" xfId="17603"/>
    <cellStyle name="Normal 31 6 3 3" xfId="14524"/>
    <cellStyle name="Normal 31 6 3 4" xfId="20039"/>
    <cellStyle name="Normal 31 6 3 5" xfId="12213"/>
    <cellStyle name="Normal 31 6 4" xfId="7379"/>
    <cellStyle name="Normal 31 6 4 2" xfId="21486"/>
    <cellStyle name="Normal 31 6 4 3" xfId="16013"/>
    <cellStyle name="Normal 31 6 5" xfId="14522"/>
    <cellStyle name="Normal 31 6 6" xfId="20037"/>
    <cellStyle name="Normal 31 6 7" xfId="10626"/>
    <cellStyle name="Normal 31 7" xfId="5130"/>
    <cellStyle name="Normal 31 7 2" xfId="5131"/>
    <cellStyle name="Normal 31 7 2 2" xfId="8431"/>
    <cellStyle name="Normal 31 7 2 2 2" xfId="22538"/>
    <cellStyle name="Normal 31 7 2 2 3" xfId="17065"/>
    <cellStyle name="Normal 31 7 2 3" xfId="14526"/>
    <cellStyle name="Normal 31 7 2 4" xfId="20041"/>
    <cellStyle name="Normal 31 7 2 5" xfId="11679"/>
    <cellStyle name="Normal 31 7 3" xfId="7639"/>
    <cellStyle name="Normal 31 7 3 2" xfId="21746"/>
    <cellStyle name="Normal 31 7 3 3" xfId="16273"/>
    <cellStyle name="Normal 31 7 4" xfId="14525"/>
    <cellStyle name="Normal 31 7 5" xfId="20040"/>
    <cellStyle name="Normal 31 7 6" xfId="10886"/>
    <cellStyle name="Normal 31 8" xfId="5132"/>
    <cellStyle name="Normal 31 8 2" xfId="6261"/>
    <cellStyle name="Normal 31 8 2 2" xfId="8697"/>
    <cellStyle name="Normal 31 8 2 2 2" xfId="22798"/>
    <cellStyle name="Normal 31 8 2 2 3" xfId="17331"/>
    <cellStyle name="Normal 31 8 2 3" xfId="15090"/>
    <cellStyle name="Normal 31 8 2 4" xfId="20584"/>
    <cellStyle name="Normal 31 8 2 5" xfId="11941"/>
    <cellStyle name="Normal 31 8 3" xfId="7107"/>
    <cellStyle name="Normal 31 8 3 2" xfId="21214"/>
    <cellStyle name="Normal 31 8 3 3" xfId="15741"/>
    <cellStyle name="Normal 31 8 4" xfId="14527"/>
    <cellStyle name="Normal 31 8 5" xfId="20042"/>
    <cellStyle name="Normal 31 8 6" xfId="10354"/>
    <cellStyle name="Normal 31 9" xfId="5133"/>
    <cellStyle name="Normal 31 9 2" xfId="7899"/>
    <cellStyle name="Normal 31 9 2 2" xfId="22006"/>
    <cellStyle name="Normal 31 9 2 3" xfId="16533"/>
    <cellStyle name="Normal 31 9 3" xfId="14528"/>
    <cellStyle name="Normal 31 9 4" xfId="20043"/>
    <cellStyle name="Normal 31 9 5" xfId="11146"/>
    <cellStyle name="Normal 32" xfId="1151"/>
    <cellStyle name="Normal 32 10" xfId="5134"/>
    <cellStyle name="Normal 32 11" xfId="6831"/>
    <cellStyle name="Normal 32 11 2" xfId="20961"/>
    <cellStyle name="Normal 32 11 3" xfId="15487"/>
    <cellStyle name="Normal 32 12" xfId="10095"/>
    <cellStyle name="Normal 32 2" xfId="1458"/>
    <cellStyle name="Normal 32 2 10" xfId="9918"/>
    <cellStyle name="Normal 32 2 10 2" xfId="18358"/>
    <cellStyle name="Normal 32 2 11" xfId="10131"/>
    <cellStyle name="Normal 32 2 12" xfId="2116"/>
    <cellStyle name="Normal 32 2 2" xfId="2936"/>
    <cellStyle name="Normal 32 2 2 2" xfId="5135"/>
    <cellStyle name="Normal 32 2 2 2 2" xfId="5136"/>
    <cellStyle name="Normal 32 2 2 2 2 2" xfId="8646"/>
    <cellStyle name="Normal 32 2 2 2 2 2 2" xfId="22753"/>
    <cellStyle name="Normal 32 2 2 2 2 2 3" xfId="17280"/>
    <cellStyle name="Normal 32 2 2 2 2 3" xfId="14530"/>
    <cellStyle name="Normal 32 2 2 2 2 4" xfId="20045"/>
    <cellStyle name="Normal 32 2 2 2 2 5" xfId="11894"/>
    <cellStyle name="Normal 32 2 2 2 3" xfId="7854"/>
    <cellStyle name="Normal 32 2 2 2 3 2" xfId="21961"/>
    <cellStyle name="Normal 32 2 2 2 3 3" xfId="16488"/>
    <cellStyle name="Normal 32 2 2 2 4" xfId="14529"/>
    <cellStyle name="Normal 32 2 2 2 5" xfId="20044"/>
    <cellStyle name="Normal 32 2 2 2 6" xfId="11101"/>
    <cellStyle name="Normal 32 2 2 2 7" xfId="24292"/>
    <cellStyle name="Normal 32 2 2 2 8" xfId="41983"/>
    <cellStyle name="Normal 32 2 2 3" xfId="5137"/>
    <cellStyle name="Normal 32 2 2 3 2" xfId="6585"/>
    <cellStyle name="Normal 32 2 2 3 2 2" xfId="9184"/>
    <cellStyle name="Normal 32 2 2 3 2 2 2" xfId="23285"/>
    <cellStyle name="Normal 32 2 2 3 2 2 3" xfId="17818"/>
    <cellStyle name="Normal 32 2 2 3 2 3" xfId="15370"/>
    <cellStyle name="Normal 32 2 2 3 2 4" xfId="20863"/>
    <cellStyle name="Normal 32 2 2 3 2 5" xfId="12429"/>
    <cellStyle name="Normal 32 2 2 3 3" xfId="7594"/>
    <cellStyle name="Normal 32 2 2 3 3 2" xfId="21701"/>
    <cellStyle name="Normal 32 2 2 3 3 3" xfId="16228"/>
    <cellStyle name="Normal 32 2 2 3 4" xfId="14531"/>
    <cellStyle name="Normal 32 2 2 3 5" xfId="20046"/>
    <cellStyle name="Normal 32 2 2 3 6" xfId="10841"/>
    <cellStyle name="Normal 32 2 2 4" xfId="5138"/>
    <cellStyle name="Normal 32 2 2 4 2" xfId="8386"/>
    <cellStyle name="Normal 32 2 2 4 2 2" xfId="22493"/>
    <cellStyle name="Normal 32 2 2 4 2 3" xfId="17020"/>
    <cellStyle name="Normal 32 2 2 4 3" xfId="14532"/>
    <cellStyle name="Normal 32 2 2 4 4" xfId="20047"/>
    <cellStyle name="Normal 32 2 2 4 5" xfId="11634"/>
    <cellStyle name="Normal 32 2 2 5" xfId="5139"/>
    <cellStyle name="Normal 32 2 2 6" xfId="7060"/>
    <cellStyle name="Normal 32 2 2 6 2" xfId="21169"/>
    <cellStyle name="Normal 32 2 2 6 3" xfId="15696"/>
    <cellStyle name="Normal 32 2 2 7" xfId="10309"/>
    <cellStyle name="Normal 32 2 3" xfId="5140"/>
    <cellStyle name="Normal 32 2 3 10" xfId="41984"/>
    <cellStyle name="Normal 32 2 3 2" xfId="5141"/>
    <cellStyle name="Normal 32 2 3 2 2" xfId="8210"/>
    <cellStyle name="Normal 32 2 3 2 2 2" xfId="22317"/>
    <cellStyle name="Normal 32 2 3 2 2 3" xfId="16844"/>
    <cellStyle name="Normal 32 2 3 2 3" xfId="14534"/>
    <cellStyle name="Normal 32 2 3 2 4" xfId="20049"/>
    <cellStyle name="Normal 32 2 3 2 5" xfId="11457"/>
    <cellStyle name="Normal 32 2 3 3" xfId="5142"/>
    <cellStyle name="Normal 32 2 3 3 2" xfId="9008"/>
    <cellStyle name="Normal 32 2 3 3 2 2" xfId="23109"/>
    <cellStyle name="Normal 32 2 3 3 2 3" xfId="17642"/>
    <cellStyle name="Normal 32 2 3 3 3" xfId="14535"/>
    <cellStyle name="Normal 32 2 3 3 4" xfId="20050"/>
    <cellStyle name="Normal 32 2 3 3 5" xfId="12252"/>
    <cellStyle name="Normal 32 2 3 4" xfId="7418"/>
    <cellStyle name="Normal 32 2 3 4 2" xfId="21525"/>
    <cellStyle name="Normal 32 2 3 4 3" xfId="16052"/>
    <cellStyle name="Normal 32 2 3 5" xfId="14533"/>
    <cellStyle name="Normal 32 2 3 6" xfId="20048"/>
    <cellStyle name="Normal 32 2 3 7" xfId="23823"/>
    <cellStyle name="Normal 32 2 3 8" xfId="10665"/>
    <cellStyle name="Normal 32 2 3 9" xfId="24580"/>
    <cellStyle name="Normal 32 2 4" xfId="5143"/>
    <cellStyle name="Normal 32 2 4 2" xfId="5144"/>
    <cellStyle name="Normal 32 2 4 2 2" xfId="8470"/>
    <cellStyle name="Normal 32 2 4 2 2 2" xfId="22577"/>
    <cellStyle name="Normal 32 2 4 2 2 3" xfId="17104"/>
    <cellStyle name="Normal 32 2 4 2 3" xfId="14537"/>
    <cellStyle name="Normal 32 2 4 2 4" xfId="20052"/>
    <cellStyle name="Normal 32 2 4 2 5" xfId="11718"/>
    <cellStyle name="Normal 32 2 4 3" xfId="7678"/>
    <cellStyle name="Normal 32 2 4 3 2" xfId="21785"/>
    <cellStyle name="Normal 32 2 4 3 3" xfId="16312"/>
    <cellStyle name="Normal 32 2 4 4" xfId="14536"/>
    <cellStyle name="Normal 32 2 4 5" xfId="20051"/>
    <cellStyle name="Normal 32 2 4 6" xfId="24140"/>
    <cellStyle name="Normal 32 2 4 7" xfId="10925"/>
    <cellStyle name="Normal 32 2 5" xfId="5145"/>
    <cellStyle name="Normal 32 2 5 2" xfId="6396"/>
    <cellStyle name="Normal 32 2 5 2 2" xfId="8832"/>
    <cellStyle name="Normal 32 2 5 2 2 2" xfId="22933"/>
    <cellStyle name="Normal 32 2 5 2 2 3" xfId="17466"/>
    <cellStyle name="Normal 32 2 5 2 3" xfId="15225"/>
    <cellStyle name="Normal 32 2 5 2 4" xfId="20719"/>
    <cellStyle name="Normal 32 2 5 2 5" xfId="12076"/>
    <cellStyle name="Normal 32 2 5 3" xfId="7242"/>
    <cellStyle name="Normal 32 2 5 3 2" xfId="21349"/>
    <cellStyle name="Normal 32 2 5 3 3" xfId="15876"/>
    <cellStyle name="Normal 32 2 5 4" xfId="14538"/>
    <cellStyle name="Normal 32 2 5 5" xfId="20053"/>
    <cellStyle name="Normal 32 2 5 6" xfId="10489"/>
    <cellStyle name="Normal 32 2 6" xfId="5146"/>
    <cellStyle name="Normal 32 2 6 2" xfId="8034"/>
    <cellStyle name="Normal 32 2 6 2 2" xfId="22141"/>
    <cellStyle name="Normal 32 2 6 2 3" xfId="16668"/>
    <cellStyle name="Normal 32 2 6 3" xfId="14539"/>
    <cellStyle name="Normal 32 2 6 4" xfId="20054"/>
    <cellStyle name="Normal 32 2 6 5" xfId="11281"/>
    <cellStyle name="Normal 32 2 7" xfId="5147"/>
    <cellStyle name="Normal 32 2 7 2" xfId="9382"/>
    <cellStyle name="Normal 32 2 7 2 2" xfId="23451"/>
    <cellStyle name="Normal 32 2 7 2 3" xfId="18003"/>
    <cellStyle name="Normal 32 2 7 3" xfId="14540"/>
    <cellStyle name="Normal 32 2 7 4" xfId="20055"/>
    <cellStyle name="Normal 32 2 7 5" xfId="12600"/>
    <cellStyle name="Normal 32 2 8" xfId="6880"/>
    <cellStyle name="Normal 32 2 8 2" xfId="20993"/>
    <cellStyle name="Normal 32 2 8 3" xfId="15520"/>
    <cellStyle name="Normal 32 2 9" xfId="9689"/>
    <cellStyle name="Normal 32 2 9 2" xfId="12807"/>
    <cellStyle name="Normal 32 3" xfId="1565"/>
    <cellStyle name="Normal 32 3 2" xfId="5148"/>
    <cellStyle name="Normal 32 3 2 2" xfId="9477"/>
    <cellStyle name="Normal 32 3 2 2 2" xfId="23524"/>
    <cellStyle name="Normal 32 3 2 2 3" xfId="18078"/>
    <cellStyle name="Normal 32 3 2 3" xfId="14541"/>
    <cellStyle name="Normal 32 3 2 4" xfId="20056"/>
    <cellStyle name="Normal 32 3 2 5" xfId="24213"/>
    <cellStyle name="Normal 32 3 2 6" xfId="12678"/>
    <cellStyle name="Normal 32 3 2 7" xfId="24619"/>
    <cellStyle name="Normal 32 3 2 8" xfId="41985"/>
    <cellStyle name="Normal 32 3 3" xfId="6140"/>
    <cellStyle name="Normal 32 3 3 2" xfId="41986"/>
    <cellStyle name="Normal 32 3 4" xfId="9779"/>
    <cellStyle name="Normal 32 3 4 2" xfId="12880"/>
    <cellStyle name="Normal 32 3 5" xfId="9992"/>
    <cellStyle name="Normal 32 3 5 2" xfId="18431"/>
    <cellStyle name="Normal 32 3 6" xfId="23722"/>
    <cellStyle name="Normal 32 3 7" xfId="3002"/>
    <cellStyle name="Normal 32 4" xfId="2879"/>
    <cellStyle name="Normal 32 4 2" xfId="5149"/>
    <cellStyle name="Normal 32 4 2 2" xfId="5150"/>
    <cellStyle name="Normal 32 4 2 2 2" xfId="8258"/>
    <cellStyle name="Normal 32 4 2 2 2 2" xfId="22365"/>
    <cellStyle name="Normal 32 4 2 2 2 3" xfId="16892"/>
    <cellStyle name="Normal 32 4 2 2 3" xfId="14543"/>
    <cellStyle name="Normal 32 4 2 2 4" xfId="20058"/>
    <cellStyle name="Normal 32 4 2 2 5" xfId="11505"/>
    <cellStyle name="Normal 32 4 2 3" xfId="5151"/>
    <cellStyle name="Normal 32 4 2 3 2" xfId="9056"/>
    <cellStyle name="Normal 32 4 2 3 2 2" xfId="23157"/>
    <cellStyle name="Normal 32 4 2 3 2 3" xfId="17690"/>
    <cellStyle name="Normal 32 4 2 3 3" xfId="14544"/>
    <cellStyle name="Normal 32 4 2 3 4" xfId="20059"/>
    <cellStyle name="Normal 32 4 2 3 5" xfId="12301"/>
    <cellStyle name="Normal 32 4 2 4" xfId="7466"/>
    <cellStyle name="Normal 32 4 2 4 2" xfId="21573"/>
    <cellStyle name="Normal 32 4 2 4 3" xfId="16100"/>
    <cellStyle name="Normal 32 4 2 5" xfId="14542"/>
    <cellStyle name="Normal 32 4 2 6" xfId="20057"/>
    <cellStyle name="Normal 32 4 2 7" xfId="10713"/>
    <cellStyle name="Normal 32 4 3" xfId="5152"/>
    <cellStyle name="Normal 32 4 3 2" xfId="5153"/>
    <cellStyle name="Normal 32 4 3 2 2" xfId="8518"/>
    <cellStyle name="Normal 32 4 3 2 2 2" xfId="22625"/>
    <cellStyle name="Normal 32 4 3 2 2 3" xfId="17152"/>
    <cellStyle name="Normal 32 4 3 2 3" xfId="14546"/>
    <cellStyle name="Normal 32 4 3 2 4" xfId="20061"/>
    <cellStyle name="Normal 32 4 3 2 5" xfId="11766"/>
    <cellStyle name="Normal 32 4 3 3" xfId="7726"/>
    <cellStyle name="Normal 32 4 3 3 2" xfId="21833"/>
    <cellStyle name="Normal 32 4 3 3 3" xfId="16360"/>
    <cellStyle name="Normal 32 4 3 4" xfId="14545"/>
    <cellStyle name="Normal 32 4 3 5" xfId="20060"/>
    <cellStyle name="Normal 32 4 3 6" xfId="10973"/>
    <cellStyle name="Normal 32 4 4" xfId="5154"/>
    <cellStyle name="Normal 32 4 4 2" xfId="6444"/>
    <cellStyle name="Normal 32 4 4 2 2" xfId="8880"/>
    <cellStyle name="Normal 32 4 4 2 2 2" xfId="22981"/>
    <cellStyle name="Normal 32 4 4 2 2 3" xfId="17514"/>
    <cellStyle name="Normal 32 4 4 2 3" xfId="15273"/>
    <cellStyle name="Normal 32 4 4 2 4" xfId="20767"/>
    <cellStyle name="Normal 32 4 4 2 5" xfId="12124"/>
    <cellStyle name="Normal 32 4 4 3" xfId="7290"/>
    <cellStyle name="Normal 32 4 4 3 2" xfId="21397"/>
    <cellStyle name="Normal 32 4 4 3 3" xfId="15924"/>
    <cellStyle name="Normal 32 4 4 4" xfId="14547"/>
    <cellStyle name="Normal 32 4 4 5" xfId="20062"/>
    <cellStyle name="Normal 32 4 4 6" xfId="10537"/>
    <cellStyle name="Normal 32 4 5" xfId="5155"/>
    <cellStyle name="Normal 32 4 5 2" xfId="8082"/>
    <cellStyle name="Normal 32 4 5 2 2" xfId="22189"/>
    <cellStyle name="Normal 32 4 5 2 3" xfId="16716"/>
    <cellStyle name="Normal 32 4 5 3" xfId="14548"/>
    <cellStyle name="Normal 32 4 5 4" xfId="20063"/>
    <cellStyle name="Normal 32 4 5 5" xfId="11329"/>
    <cellStyle name="Normal 32 4 6" xfId="5156"/>
    <cellStyle name="Normal 32 4 7" xfId="6931"/>
    <cellStyle name="Normal 32 4 7 2" xfId="21041"/>
    <cellStyle name="Normal 32 4 7 3" xfId="15568"/>
    <cellStyle name="Normal 32 4 8" xfId="10181"/>
    <cellStyle name="Normal 32 5" xfId="2585"/>
    <cellStyle name="Normal 32 5 10" xfId="23969"/>
    <cellStyle name="Normal 32 5 11" xfId="10277"/>
    <cellStyle name="Normal 32 5 2" xfId="5157"/>
    <cellStyle name="Normal 32 5 2 2" xfId="5158"/>
    <cellStyle name="Normal 32 5 2 2 2" xfId="8354"/>
    <cellStyle name="Normal 32 5 2 2 2 2" xfId="22461"/>
    <cellStyle name="Normal 32 5 2 2 2 3" xfId="16988"/>
    <cellStyle name="Normal 32 5 2 2 3" xfId="14550"/>
    <cellStyle name="Normal 32 5 2 2 4" xfId="20065"/>
    <cellStyle name="Normal 32 5 2 2 5" xfId="11602"/>
    <cellStyle name="Normal 32 5 2 3" xfId="5159"/>
    <cellStyle name="Normal 32 5 2 3 2" xfId="9152"/>
    <cellStyle name="Normal 32 5 2 3 2 2" xfId="23253"/>
    <cellStyle name="Normal 32 5 2 3 2 3" xfId="17786"/>
    <cellStyle name="Normal 32 5 2 3 3" xfId="14551"/>
    <cellStyle name="Normal 32 5 2 3 4" xfId="20066"/>
    <cellStyle name="Normal 32 5 2 3 5" xfId="12397"/>
    <cellStyle name="Normal 32 5 2 4" xfId="7562"/>
    <cellStyle name="Normal 32 5 2 4 2" xfId="21669"/>
    <cellStyle name="Normal 32 5 2 4 3" xfId="16196"/>
    <cellStyle name="Normal 32 5 2 5" xfId="14549"/>
    <cellStyle name="Normal 32 5 2 6" xfId="20064"/>
    <cellStyle name="Normal 32 5 2 7" xfId="24173"/>
    <cellStyle name="Normal 32 5 2 8" xfId="10809"/>
    <cellStyle name="Normal 32 5 3" xfId="5160"/>
    <cellStyle name="Normal 32 5 3 2" xfId="5161"/>
    <cellStyle name="Normal 32 5 3 2 2" xfId="8614"/>
    <cellStyle name="Normal 32 5 3 2 2 2" xfId="22721"/>
    <cellStyle name="Normal 32 5 3 2 2 3" xfId="17248"/>
    <cellStyle name="Normal 32 5 3 2 3" xfId="14553"/>
    <cellStyle name="Normal 32 5 3 2 4" xfId="20068"/>
    <cellStyle name="Normal 32 5 3 2 5" xfId="11862"/>
    <cellStyle name="Normal 32 5 3 3" xfId="7822"/>
    <cellStyle name="Normal 32 5 3 3 2" xfId="21929"/>
    <cellStyle name="Normal 32 5 3 3 3" xfId="16456"/>
    <cellStyle name="Normal 32 5 3 4" xfId="14552"/>
    <cellStyle name="Normal 32 5 3 5" xfId="20067"/>
    <cellStyle name="Normal 32 5 3 6" xfId="11069"/>
    <cellStyle name="Normal 32 5 4" xfId="5162"/>
    <cellStyle name="Normal 32 5 4 2" xfId="6364"/>
    <cellStyle name="Normal 32 5 4 2 2" xfId="8800"/>
    <cellStyle name="Normal 32 5 4 2 2 2" xfId="22901"/>
    <cellStyle name="Normal 32 5 4 2 2 3" xfId="17434"/>
    <cellStyle name="Normal 32 5 4 2 3" xfId="15193"/>
    <cellStyle name="Normal 32 5 4 2 4" xfId="20687"/>
    <cellStyle name="Normal 32 5 4 2 5" xfId="12044"/>
    <cellStyle name="Normal 32 5 4 3" xfId="7210"/>
    <cellStyle name="Normal 32 5 4 3 2" xfId="21317"/>
    <cellStyle name="Normal 32 5 4 3 3" xfId="15844"/>
    <cellStyle name="Normal 32 5 4 4" xfId="14554"/>
    <cellStyle name="Normal 32 5 4 5" xfId="20069"/>
    <cellStyle name="Normal 32 5 4 6" xfId="10457"/>
    <cellStyle name="Normal 32 5 5" xfId="5163"/>
    <cellStyle name="Normal 32 5 5 2" xfId="8002"/>
    <cellStyle name="Normal 32 5 5 2 2" xfId="22109"/>
    <cellStyle name="Normal 32 5 5 2 3" xfId="16636"/>
    <cellStyle name="Normal 32 5 5 3" xfId="14555"/>
    <cellStyle name="Normal 32 5 5 4" xfId="20070"/>
    <cellStyle name="Normal 32 5 5 5" xfId="11249"/>
    <cellStyle name="Normal 32 5 6" xfId="5164"/>
    <cellStyle name="Normal 32 5 6 2" xfId="9417"/>
    <cellStyle name="Normal 32 5 6 2 2" xfId="23484"/>
    <cellStyle name="Normal 32 5 6 2 3" xfId="18036"/>
    <cellStyle name="Normal 32 5 6 3" xfId="14556"/>
    <cellStyle name="Normal 32 5 6 4" xfId="20071"/>
    <cellStyle name="Normal 32 5 6 5" xfId="12634"/>
    <cellStyle name="Normal 32 5 7" xfId="7027"/>
    <cellStyle name="Normal 32 5 7 2" xfId="21137"/>
    <cellStyle name="Normal 32 5 7 3" xfId="15664"/>
    <cellStyle name="Normal 32 5 8" xfId="9732"/>
    <cellStyle name="Normal 32 5 8 2" xfId="12840"/>
    <cellStyle name="Normal 32 5 9" xfId="9952"/>
    <cellStyle name="Normal 32 5 9 2" xfId="18391"/>
    <cellStyle name="Normal 32 6" xfId="3185"/>
    <cellStyle name="Normal 32 6 2" xfId="5165"/>
    <cellStyle name="Normal 32 6 2 2" xfId="8178"/>
    <cellStyle name="Normal 32 6 2 2 2" xfId="22285"/>
    <cellStyle name="Normal 32 6 2 2 3" xfId="16812"/>
    <cellStyle name="Normal 32 6 2 3" xfId="14557"/>
    <cellStyle name="Normal 32 6 2 4" xfId="20072"/>
    <cellStyle name="Normal 32 6 2 5" xfId="11425"/>
    <cellStyle name="Normal 32 6 3" xfId="5166"/>
    <cellStyle name="Normal 32 6 3 2" xfId="8976"/>
    <cellStyle name="Normal 32 6 3 2 2" xfId="23077"/>
    <cellStyle name="Normal 32 6 3 2 3" xfId="17610"/>
    <cellStyle name="Normal 32 6 3 3" xfId="14558"/>
    <cellStyle name="Normal 32 6 3 4" xfId="20073"/>
    <cellStyle name="Normal 32 6 3 5" xfId="12220"/>
    <cellStyle name="Normal 32 6 4" xfId="7386"/>
    <cellStyle name="Normal 32 6 4 2" xfId="21493"/>
    <cellStyle name="Normal 32 6 4 3" xfId="16020"/>
    <cellStyle name="Normal 32 6 5" xfId="12977"/>
    <cellStyle name="Normal 32 6 6" xfId="18519"/>
    <cellStyle name="Normal 32 6 7" xfId="10633"/>
    <cellStyle name="Normal 32 6 8" xfId="24334"/>
    <cellStyle name="Normal 32 6 9" xfId="41987"/>
    <cellStyle name="Normal 32 7" xfId="5167"/>
    <cellStyle name="Normal 32 7 2" xfId="5168"/>
    <cellStyle name="Normal 32 7 2 2" xfId="8438"/>
    <cellStyle name="Normal 32 7 2 2 2" xfId="22545"/>
    <cellStyle name="Normal 32 7 2 2 3" xfId="17072"/>
    <cellStyle name="Normal 32 7 2 3" xfId="14560"/>
    <cellStyle name="Normal 32 7 2 4" xfId="20075"/>
    <cellStyle name="Normal 32 7 2 5" xfId="11686"/>
    <cellStyle name="Normal 32 7 3" xfId="7646"/>
    <cellStyle name="Normal 32 7 3 2" xfId="21753"/>
    <cellStyle name="Normal 32 7 3 3" xfId="16280"/>
    <cellStyle name="Normal 32 7 4" xfId="14559"/>
    <cellStyle name="Normal 32 7 5" xfId="20074"/>
    <cellStyle name="Normal 32 7 6" xfId="10893"/>
    <cellStyle name="Normal 32 7 7" xfId="41988"/>
    <cellStyle name="Normal 32 8" xfId="5169"/>
    <cellStyle name="Normal 32 8 2" xfId="6268"/>
    <cellStyle name="Normal 32 8 2 2" xfId="8704"/>
    <cellStyle name="Normal 32 8 2 2 2" xfId="22805"/>
    <cellStyle name="Normal 32 8 2 2 3" xfId="17338"/>
    <cellStyle name="Normal 32 8 2 3" xfId="15097"/>
    <cellStyle name="Normal 32 8 2 4" xfId="20591"/>
    <cellStyle name="Normal 32 8 2 5" xfId="11948"/>
    <cellStyle name="Normal 32 8 3" xfId="7114"/>
    <cellStyle name="Normal 32 8 3 2" xfId="21221"/>
    <cellStyle name="Normal 32 8 3 3" xfId="15748"/>
    <cellStyle name="Normal 32 8 4" xfId="14561"/>
    <cellStyle name="Normal 32 8 5" xfId="20076"/>
    <cellStyle name="Normal 32 8 6" xfId="10361"/>
    <cellStyle name="Normal 32 9" xfId="5170"/>
    <cellStyle name="Normal 32 9 2" xfId="7906"/>
    <cellStyle name="Normal 32 9 2 2" xfId="22013"/>
    <cellStyle name="Normal 32 9 2 3" xfId="16540"/>
    <cellStyle name="Normal 32 9 3" xfId="14562"/>
    <cellStyle name="Normal 32 9 4" xfId="20077"/>
    <cellStyle name="Normal 32 9 5" xfId="11153"/>
    <cellStyle name="Normal 33" xfId="1188"/>
    <cellStyle name="Normal 33 10" xfId="5171"/>
    <cellStyle name="Normal 33 11" xfId="6836"/>
    <cellStyle name="Normal 33 11 2" xfId="20966"/>
    <cellStyle name="Normal 33 11 3" xfId="15492"/>
    <cellStyle name="Normal 33 12" xfId="10100"/>
    <cellStyle name="Normal 33 2" xfId="1456"/>
    <cellStyle name="Normal 33 2 10" xfId="9923"/>
    <cellStyle name="Normal 33 2 10 2" xfId="18363"/>
    <cellStyle name="Normal 33 2 11" xfId="10136"/>
    <cellStyle name="Normal 33 2 12" xfId="2126"/>
    <cellStyle name="Normal 33 2 2" xfId="2934"/>
    <cellStyle name="Normal 33 2 2 2" xfId="5172"/>
    <cellStyle name="Normal 33 2 2 2 2" xfId="5173"/>
    <cellStyle name="Normal 33 2 2 2 2 2" xfId="8651"/>
    <cellStyle name="Normal 33 2 2 2 2 2 2" xfId="22758"/>
    <cellStyle name="Normal 33 2 2 2 2 2 3" xfId="17285"/>
    <cellStyle name="Normal 33 2 2 2 2 3" xfId="14564"/>
    <cellStyle name="Normal 33 2 2 2 2 4" xfId="20079"/>
    <cellStyle name="Normal 33 2 2 2 2 5" xfId="11899"/>
    <cellStyle name="Normal 33 2 2 2 3" xfId="7859"/>
    <cellStyle name="Normal 33 2 2 2 3 2" xfId="21966"/>
    <cellStyle name="Normal 33 2 2 2 3 3" xfId="16493"/>
    <cellStyle name="Normal 33 2 2 2 4" xfId="14563"/>
    <cellStyle name="Normal 33 2 2 2 5" xfId="20078"/>
    <cellStyle name="Normal 33 2 2 2 6" xfId="11106"/>
    <cellStyle name="Normal 33 2 2 2 7" xfId="24411"/>
    <cellStyle name="Normal 33 2 2 2 8" xfId="41989"/>
    <cellStyle name="Normal 33 2 2 3" xfId="5174"/>
    <cellStyle name="Normal 33 2 2 3 2" xfId="6590"/>
    <cellStyle name="Normal 33 2 2 3 2 2" xfId="9189"/>
    <cellStyle name="Normal 33 2 2 3 2 2 2" xfId="23290"/>
    <cellStyle name="Normal 33 2 2 3 2 2 3" xfId="17823"/>
    <cellStyle name="Normal 33 2 2 3 2 3" xfId="15375"/>
    <cellStyle name="Normal 33 2 2 3 2 4" xfId="20868"/>
    <cellStyle name="Normal 33 2 2 3 2 5" xfId="12434"/>
    <cellStyle name="Normal 33 2 2 3 3" xfId="7599"/>
    <cellStyle name="Normal 33 2 2 3 3 2" xfId="21706"/>
    <cellStyle name="Normal 33 2 2 3 3 3" xfId="16233"/>
    <cellStyle name="Normal 33 2 2 3 4" xfId="14565"/>
    <cellStyle name="Normal 33 2 2 3 5" xfId="20080"/>
    <cellStyle name="Normal 33 2 2 3 6" xfId="10846"/>
    <cellStyle name="Normal 33 2 2 4" xfId="5175"/>
    <cellStyle name="Normal 33 2 2 4 2" xfId="8391"/>
    <cellStyle name="Normal 33 2 2 4 2 2" xfId="22498"/>
    <cellStyle name="Normal 33 2 2 4 2 3" xfId="17025"/>
    <cellStyle name="Normal 33 2 2 4 3" xfId="14566"/>
    <cellStyle name="Normal 33 2 2 4 4" xfId="20081"/>
    <cellStyle name="Normal 33 2 2 4 5" xfId="11639"/>
    <cellStyle name="Normal 33 2 2 5" xfId="5176"/>
    <cellStyle name="Normal 33 2 2 6" xfId="7065"/>
    <cellStyle name="Normal 33 2 2 6 2" xfId="21174"/>
    <cellStyle name="Normal 33 2 2 6 3" xfId="15701"/>
    <cellStyle name="Normal 33 2 2 7" xfId="10314"/>
    <cellStyle name="Normal 33 2 3" xfId="5177"/>
    <cellStyle name="Normal 33 2 3 10" xfId="41990"/>
    <cellStyle name="Normal 33 2 3 2" xfId="5178"/>
    <cellStyle name="Normal 33 2 3 2 2" xfId="8215"/>
    <cellStyle name="Normal 33 2 3 2 2 2" xfId="22322"/>
    <cellStyle name="Normal 33 2 3 2 2 3" xfId="16849"/>
    <cellStyle name="Normal 33 2 3 2 3" xfId="14568"/>
    <cellStyle name="Normal 33 2 3 2 4" xfId="20083"/>
    <cellStyle name="Normal 33 2 3 2 5" xfId="11462"/>
    <cellStyle name="Normal 33 2 3 3" xfId="5179"/>
    <cellStyle name="Normal 33 2 3 3 2" xfId="9013"/>
    <cellStyle name="Normal 33 2 3 3 2 2" xfId="23114"/>
    <cellStyle name="Normal 33 2 3 3 2 3" xfId="17647"/>
    <cellStyle name="Normal 33 2 3 3 3" xfId="14569"/>
    <cellStyle name="Normal 33 2 3 3 4" xfId="20084"/>
    <cellStyle name="Normal 33 2 3 3 5" xfId="12257"/>
    <cellStyle name="Normal 33 2 3 4" xfId="7423"/>
    <cellStyle name="Normal 33 2 3 4 2" xfId="21530"/>
    <cellStyle name="Normal 33 2 3 4 3" xfId="16057"/>
    <cellStyle name="Normal 33 2 3 5" xfId="14567"/>
    <cellStyle name="Normal 33 2 3 6" xfId="20082"/>
    <cellStyle name="Normal 33 2 3 7" xfId="23827"/>
    <cellStyle name="Normal 33 2 3 8" xfId="10670"/>
    <cellStyle name="Normal 33 2 3 9" xfId="24330"/>
    <cellStyle name="Normal 33 2 4" xfId="5180"/>
    <cellStyle name="Normal 33 2 4 2" xfId="5181"/>
    <cellStyle name="Normal 33 2 4 2 2" xfId="8475"/>
    <cellStyle name="Normal 33 2 4 2 2 2" xfId="22582"/>
    <cellStyle name="Normal 33 2 4 2 2 3" xfId="17109"/>
    <cellStyle name="Normal 33 2 4 2 3" xfId="14571"/>
    <cellStyle name="Normal 33 2 4 2 4" xfId="20086"/>
    <cellStyle name="Normal 33 2 4 2 5" xfId="11723"/>
    <cellStyle name="Normal 33 2 4 3" xfId="7683"/>
    <cellStyle name="Normal 33 2 4 3 2" xfId="21790"/>
    <cellStyle name="Normal 33 2 4 3 3" xfId="16317"/>
    <cellStyle name="Normal 33 2 4 4" xfId="14570"/>
    <cellStyle name="Normal 33 2 4 5" xfId="20085"/>
    <cellStyle name="Normal 33 2 4 6" xfId="24145"/>
    <cellStyle name="Normal 33 2 4 7" xfId="10930"/>
    <cellStyle name="Normal 33 2 5" xfId="5182"/>
    <cellStyle name="Normal 33 2 5 2" xfId="6401"/>
    <cellStyle name="Normal 33 2 5 2 2" xfId="8837"/>
    <cellStyle name="Normal 33 2 5 2 2 2" xfId="22938"/>
    <cellStyle name="Normal 33 2 5 2 2 3" xfId="17471"/>
    <cellStyle name="Normal 33 2 5 2 3" xfId="15230"/>
    <cellStyle name="Normal 33 2 5 2 4" xfId="20724"/>
    <cellStyle name="Normal 33 2 5 2 5" xfId="12081"/>
    <cellStyle name="Normal 33 2 5 3" xfId="7247"/>
    <cellStyle name="Normal 33 2 5 3 2" xfId="21354"/>
    <cellStyle name="Normal 33 2 5 3 3" xfId="15881"/>
    <cellStyle name="Normal 33 2 5 4" xfId="14572"/>
    <cellStyle name="Normal 33 2 5 5" xfId="20087"/>
    <cellStyle name="Normal 33 2 5 6" xfId="10494"/>
    <cellStyle name="Normal 33 2 6" xfId="5183"/>
    <cellStyle name="Normal 33 2 6 2" xfId="8039"/>
    <cellStyle name="Normal 33 2 6 2 2" xfId="22146"/>
    <cellStyle name="Normal 33 2 6 2 3" xfId="16673"/>
    <cellStyle name="Normal 33 2 6 3" xfId="14573"/>
    <cellStyle name="Normal 33 2 6 4" xfId="20088"/>
    <cellStyle name="Normal 33 2 6 5" xfId="11286"/>
    <cellStyle name="Normal 33 2 7" xfId="5184"/>
    <cellStyle name="Normal 33 2 7 2" xfId="9388"/>
    <cellStyle name="Normal 33 2 7 2 2" xfId="23456"/>
    <cellStyle name="Normal 33 2 7 2 3" xfId="18008"/>
    <cellStyle name="Normal 33 2 7 3" xfId="14574"/>
    <cellStyle name="Normal 33 2 7 4" xfId="20089"/>
    <cellStyle name="Normal 33 2 7 5" xfId="12605"/>
    <cellStyle name="Normal 33 2 8" xfId="6885"/>
    <cellStyle name="Normal 33 2 8 2" xfId="20998"/>
    <cellStyle name="Normal 33 2 8 3" xfId="15525"/>
    <cellStyle name="Normal 33 2 9" xfId="9694"/>
    <cellStyle name="Normal 33 2 9 2" xfId="12812"/>
    <cellStyle name="Normal 33 3" xfId="1579"/>
    <cellStyle name="Normal 33 3 2" xfId="5185"/>
    <cellStyle name="Normal 33 3 2 2" xfId="9482"/>
    <cellStyle name="Normal 33 3 2 2 2" xfId="23529"/>
    <cellStyle name="Normal 33 3 2 2 3" xfId="18083"/>
    <cellStyle name="Normal 33 3 2 3" xfId="14575"/>
    <cellStyle name="Normal 33 3 2 4" xfId="20090"/>
    <cellStyle name="Normal 33 3 2 5" xfId="24218"/>
    <cellStyle name="Normal 33 3 2 6" xfId="12683"/>
    <cellStyle name="Normal 33 3 2 7" xfId="24290"/>
    <cellStyle name="Normal 33 3 2 8" xfId="41991"/>
    <cellStyle name="Normal 33 3 3" xfId="6141"/>
    <cellStyle name="Normal 33 3 3 2" xfId="41992"/>
    <cellStyle name="Normal 33 3 4" xfId="9784"/>
    <cellStyle name="Normal 33 3 4 2" xfId="12885"/>
    <cellStyle name="Normal 33 3 5" xfId="9997"/>
    <cellStyle name="Normal 33 3 5 2" xfId="18436"/>
    <cellStyle name="Normal 33 3 6" xfId="23727"/>
    <cellStyle name="Normal 33 3 7" xfId="3009"/>
    <cellStyle name="Normal 33 4" xfId="2895"/>
    <cellStyle name="Normal 33 4 2" xfId="5186"/>
    <cellStyle name="Normal 33 4 2 2" xfId="5187"/>
    <cellStyle name="Normal 33 4 2 2 2" xfId="8263"/>
    <cellStyle name="Normal 33 4 2 2 2 2" xfId="22370"/>
    <cellStyle name="Normal 33 4 2 2 2 3" xfId="16897"/>
    <cellStyle name="Normal 33 4 2 2 3" xfId="14577"/>
    <cellStyle name="Normal 33 4 2 2 4" xfId="20092"/>
    <cellStyle name="Normal 33 4 2 2 5" xfId="11510"/>
    <cellStyle name="Normal 33 4 2 3" xfId="5188"/>
    <cellStyle name="Normal 33 4 2 3 2" xfId="9061"/>
    <cellStyle name="Normal 33 4 2 3 2 2" xfId="23162"/>
    <cellStyle name="Normal 33 4 2 3 2 3" xfId="17695"/>
    <cellStyle name="Normal 33 4 2 3 3" xfId="14578"/>
    <cellStyle name="Normal 33 4 2 3 4" xfId="20093"/>
    <cellStyle name="Normal 33 4 2 3 5" xfId="12306"/>
    <cellStyle name="Normal 33 4 2 4" xfId="7471"/>
    <cellStyle name="Normal 33 4 2 4 2" xfId="21578"/>
    <cellStyle name="Normal 33 4 2 4 3" xfId="16105"/>
    <cellStyle name="Normal 33 4 2 5" xfId="14576"/>
    <cellStyle name="Normal 33 4 2 6" xfId="20091"/>
    <cellStyle name="Normal 33 4 2 7" xfId="10718"/>
    <cellStyle name="Normal 33 4 3" xfId="5189"/>
    <cellStyle name="Normal 33 4 3 2" xfId="5190"/>
    <cellStyle name="Normal 33 4 3 2 2" xfId="8523"/>
    <cellStyle name="Normal 33 4 3 2 2 2" xfId="22630"/>
    <cellStyle name="Normal 33 4 3 2 2 3" xfId="17157"/>
    <cellStyle name="Normal 33 4 3 2 3" xfId="14580"/>
    <cellStyle name="Normal 33 4 3 2 4" xfId="20095"/>
    <cellStyle name="Normal 33 4 3 2 5" xfId="11771"/>
    <cellStyle name="Normal 33 4 3 3" xfId="7731"/>
    <cellStyle name="Normal 33 4 3 3 2" xfId="21838"/>
    <cellStyle name="Normal 33 4 3 3 3" xfId="16365"/>
    <cellStyle name="Normal 33 4 3 4" xfId="14579"/>
    <cellStyle name="Normal 33 4 3 5" xfId="20094"/>
    <cellStyle name="Normal 33 4 3 6" xfId="10978"/>
    <cellStyle name="Normal 33 4 4" xfId="5191"/>
    <cellStyle name="Normal 33 4 4 2" xfId="6449"/>
    <cellStyle name="Normal 33 4 4 2 2" xfId="8885"/>
    <cellStyle name="Normal 33 4 4 2 2 2" xfId="22986"/>
    <cellStyle name="Normal 33 4 4 2 2 3" xfId="17519"/>
    <cellStyle name="Normal 33 4 4 2 3" xfId="15278"/>
    <cellStyle name="Normal 33 4 4 2 4" xfId="20772"/>
    <cellStyle name="Normal 33 4 4 2 5" xfId="12129"/>
    <cellStyle name="Normal 33 4 4 3" xfId="7295"/>
    <cellStyle name="Normal 33 4 4 3 2" xfId="21402"/>
    <cellStyle name="Normal 33 4 4 3 3" xfId="15929"/>
    <cellStyle name="Normal 33 4 4 4" xfId="14581"/>
    <cellStyle name="Normal 33 4 4 5" xfId="20096"/>
    <cellStyle name="Normal 33 4 4 6" xfId="10542"/>
    <cellStyle name="Normal 33 4 5" xfId="5192"/>
    <cellStyle name="Normal 33 4 5 2" xfId="8087"/>
    <cellStyle name="Normal 33 4 5 2 2" xfId="22194"/>
    <cellStyle name="Normal 33 4 5 2 3" xfId="16721"/>
    <cellStyle name="Normal 33 4 5 3" xfId="14582"/>
    <cellStyle name="Normal 33 4 5 4" xfId="20097"/>
    <cellStyle name="Normal 33 4 5 5" xfId="11334"/>
    <cellStyle name="Normal 33 4 6" xfId="5193"/>
    <cellStyle name="Normal 33 4 7" xfId="6936"/>
    <cellStyle name="Normal 33 4 7 2" xfId="21046"/>
    <cellStyle name="Normal 33 4 7 3" xfId="15573"/>
    <cellStyle name="Normal 33 4 8" xfId="10186"/>
    <cellStyle name="Normal 33 4 9" xfId="41993"/>
    <cellStyle name="Normal 33 5" xfId="2590"/>
    <cellStyle name="Normal 33 5 10" xfId="23974"/>
    <cellStyle name="Normal 33 5 11" xfId="10282"/>
    <cellStyle name="Normal 33 5 2" xfId="5194"/>
    <cellStyle name="Normal 33 5 2 2" xfId="5195"/>
    <cellStyle name="Normal 33 5 2 2 2" xfId="8359"/>
    <cellStyle name="Normal 33 5 2 2 2 2" xfId="22466"/>
    <cellStyle name="Normal 33 5 2 2 2 3" xfId="16993"/>
    <cellStyle name="Normal 33 5 2 2 3" xfId="14584"/>
    <cellStyle name="Normal 33 5 2 2 4" xfId="20099"/>
    <cellStyle name="Normal 33 5 2 2 5" xfId="11607"/>
    <cellStyle name="Normal 33 5 2 3" xfId="5196"/>
    <cellStyle name="Normal 33 5 2 3 2" xfId="9157"/>
    <cellStyle name="Normal 33 5 2 3 2 2" xfId="23258"/>
    <cellStyle name="Normal 33 5 2 3 2 3" xfId="17791"/>
    <cellStyle name="Normal 33 5 2 3 3" xfId="14585"/>
    <cellStyle name="Normal 33 5 2 3 4" xfId="20100"/>
    <cellStyle name="Normal 33 5 2 3 5" xfId="12402"/>
    <cellStyle name="Normal 33 5 2 4" xfId="7567"/>
    <cellStyle name="Normal 33 5 2 4 2" xfId="21674"/>
    <cellStyle name="Normal 33 5 2 4 3" xfId="16201"/>
    <cellStyle name="Normal 33 5 2 5" xfId="14583"/>
    <cellStyle name="Normal 33 5 2 6" xfId="20098"/>
    <cellStyle name="Normal 33 5 2 7" xfId="24178"/>
    <cellStyle name="Normal 33 5 2 8" xfId="10814"/>
    <cellStyle name="Normal 33 5 3" xfId="5197"/>
    <cellStyle name="Normal 33 5 3 2" xfId="5198"/>
    <cellStyle name="Normal 33 5 3 2 2" xfId="8619"/>
    <cellStyle name="Normal 33 5 3 2 2 2" xfId="22726"/>
    <cellStyle name="Normal 33 5 3 2 2 3" xfId="17253"/>
    <cellStyle name="Normal 33 5 3 2 3" xfId="14587"/>
    <cellStyle name="Normal 33 5 3 2 4" xfId="20102"/>
    <cellStyle name="Normal 33 5 3 2 5" xfId="11867"/>
    <cellStyle name="Normal 33 5 3 3" xfId="7827"/>
    <cellStyle name="Normal 33 5 3 3 2" xfId="21934"/>
    <cellStyle name="Normal 33 5 3 3 3" xfId="16461"/>
    <cellStyle name="Normal 33 5 3 4" xfId="14586"/>
    <cellStyle name="Normal 33 5 3 5" xfId="20101"/>
    <cellStyle name="Normal 33 5 3 6" xfId="11074"/>
    <cellStyle name="Normal 33 5 4" xfId="5199"/>
    <cellStyle name="Normal 33 5 4 2" xfId="6369"/>
    <cellStyle name="Normal 33 5 4 2 2" xfId="8805"/>
    <cellStyle name="Normal 33 5 4 2 2 2" xfId="22906"/>
    <cellStyle name="Normal 33 5 4 2 2 3" xfId="17439"/>
    <cellStyle name="Normal 33 5 4 2 3" xfId="15198"/>
    <cellStyle name="Normal 33 5 4 2 4" xfId="20692"/>
    <cellStyle name="Normal 33 5 4 2 5" xfId="12049"/>
    <cellStyle name="Normal 33 5 4 3" xfId="7215"/>
    <cellStyle name="Normal 33 5 4 3 2" xfId="21322"/>
    <cellStyle name="Normal 33 5 4 3 3" xfId="15849"/>
    <cellStyle name="Normal 33 5 4 4" xfId="14588"/>
    <cellStyle name="Normal 33 5 4 5" xfId="20103"/>
    <cellStyle name="Normal 33 5 4 6" xfId="10462"/>
    <cellStyle name="Normal 33 5 5" xfId="5200"/>
    <cellStyle name="Normal 33 5 5 2" xfId="8007"/>
    <cellStyle name="Normal 33 5 5 2 2" xfId="22114"/>
    <cellStyle name="Normal 33 5 5 2 3" xfId="16641"/>
    <cellStyle name="Normal 33 5 5 3" xfId="14589"/>
    <cellStyle name="Normal 33 5 5 4" xfId="20104"/>
    <cellStyle name="Normal 33 5 5 5" xfId="11254"/>
    <cellStyle name="Normal 33 5 6" xfId="5201"/>
    <cellStyle name="Normal 33 5 6 2" xfId="9422"/>
    <cellStyle name="Normal 33 5 6 2 2" xfId="23489"/>
    <cellStyle name="Normal 33 5 6 2 3" xfId="18041"/>
    <cellStyle name="Normal 33 5 6 3" xfId="14590"/>
    <cellStyle name="Normal 33 5 6 4" xfId="20105"/>
    <cellStyle name="Normal 33 5 6 5" xfId="12639"/>
    <cellStyle name="Normal 33 5 7" xfId="7032"/>
    <cellStyle name="Normal 33 5 7 2" xfId="21142"/>
    <cellStyle name="Normal 33 5 7 3" xfId="15669"/>
    <cellStyle name="Normal 33 5 8" xfId="9737"/>
    <cellStyle name="Normal 33 5 8 2" xfId="12845"/>
    <cellStyle name="Normal 33 5 9" xfId="9957"/>
    <cellStyle name="Normal 33 5 9 2" xfId="18396"/>
    <cellStyle name="Normal 33 6" xfId="3198"/>
    <cellStyle name="Normal 33 6 2" xfId="5202"/>
    <cellStyle name="Normal 33 6 2 2" xfId="8183"/>
    <cellStyle name="Normal 33 6 2 2 2" xfId="22290"/>
    <cellStyle name="Normal 33 6 2 2 3" xfId="16817"/>
    <cellStyle name="Normal 33 6 2 3" xfId="14591"/>
    <cellStyle name="Normal 33 6 2 4" xfId="20106"/>
    <cellStyle name="Normal 33 6 2 5" xfId="11430"/>
    <cellStyle name="Normal 33 6 3" xfId="5203"/>
    <cellStyle name="Normal 33 6 3 2" xfId="8981"/>
    <cellStyle name="Normal 33 6 3 2 2" xfId="23082"/>
    <cellStyle name="Normal 33 6 3 2 3" xfId="17615"/>
    <cellStyle name="Normal 33 6 3 3" xfId="14592"/>
    <cellStyle name="Normal 33 6 3 4" xfId="20107"/>
    <cellStyle name="Normal 33 6 3 5" xfId="12225"/>
    <cellStyle name="Normal 33 6 4" xfId="7391"/>
    <cellStyle name="Normal 33 6 4 2" xfId="21498"/>
    <cellStyle name="Normal 33 6 4 3" xfId="16025"/>
    <cellStyle name="Normal 33 6 5" xfId="12990"/>
    <cellStyle name="Normal 33 6 6" xfId="18532"/>
    <cellStyle name="Normal 33 6 7" xfId="10638"/>
    <cellStyle name="Normal 33 6 8" xfId="41994"/>
    <cellStyle name="Normal 33 7" xfId="5204"/>
    <cellStyle name="Normal 33 7 2" xfId="5205"/>
    <cellStyle name="Normal 33 7 2 2" xfId="8443"/>
    <cellStyle name="Normal 33 7 2 2 2" xfId="22550"/>
    <cellStyle name="Normal 33 7 2 2 3" xfId="17077"/>
    <cellStyle name="Normal 33 7 2 3" xfId="14594"/>
    <cellStyle name="Normal 33 7 2 4" xfId="20109"/>
    <cellStyle name="Normal 33 7 2 5" xfId="11691"/>
    <cellStyle name="Normal 33 7 3" xfId="7651"/>
    <cellStyle name="Normal 33 7 3 2" xfId="21758"/>
    <cellStyle name="Normal 33 7 3 3" xfId="16285"/>
    <cellStyle name="Normal 33 7 4" xfId="14593"/>
    <cellStyle name="Normal 33 7 5" xfId="20108"/>
    <cellStyle name="Normal 33 7 6" xfId="10898"/>
    <cellStyle name="Normal 33 8" xfId="5206"/>
    <cellStyle name="Normal 33 8 2" xfId="6273"/>
    <cellStyle name="Normal 33 8 2 2" xfId="8709"/>
    <cellStyle name="Normal 33 8 2 2 2" xfId="22810"/>
    <cellStyle name="Normal 33 8 2 2 3" xfId="17343"/>
    <cellStyle name="Normal 33 8 2 3" xfId="15102"/>
    <cellStyle name="Normal 33 8 2 4" xfId="20596"/>
    <cellStyle name="Normal 33 8 2 5" xfId="11953"/>
    <cellStyle name="Normal 33 8 3" xfId="7119"/>
    <cellStyle name="Normal 33 8 3 2" xfId="21226"/>
    <cellStyle name="Normal 33 8 3 3" xfId="15753"/>
    <cellStyle name="Normal 33 8 4" xfId="14595"/>
    <cellStyle name="Normal 33 8 5" xfId="20110"/>
    <cellStyle name="Normal 33 8 6" xfId="10366"/>
    <cellStyle name="Normal 33 9" xfId="5207"/>
    <cellStyle name="Normal 33 9 2" xfId="7911"/>
    <cellStyle name="Normal 33 9 2 2" xfId="22018"/>
    <cellStyle name="Normal 33 9 2 3" xfId="16545"/>
    <cellStyle name="Normal 33 9 3" xfId="14596"/>
    <cellStyle name="Normal 33 9 4" xfId="20111"/>
    <cellStyle name="Normal 33 9 5" xfId="11158"/>
    <cellStyle name="Normal 34" xfId="1210"/>
    <cellStyle name="Normal 34 2" xfId="1455"/>
    <cellStyle name="Normal 34 2 2" xfId="2665"/>
    <cellStyle name="Normal 34 2 3" xfId="5208"/>
    <cellStyle name="Normal 34 2 4" xfId="2033"/>
    <cellStyle name="Normal 34 2 5" xfId="41995"/>
    <cellStyle name="Normal 34 3" xfId="3075"/>
    <cellStyle name="Normal 34 3 2" xfId="41996"/>
    <cellStyle name="Normal 34 4" xfId="41997"/>
    <cellStyle name="Normal 35" xfId="1197"/>
    <cellStyle name="Normal 35 2" xfId="1480"/>
    <cellStyle name="Normal 35 2 2" xfId="2952"/>
    <cellStyle name="Normal 35 2 3" xfId="2694"/>
    <cellStyle name="Normal 35 2 3 2" xfId="41998"/>
    <cellStyle name="Normal 35 3" xfId="3110"/>
    <cellStyle name="Normal 35 3 2" xfId="5209"/>
    <cellStyle name="Normal 35 3 2 2" xfId="24250"/>
    <cellStyle name="Normal 35 3 3" xfId="5210"/>
    <cellStyle name="Normal 35 3 3 2" xfId="5211"/>
    <cellStyle name="Normal 35 3 3 3" xfId="5212"/>
    <cellStyle name="Normal 35 3 3 3 2" xfId="6570"/>
    <cellStyle name="Normal 35 3 3 4" xfId="41999"/>
    <cellStyle name="Normal 35 3 4" xfId="5213"/>
    <cellStyle name="Normal 35 3 4 2" xfId="6253"/>
    <cellStyle name="Normal 35 3 5" xfId="5214"/>
    <cellStyle name="Normal 35 3 5 2" xfId="9515"/>
    <cellStyle name="Normal 35 3 5 2 2" xfId="23561"/>
    <cellStyle name="Normal 35 3 5 2 3" xfId="18115"/>
    <cellStyle name="Normal 35 3 5 3" xfId="14597"/>
    <cellStyle name="Normal 35 3 5 4" xfId="20112"/>
    <cellStyle name="Normal 35 3 5 5" xfId="12715"/>
    <cellStyle name="Normal 35 3 6" xfId="9817"/>
    <cellStyle name="Normal 35 3 6 2" xfId="12921"/>
    <cellStyle name="Normal 35 3 7" xfId="10030"/>
    <cellStyle name="Normal 35 3 7 2" xfId="18469"/>
    <cellStyle name="Normal 35 3 8" xfId="24046"/>
    <cellStyle name="Normal 35 4" xfId="5215"/>
    <cellStyle name="Normal 35 4 2" xfId="23745"/>
    <cellStyle name="Normal 35 5" xfId="5216"/>
    <cellStyle name="Normal 35 5 2" xfId="9318"/>
    <cellStyle name="Normal 35 5 2 2" xfId="23392"/>
    <cellStyle name="Normal 35 5 2 3" xfId="17944"/>
    <cellStyle name="Normal 35 5 3" xfId="14598"/>
    <cellStyle name="Normal 35 5 4" xfId="20113"/>
    <cellStyle name="Normal 35 5 5" xfId="24081"/>
    <cellStyle name="Normal 35 5 6" xfId="12540"/>
    <cellStyle name="Normal 35 6" xfId="9623"/>
    <cellStyle name="Normal 35 6 2" xfId="12748"/>
    <cellStyle name="Normal 35 7" xfId="9858"/>
    <cellStyle name="Normal 35 7 2" xfId="18298"/>
    <cellStyle name="Normal 35 8" xfId="1807"/>
    <cellStyle name="Normal 36" xfId="1250"/>
    <cellStyle name="Normal 36 2" xfId="1487"/>
    <cellStyle name="Normal 36 2 10" xfId="2167"/>
    <cellStyle name="Normal 36 2 2" xfId="2953"/>
    <cellStyle name="Normal 36 2 2 2" xfId="5217"/>
    <cellStyle name="Normal 36 2 2 2 2" xfId="5218"/>
    <cellStyle name="Normal 36 2 2 2 2 2" xfId="8674"/>
    <cellStyle name="Normal 36 2 2 2 2 2 2" xfId="22781"/>
    <cellStyle name="Normal 36 2 2 2 2 2 3" xfId="17308"/>
    <cellStyle name="Normal 36 2 2 2 2 3" xfId="14600"/>
    <cellStyle name="Normal 36 2 2 2 2 4" xfId="20115"/>
    <cellStyle name="Normal 36 2 2 2 2 5" xfId="11922"/>
    <cellStyle name="Normal 36 2 2 2 3" xfId="7882"/>
    <cellStyle name="Normal 36 2 2 2 3 2" xfId="21989"/>
    <cellStyle name="Normal 36 2 2 2 3 3" xfId="16516"/>
    <cellStyle name="Normal 36 2 2 2 4" xfId="14599"/>
    <cellStyle name="Normal 36 2 2 2 5" xfId="20114"/>
    <cellStyle name="Normal 36 2 2 2 6" xfId="11129"/>
    <cellStyle name="Normal 36 2 2 3" xfId="5219"/>
    <cellStyle name="Normal 36 2 2 3 2" xfId="6613"/>
    <cellStyle name="Normal 36 2 2 3 2 2" xfId="9212"/>
    <cellStyle name="Normal 36 2 2 3 2 2 2" xfId="23313"/>
    <cellStyle name="Normal 36 2 2 3 2 2 3" xfId="17846"/>
    <cellStyle name="Normal 36 2 2 3 2 3" xfId="15398"/>
    <cellStyle name="Normal 36 2 2 3 2 4" xfId="20891"/>
    <cellStyle name="Normal 36 2 2 3 2 5" xfId="12457"/>
    <cellStyle name="Normal 36 2 2 3 3" xfId="7622"/>
    <cellStyle name="Normal 36 2 2 3 3 2" xfId="21729"/>
    <cellStyle name="Normal 36 2 2 3 3 3" xfId="16256"/>
    <cellStyle name="Normal 36 2 2 3 4" xfId="14601"/>
    <cellStyle name="Normal 36 2 2 3 5" xfId="20116"/>
    <cellStyle name="Normal 36 2 2 3 6" xfId="10869"/>
    <cellStyle name="Normal 36 2 2 4" xfId="5220"/>
    <cellStyle name="Normal 36 2 2 4 2" xfId="8414"/>
    <cellStyle name="Normal 36 2 2 4 2 2" xfId="22521"/>
    <cellStyle name="Normal 36 2 2 4 2 3" xfId="17048"/>
    <cellStyle name="Normal 36 2 2 4 3" xfId="14602"/>
    <cellStyle name="Normal 36 2 2 4 4" xfId="20117"/>
    <cellStyle name="Normal 36 2 2 4 5" xfId="11662"/>
    <cellStyle name="Normal 36 2 2 5" xfId="5221"/>
    <cellStyle name="Normal 36 2 2 6" xfId="7089"/>
    <cellStyle name="Normal 36 2 2 6 2" xfId="21197"/>
    <cellStyle name="Normal 36 2 2 6 3" xfId="15724"/>
    <cellStyle name="Normal 36 2 2 7" xfId="10337"/>
    <cellStyle name="Normal 36 2 2 8" xfId="42000"/>
    <cellStyle name="Normal 36 2 3" xfId="5222"/>
    <cellStyle name="Normal 36 2 3 2" xfId="5223"/>
    <cellStyle name="Normal 36 2 3 2 2" xfId="8238"/>
    <cellStyle name="Normal 36 2 3 2 2 2" xfId="22345"/>
    <cellStyle name="Normal 36 2 3 2 2 3" xfId="16872"/>
    <cellStyle name="Normal 36 2 3 2 3" xfId="14604"/>
    <cellStyle name="Normal 36 2 3 2 4" xfId="20119"/>
    <cellStyle name="Normal 36 2 3 2 5" xfId="11485"/>
    <cellStyle name="Normal 36 2 3 3" xfId="5224"/>
    <cellStyle name="Normal 36 2 3 3 2" xfId="9036"/>
    <cellStyle name="Normal 36 2 3 3 2 2" xfId="23137"/>
    <cellStyle name="Normal 36 2 3 3 2 3" xfId="17670"/>
    <cellStyle name="Normal 36 2 3 3 3" xfId="14605"/>
    <cellStyle name="Normal 36 2 3 3 4" xfId="20120"/>
    <cellStyle name="Normal 36 2 3 3 5" xfId="12281"/>
    <cellStyle name="Normal 36 2 3 4" xfId="7446"/>
    <cellStyle name="Normal 36 2 3 4 2" xfId="21553"/>
    <cellStyle name="Normal 36 2 3 4 3" xfId="16080"/>
    <cellStyle name="Normal 36 2 3 5" xfId="14603"/>
    <cellStyle name="Normal 36 2 3 6" xfId="20118"/>
    <cellStyle name="Normal 36 2 3 7" xfId="23847"/>
    <cellStyle name="Normal 36 2 3 8" xfId="10693"/>
    <cellStyle name="Normal 36 2 4" xfId="5225"/>
    <cellStyle name="Normal 36 2 4 2" xfId="5226"/>
    <cellStyle name="Normal 36 2 4 2 2" xfId="8498"/>
    <cellStyle name="Normal 36 2 4 2 2 2" xfId="22605"/>
    <cellStyle name="Normal 36 2 4 2 2 3" xfId="17132"/>
    <cellStyle name="Normal 36 2 4 2 3" xfId="14607"/>
    <cellStyle name="Normal 36 2 4 2 4" xfId="20122"/>
    <cellStyle name="Normal 36 2 4 2 5" xfId="11746"/>
    <cellStyle name="Normal 36 2 4 3" xfId="7706"/>
    <cellStyle name="Normal 36 2 4 3 2" xfId="21813"/>
    <cellStyle name="Normal 36 2 4 3 3" xfId="16340"/>
    <cellStyle name="Normal 36 2 4 4" xfId="14606"/>
    <cellStyle name="Normal 36 2 4 5" xfId="20121"/>
    <cellStyle name="Normal 36 2 4 6" xfId="10953"/>
    <cellStyle name="Normal 36 2 5" xfId="5227"/>
    <cellStyle name="Normal 36 2 5 2" xfId="6424"/>
    <cellStyle name="Normal 36 2 5 2 2" xfId="8860"/>
    <cellStyle name="Normal 36 2 5 2 2 2" xfId="22961"/>
    <cellStyle name="Normal 36 2 5 2 2 3" xfId="17494"/>
    <cellStyle name="Normal 36 2 5 2 3" xfId="15253"/>
    <cellStyle name="Normal 36 2 5 2 4" xfId="20747"/>
    <cellStyle name="Normal 36 2 5 2 5" xfId="12104"/>
    <cellStyle name="Normal 36 2 5 3" xfId="7270"/>
    <cellStyle name="Normal 36 2 5 3 2" xfId="21377"/>
    <cellStyle name="Normal 36 2 5 3 3" xfId="15904"/>
    <cellStyle name="Normal 36 2 5 4" xfId="14608"/>
    <cellStyle name="Normal 36 2 5 5" xfId="20123"/>
    <cellStyle name="Normal 36 2 5 6" xfId="10517"/>
    <cellStyle name="Normal 36 2 6" xfId="5228"/>
    <cellStyle name="Normal 36 2 6 2" xfId="8062"/>
    <cellStyle name="Normal 36 2 6 2 2" xfId="22169"/>
    <cellStyle name="Normal 36 2 6 2 3" xfId="16696"/>
    <cellStyle name="Normal 36 2 6 3" xfId="14609"/>
    <cellStyle name="Normal 36 2 6 4" xfId="20124"/>
    <cellStyle name="Normal 36 2 6 5" xfId="11309"/>
    <cellStyle name="Normal 36 2 7" xfId="5229"/>
    <cellStyle name="Normal 36 2 8" xfId="6910"/>
    <cellStyle name="Normal 36 2 8 2" xfId="21021"/>
    <cellStyle name="Normal 36 2 8 3" xfId="15548"/>
    <cellStyle name="Normal 36 2 9" xfId="10161"/>
    <cellStyle name="Normal 36 3" xfId="2913"/>
    <cellStyle name="Normal 36 3 2" xfId="5230"/>
    <cellStyle name="Normal 36 3 3" xfId="5231"/>
    <cellStyle name="Normal 36 3 3 2" xfId="5232"/>
    <cellStyle name="Normal 36 3 3 3" xfId="5233"/>
    <cellStyle name="Normal 36 3 3 3 2" xfId="6571"/>
    <cellStyle name="Normal 36 3 4" xfId="5234"/>
    <cellStyle name="Normal 36 3 4 2" xfId="6254"/>
    <cellStyle name="Normal 36 3 5" xfId="5235"/>
    <cellStyle name="Normal 36 3 6" xfId="42001"/>
    <cellStyle name="Normal 36 4" xfId="3111"/>
    <cellStyle name="Normal 36 4 2" xfId="5236"/>
    <cellStyle name="Normal 36 4 2 2" xfId="9516"/>
    <cellStyle name="Normal 36 4 2 2 2" xfId="23562"/>
    <cellStyle name="Normal 36 4 2 2 3" xfId="18116"/>
    <cellStyle name="Normal 36 4 2 3" xfId="14610"/>
    <cellStyle name="Normal 36 4 2 4" xfId="20125"/>
    <cellStyle name="Normal 36 4 2 5" xfId="24251"/>
    <cellStyle name="Normal 36 4 2 6" xfId="12716"/>
    <cellStyle name="Normal 36 4 3" xfId="6175"/>
    <cellStyle name="Normal 36 4 3 2" xfId="42002"/>
    <cellStyle name="Normal 36 4 4" xfId="9818"/>
    <cellStyle name="Normal 36 4 4 2" xfId="12922"/>
    <cellStyle name="Normal 36 4 5" xfId="10031"/>
    <cellStyle name="Normal 36 4 5 2" xfId="18470"/>
    <cellStyle name="Normal 36 4 6" xfId="24047"/>
    <cellStyle name="Normal 36 5" xfId="5237"/>
    <cellStyle name="Normal 36 5 2" xfId="9319"/>
    <cellStyle name="Normal 36 5 2 2" xfId="23393"/>
    <cellStyle name="Normal 36 5 2 3" xfId="17945"/>
    <cellStyle name="Normal 36 5 3" xfId="14611"/>
    <cellStyle name="Normal 36 5 4" xfId="20126"/>
    <cellStyle name="Normal 36 5 5" xfId="23746"/>
    <cellStyle name="Normal 36 5 6" xfId="12541"/>
    <cellStyle name="Normal 36 6" xfId="9624"/>
    <cellStyle name="Normal 36 6 2" xfId="24082"/>
    <cellStyle name="Normal 36 6 3" xfId="12749"/>
    <cellStyle name="Normal 36 7" xfId="9859"/>
    <cellStyle name="Normal 36 7 2" xfId="18299"/>
    <cellStyle name="Normal 36 8" xfId="1809"/>
    <cellStyle name="Normal 37" xfId="1228"/>
    <cellStyle name="Normal 37 2" xfId="1508"/>
    <cellStyle name="Normal 37 2 10" xfId="2143"/>
    <cellStyle name="Normal 37 2 2" xfId="2970"/>
    <cellStyle name="Normal 37 2 2 2" xfId="5238"/>
    <cellStyle name="Normal 37 2 2 2 2" xfId="5239"/>
    <cellStyle name="Normal 37 2 2 2 2 2" xfId="8678"/>
    <cellStyle name="Normal 37 2 2 2 2 2 2" xfId="22785"/>
    <cellStyle name="Normal 37 2 2 2 2 2 3" xfId="17312"/>
    <cellStyle name="Normal 37 2 2 2 2 3" xfId="14613"/>
    <cellStyle name="Normal 37 2 2 2 2 4" xfId="20128"/>
    <cellStyle name="Normal 37 2 2 2 2 5" xfId="11926"/>
    <cellStyle name="Normal 37 2 2 2 3" xfId="7886"/>
    <cellStyle name="Normal 37 2 2 2 3 2" xfId="21993"/>
    <cellStyle name="Normal 37 2 2 2 3 3" xfId="16520"/>
    <cellStyle name="Normal 37 2 2 2 4" xfId="14612"/>
    <cellStyle name="Normal 37 2 2 2 5" xfId="20127"/>
    <cellStyle name="Normal 37 2 2 2 6" xfId="11133"/>
    <cellStyle name="Normal 37 2 2 3" xfId="5240"/>
    <cellStyle name="Normal 37 2 2 3 2" xfId="6617"/>
    <cellStyle name="Normal 37 2 2 3 2 2" xfId="9216"/>
    <cellStyle name="Normal 37 2 2 3 2 2 2" xfId="23317"/>
    <cellStyle name="Normal 37 2 2 3 2 2 3" xfId="17850"/>
    <cellStyle name="Normal 37 2 2 3 2 3" xfId="15402"/>
    <cellStyle name="Normal 37 2 2 3 2 4" xfId="20895"/>
    <cellStyle name="Normal 37 2 2 3 2 5" xfId="12461"/>
    <cellStyle name="Normal 37 2 2 3 3" xfId="7626"/>
    <cellStyle name="Normal 37 2 2 3 3 2" xfId="21733"/>
    <cellStyle name="Normal 37 2 2 3 3 3" xfId="16260"/>
    <cellStyle name="Normal 37 2 2 3 4" xfId="14614"/>
    <cellStyle name="Normal 37 2 2 3 5" xfId="20129"/>
    <cellStyle name="Normal 37 2 2 3 6" xfId="10873"/>
    <cellStyle name="Normal 37 2 2 4" xfId="5241"/>
    <cellStyle name="Normal 37 2 2 4 2" xfId="8418"/>
    <cellStyle name="Normal 37 2 2 4 2 2" xfId="22525"/>
    <cellStyle name="Normal 37 2 2 4 2 3" xfId="17052"/>
    <cellStyle name="Normal 37 2 2 4 3" xfId="14615"/>
    <cellStyle name="Normal 37 2 2 4 4" xfId="20130"/>
    <cellStyle name="Normal 37 2 2 4 5" xfId="11666"/>
    <cellStyle name="Normal 37 2 2 5" xfId="5242"/>
    <cellStyle name="Normal 37 2 2 6" xfId="7093"/>
    <cellStyle name="Normal 37 2 2 6 2" xfId="21201"/>
    <cellStyle name="Normal 37 2 2 6 3" xfId="15728"/>
    <cellStyle name="Normal 37 2 2 7" xfId="10341"/>
    <cellStyle name="Normal 37 2 2 8" xfId="42003"/>
    <cellStyle name="Normal 37 2 3" xfId="5243"/>
    <cellStyle name="Normal 37 2 3 2" xfId="5244"/>
    <cellStyle name="Normal 37 2 3 2 2" xfId="8242"/>
    <cellStyle name="Normal 37 2 3 2 2 2" xfId="22349"/>
    <cellStyle name="Normal 37 2 3 2 2 3" xfId="16876"/>
    <cellStyle name="Normal 37 2 3 2 3" xfId="14617"/>
    <cellStyle name="Normal 37 2 3 2 4" xfId="20132"/>
    <cellStyle name="Normal 37 2 3 2 5" xfId="11489"/>
    <cellStyle name="Normal 37 2 3 3" xfId="5245"/>
    <cellStyle name="Normal 37 2 3 3 2" xfId="9040"/>
    <cellStyle name="Normal 37 2 3 3 2 2" xfId="23141"/>
    <cellStyle name="Normal 37 2 3 3 2 3" xfId="17674"/>
    <cellStyle name="Normal 37 2 3 3 3" xfId="14618"/>
    <cellStyle name="Normal 37 2 3 3 4" xfId="20133"/>
    <cellStyle name="Normal 37 2 3 3 5" xfId="12285"/>
    <cellStyle name="Normal 37 2 3 4" xfId="7450"/>
    <cellStyle name="Normal 37 2 3 4 2" xfId="21557"/>
    <cellStyle name="Normal 37 2 3 4 3" xfId="16084"/>
    <cellStyle name="Normal 37 2 3 5" xfId="14616"/>
    <cellStyle name="Normal 37 2 3 6" xfId="20131"/>
    <cellStyle name="Normal 37 2 3 7" xfId="23835"/>
    <cellStyle name="Normal 37 2 3 8" xfId="10697"/>
    <cellStyle name="Normal 37 2 4" xfId="5246"/>
    <cellStyle name="Normal 37 2 4 2" xfId="5247"/>
    <cellStyle name="Normal 37 2 4 2 2" xfId="8502"/>
    <cellStyle name="Normal 37 2 4 2 2 2" xfId="22609"/>
    <cellStyle name="Normal 37 2 4 2 2 3" xfId="17136"/>
    <cellStyle name="Normal 37 2 4 2 3" xfId="14620"/>
    <cellStyle name="Normal 37 2 4 2 4" xfId="20135"/>
    <cellStyle name="Normal 37 2 4 2 5" xfId="11750"/>
    <cellStyle name="Normal 37 2 4 3" xfId="7710"/>
    <cellStyle name="Normal 37 2 4 3 2" xfId="21817"/>
    <cellStyle name="Normal 37 2 4 3 3" xfId="16344"/>
    <cellStyle name="Normal 37 2 4 4" xfId="14619"/>
    <cellStyle name="Normal 37 2 4 5" xfId="20134"/>
    <cellStyle name="Normal 37 2 4 6" xfId="10957"/>
    <cellStyle name="Normal 37 2 5" xfId="5248"/>
    <cellStyle name="Normal 37 2 5 2" xfId="6428"/>
    <cellStyle name="Normal 37 2 5 2 2" xfId="8864"/>
    <cellStyle name="Normal 37 2 5 2 2 2" xfId="22965"/>
    <cellStyle name="Normal 37 2 5 2 2 3" xfId="17498"/>
    <cellStyle name="Normal 37 2 5 2 3" xfId="15257"/>
    <cellStyle name="Normal 37 2 5 2 4" xfId="20751"/>
    <cellStyle name="Normal 37 2 5 2 5" xfId="12108"/>
    <cellStyle name="Normal 37 2 5 3" xfId="7274"/>
    <cellStyle name="Normal 37 2 5 3 2" xfId="21381"/>
    <cellStyle name="Normal 37 2 5 3 3" xfId="15908"/>
    <cellStyle name="Normal 37 2 5 4" xfId="14621"/>
    <cellStyle name="Normal 37 2 5 5" xfId="20136"/>
    <cellStyle name="Normal 37 2 5 6" xfId="10521"/>
    <cellStyle name="Normal 37 2 6" xfId="5249"/>
    <cellStyle name="Normal 37 2 6 2" xfId="8066"/>
    <cellStyle name="Normal 37 2 6 2 2" xfId="22173"/>
    <cellStyle name="Normal 37 2 6 2 3" xfId="16700"/>
    <cellStyle name="Normal 37 2 6 3" xfId="14622"/>
    <cellStyle name="Normal 37 2 6 4" xfId="20137"/>
    <cellStyle name="Normal 37 2 6 5" xfId="11313"/>
    <cellStyle name="Normal 37 2 7" xfId="5250"/>
    <cellStyle name="Normal 37 2 8" xfId="6914"/>
    <cellStyle name="Normal 37 2 8 2" xfId="21025"/>
    <cellStyle name="Normal 37 2 8 3" xfId="15552"/>
    <cellStyle name="Normal 37 2 9" xfId="10165"/>
    <cellStyle name="Normal 37 3" xfId="2906"/>
    <cellStyle name="Normal 37 3 2" xfId="5251"/>
    <cellStyle name="Normal 37 3 3" xfId="5252"/>
    <cellStyle name="Normal 37 3 3 2" xfId="5253"/>
    <cellStyle name="Normal 37 3 3 3" xfId="5254"/>
    <cellStyle name="Normal 37 3 3 3 2" xfId="6572"/>
    <cellStyle name="Normal 37 3 4" xfId="5255"/>
    <cellStyle name="Normal 37 3 4 2" xfId="6255"/>
    <cellStyle name="Normal 37 3 5" xfId="5256"/>
    <cellStyle name="Normal 37 3 6" xfId="42004"/>
    <cellStyle name="Normal 37 4" xfId="3043"/>
    <cellStyle name="Normal 37 4 2" xfId="5257"/>
    <cellStyle name="Normal 37 4 3" xfId="6174"/>
    <cellStyle name="Normal 37 5" xfId="3112"/>
    <cellStyle name="Normal 37 5 2" xfId="6798"/>
    <cellStyle name="Normal 37 5 2 2" xfId="20939"/>
    <cellStyle name="Normal 37 5 2 3" xfId="24252"/>
    <cellStyle name="Normal 37 5 2 4" xfId="15465"/>
    <cellStyle name="Normal 37 5 3" xfId="9517"/>
    <cellStyle name="Normal 37 5 3 2" xfId="23563"/>
    <cellStyle name="Normal 37 5 3 3" xfId="18117"/>
    <cellStyle name="Normal 37 5 4" xfId="9819"/>
    <cellStyle name="Normal 37 5 4 2" xfId="12923"/>
    <cellStyle name="Normal 37 5 5" xfId="10032"/>
    <cellStyle name="Normal 37 5 5 2" xfId="18471"/>
    <cellStyle name="Normal 37 5 6" xfId="24048"/>
    <cellStyle name="Normal 37 5 7" xfId="12717"/>
    <cellStyle name="Normal 37 6" xfId="5258"/>
    <cellStyle name="Normal 37 6 2" xfId="9323"/>
    <cellStyle name="Normal 37 6 2 2" xfId="23397"/>
    <cellStyle name="Normal 37 6 2 3" xfId="17949"/>
    <cellStyle name="Normal 37 6 3" xfId="14623"/>
    <cellStyle name="Normal 37 6 4" xfId="20138"/>
    <cellStyle name="Normal 37 6 5" xfId="23752"/>
    <cellStyle name="Normal 37 6 6" xfId="12545"/>
    <cellStyle name="Normal 37 7" xfId="9628"/>
    <cellStyle name="Normal 37 7 2" xfId="24086"/>
    <cellStyle name="Normal 37 7 3" xfId="12753"/>
    <cellStyle name="Normal 37 8" xfId="9863"/>
    <cellStyle name="Normal 37 8 2" xfId="18303"/>
    <cellStyle name="Normal 37 9" xfId="1817"/>
    <cellStyle name="Normal 38" xfId="1258"/>
    <cellStyle name="Normal 38 10" xfId="9866"/>
    <cellStyle name="Normal 38 10 2" xfId="18306"/>
    <cellStyle name="Normal 38 11" xfId="1821"/>
    <cellStyle name="Normal 38 2" xfId="1488"/>
    <cellStyle name="Normal 38 2 10" xfId="2005"/>
    <cellStyle name="Normal 38 2 2" xfId="2954"/>
    <cellStyle name="Normal 38 2 2 2" xfId="5259"/>
    <cellStyle name="Normal 38 2 2 2 2" xfId="5260"/>
    <cellStyle name="Normal 38 2 2 2 2 2" xfId="8680"/>
    <cellStyle name="Normal 38 2 2 2 2 2 2" xfId="22787"/>
    <cellStyle name="Normal 38 2 2 2 2 2 3" xfId="17314"/>
    <cellStyle name="Normal 38 2 2 2 2 3" xfId="14625"/>
    <cellStyle name="Normal 38 2 2 2 2 4" xfId="20140"/>
    <cellStyle name="Normal 38 2 2 2 2 5" xfId="11928"/>
    <cellStyle name="Normal 38 2 2 2 3" xfId="7888"/>
    <cellStyle name="Normal 38 2 2 2 3 2" xfId="21995"/>
    <cellStyle name="Normal 38 2 2 2 3 3" xfId="16522"/>
    <cellStyle name="Normal 38 2 2 2 4" xfId="14624"/>
    <cellStyle name="Normal 38 2 2 2 5" xfId="20139"/>
    <cellStyle name="Normal 38 2 2 2 6" xfId="11135"/>
    <cellStyle name="Normal 38 2 2 3" xfId="5261"/>
    <cellStyle name="Normal 38 2 2 3 2" xfId="6619"/>
    <cellStyle name="Normal 38 2 2 3 2 2" xfId="9218"/>
    <cellStyle name="Normal 38 2 2 3 2 2 2" xfId="23319"/>
    <cellStyle name="Normal 38 2 2 3 2 2 3" xfId="17852"/>
    <cellStyle name="Normal 38 2 2 3 2 3" xfId="15404"/>
    <cellStyle name="Normal 38 2 2 3 2 4" xfId="20897"/>
    <cellStyle name="Normal 38 2 2 3 2 5" xfId="12463"/>
    <cellStyle name="Normal 38 2 2 3 3" xfId="7628"/>
    <cellStyle name="Normal 38 2 2 3 3 2" xfId="21735"/>
    <cellStyle name="Normal 38 2 2 3 3 3" xfId="16262"/>
    <cellStyle name="Normal 38 2 2 3 4" xfId="14626"/>
    <cellStyle name="Normal 38 2 2 3 5" xfId="20141"/>
    <cellStyle name="Normal 38 2 2 3 6" xfId="10875"/>
    <cellStyle name="Normal 38 2 2 4" xfId="5262"/>
    <cellStyle name="Normal 38 2 2 4 2" xfId="8420"/>
    <cellStyle name="Normal 38 2 2 4 2 2" xfId="22527"/>
    <cellStyle name="Normal 38 2 2 4 2 3" xfId="17054"/>
    <cellStyle name="Normal 38 2 2 4 3" xfId="14627"/>
    <cellStyle name="Normal 38 2 2 4 4" xfId="20142"/>
    <cellStyle name="Normal 38 2 2 4 5" xfId="11668"/>
    <cellStyle name="Normal 38 2 2 5" xfId="5263"/>
    <cellStyle name="Normal 38 2 2 6" xfId="7095"/>
    <cellStyle name="Normal 38 2 2 6 2" xfId="21203"/>
    <cellStyle name="Normal 38 2 2 6 3" xfId="15730"/>
    <cellStyle name="Normal 38 2 2 7" xfId="10343"/>
    <cellStyle name="Normal 38 2 2 8" xfId="42005"/>
    <cellStyle name="Normal 38 2 3" xfId="5264"/>
    <cellStyle name="Normal 38 2 3 2" xfId="5265"/>
    <cellStyle name="Normal 38 2 3 2 2" xfId="8244"/>
    <cellStyle name="Normal 38 2 3 2 2 2" xfId="22351"/>
    <cellStyle name="Normal 38 2 3 2 2 3" xfId="16878"/>
    <cellStyle name="Normal 38 2 3 2 3" xfId="14629"/>
    <cellStyle name="Normal 38 2 3 2 4" xfId="20144"/>
    <cellStyle name="Normal 38 2 3 2 5" xfId="11491"/>
    <cellStyle name="Normal 38 2 3 3" xfId="5266"/>
    <cellStyle name="Normal 38 2 3 3 2" xfId="9042"/>
    <cellStyle name="Normal 38 2 3 3 2 2" xfId="23143"/>
    <cellStyle name="Normal 38 2 3 3 2 3" xfId="17676"/>
    <cellStyle name="Normal 38 2 3 3 3" xfId="14630"/>
    <cellStyle name="Normal 38 2 3 3 4" xfId="20145"/>
    <cellStyle name="Normal 38 2 3 3 5" xfId="12287"/>
    <cellStyle name="Normal 38 2 3 4" xfId="7452"/>
    <cellStyle name="Normal 38 2 3 4 2" xfId="21559"/>
    <cellStyle name="Normal 38 2 3 4 3" xfId="16086"/>
    <cellStyle name="Normal 38 2 3 5" xfId="14628"/>
    <cellStyle name="Normal 38 2 3 6" xfId="20143"/>
    <cellStyle name="Normal 38 2 3 7" xfId="23808"/>
    <cellStyle name="Normal 38 2 3 8" xfId="10699"/>
    <cellStyle name="Normal 38 2 4" xfId="5267"/>
    <cellStyle name="Normal 38 2 4 2" xfId="5268"/>
    <cellStyle name="Normal 38 2 4 2 2" xfId="8504"/>
    <cellStyle name="Normal 38 2 4 2 2 2" xfId="22611"/>
    <cellStyle name="Normal 38 2 4 2 2 3" xfId="17138"/>
    <cellStyle name="Normal 38 2 4 2 3" xfId="14632"/>
    <cellStyle name="Normal 38 2 4 2 4" xfId="20147"/>
    <cellStyle name="Normal 38 2 4 2 5" xfId="11752"/>
    <cellStyle name="Normal 38 2 4 3" xfId="7712"/>
    <cellStyle name="Normal 38 2 4 3 2" xfId="21819"/>
    <cellStyle name="Normal 38 2 4 3 3" xfId="16346"/>
    <cellStyle name="Normal 38 2 4 4" xfId="14631"/>
    <cellStyle name="Normal 38 2 4 5" xfId="20146"/>
    <cellStyle name="Normal 38 2 4 6" xfId="10959"/>
    <cellStyle name="Normal 38 2 5" xfId="5269"/>
    <cellStyle name="Normal 38 2 5 2" xfId="6430"/>
    <cellStyle name="Normal 38 2 5 2 2" xfId="8866"/>
    <cellStyle name="Normal 38 2 5 2 2 2" xfId="22967"/>
    <cellStyle name="Normal 38 2 5 2 2 3" xfId="17500"/>
    <cellStyle name="Normal 38 2 5 2 3" xfId="15259"/>
    <cellStyle name="Normal 38 2 5 2 4" xfId="20753"/>
    <cellStyle name="Normal 38 2 5 2 5" xfId="12110"/>
    <cellStyle name="Normal 38 2 5 3" xfId="7276"/>
    <cellStyle name="Normal 38 2 5 3 2" xfId="21383"/>
    <cellStyle name="Normal 38 2 5 3 3" xfId="15910"/>
    <cellStyle name="Normal 38 2 5 4" xfId="14633"/>
    <cellStyle name="Normal 38 2 5 5" xfId="20148"/>
    <cellStyle name="Normal 38 2 5 6" xfId="10523"/>
    <cellStyle name="Normal 38 2 6" xfId="5270"/>
    <cellStyle name="Normal 38 2 6 2" xfId="8068"/>
    <cellStyle name="Normal 38 2 6 2 2" xfId="22175"/>
    <cellStyle name="Normal 38 2 6 2 3" xfId="16702"/>
    <cellStyle name="Normal 38 2 6 3" xfId="14634"/>
    <cellStyle name="Normal 38 2 6 4" xfId="20149"/>
    <cellStyle name="Normal 38 2 6 5" xfId="11315"/>
    <cellStyle name="Normal 38 2 7" xfId="5271"/>
    <cellStyle name="Normal 38 2 8" xfId="6916"/>
    <cellStyle name="Normal 38 2 8 2" xfId="21027"/>
    <cellStyle name="Normal 38 2 8 3" xfId="15554"/>
    <cellStyle name="Normal 38 2 9" xfId="10167"/>
    <cellStyle name="Normal 38 3" xfId="3078"/>
    <cellStyle name="Normal 38 3 2" xfId="5272"/>
    <cellStyle name="Normal 38 3 3" xfId="5273"/>
    <cellStyle name="Normal 38 3 3 2" xfId="5274"/>
    <cellStyle name="Normal 38 3 3 3" xfId="5275"/>
    <cellStyle name="Normal 38 3 3 3 2" xfId="6573"/>
    <cellStyle name="Normal 38 3 4" xfId="5276"/>
    <cellStyle name="Normal 38 3 4 2" xfId="6256"/>
    <cellStyle name="Normal 38 3 5" xfId="5277"/>
    <cellStyle name="Normal 38 3 6" xfId="42006"/>
    <cellStyle name="Normal 38 4" xfId="3051"/>
    <cellStyle name="Normal 38 4 2" xfId="5278"/>
    <cellStyle name="Normal 38 4 3" xfId="6142"/>
    <cellStyle name="Normal 38 5" xfId="2607"/>
    <cellStyle name="Normal 38 5 2" xfId="42007"/>
    <cellStyle name="Normal 38 6" xfId="3113"/>
    <cellStyle name="Normal 38 6 2" xfId="5279"/>
    <cellStyle name="Normal 38 6 2 2" xfId="24253"/>
    <cellStyle name="Normal 38 6 3" xfId="5280"/>
    <cellStyle name="Normal 38 6 3 2" xfId="6533"/>
    <cellStyle name="Normal 38 6 3 3" xfId="42008"/>
    <cellStyle name="Normal 38 6 4" xfId="5281"/>
    <cellStyle name="Normal 38 6 4 2" xfId="9518"/>
    <cellStyle name="Normal 38 6 4 2 2" xfId="23564"/>
    <cellStyle name="Normal 38 6 4 2 3" xfId="18118"/>
    <cellStyle name="Normal 38 6 4 3" xfId="14635"/>
    <cellStyle name="Normal 38 6 4 4" xfId="20150"/>
    <cellStyle name="Normal 38 6 4 5" xfId="12718"/>
    <cellStyle name="Normal 38 6 5" xfId="9820"/>
    <cellStyle name="Normal 38 6 5 2" xfId="12924"/>
    <cellStyle name="Normal 38 6 6" xfId="10033"/>
    <cellStyle name="Normal 38 6 6 2" xfId="18472"/>
    <cellStyle name="Normal 38 6 7" xfId="24049"/>
    <cellStyle name="Normal 38 7" xfId="5282"/>
    <cellStyle name="Normal 38 7 2" xfId="6218"/>
    <cellStyle name="Normal 38 7 3" xfId="23756"/>
    <cellStyle name="Normal 38 8" xfId="5283"/>
    <cellStyle name="Normal 38 8 2" xfId="9326"/>
    <cellStyle name="Normal 38 8 2 2" xfId="23400"/>
    <cellStyle name="Normal 38 8 2 3" xfId="17952"/>
    <cellStyle name="Normal 38 8 3" xfId="14636"/>
    <cellStyle name="Normal 38 8 4" xfId="20151"/>
    <cellStyle name="Normal 38 8 5" xfId="24089"/>
    <cellStyle name="Normal 38 8 6" xfId="12548"/>
    <cellStyle name="Normal 38 9" xfId="9631"/>
    <cellStyle name="Normal 38 9 2" xfId="12756"/>
    <cellStyle name="Normal 39" xfId="1244"/>
    <cellStyle name="Normal 39 10" xfId="1825"/>
    <cellStyle name="Normal 39 2" xfId="1513"/>
    <cellStyle name="Normal 39 2 10" xfId="2213"/>
    <cellStyle name="Normal 39 2 2" xfId="2975"/>
    <cellStyle name="Normal 39 2 2 2" xfId="5284"/>
    <cellStyle name="Normal 39 2 2 2 2" xfId="5285"/>
    <cellStyle name="Normal 39 2 2 2 2 2" xfId="8676"/>
    <cellStyle name="Normal 39 2 2 2 2 2 2" xfId="22783"/>
    <cellStyle name="Normal 39 2 2 2 2 2 3" xfId="17310"/>
    <cellStyle name="Normal 39 2 2 2 2 3" xfId="14638"/>
    <cellStyle name="Normal 39 2 2 2 2 4" xfId="20153"/>
    <cellStyle name="Normal 39 2 2 2 2 5" xfId="11924"/>
    <cellStyle name="Normal 39 2 2 2 3" xfId="7884"/>
    <cellStyle name="Normal 39 2 2 2 3 2" xfId="21991"/>
    <cellStyle name="Normal 39 2 2 2 3 3" xfId="16518"/>
    <cellStyle name="Normal 39 2 2 2 4" xfId="14637"/>
    <cellStyle name="Normal 39 2 2 2 5" xfId="20152"/>
    <cellStyle name="Normal 39 2 2 2 6" xfId="11131"/>
    <cellStyle name="Normal 39 2 2 3" xfId="5286"/>
    <cellStyle name="Normal 39 2 2 3 2" xfId="6615"/>
    <cellStyle name="Normal 39 2 2 3 2 2" xfId="9214"/>
    <cellStyle name="Normal 39 2 2 3 2 2 2" xfId="23315"/>
    <cellStyle name="Normal 39 2 2 3 2 2 3" xfId="17848"/>
    <cellStyle name="Normal 39 2 2 3 2 3" xfId="15400"/>
    <cellStyle name="Normal 39 2 2 3 2 4" xfId="20893"/>
    <cellStyle name="Normal 39 2 2 3 2 5" xfId="12459"/>
    <cellStyle name="Normal 39 2 2 3 3" xfId="7624"/>
    <cellStyle name="Normal 39 2 2 3 3 2" xfId="21731"/>
    <cellStyle name="Normal 39 2 2 3 3 3" xfId="16258"/>
    <cellStyle name="Normal 39 2 2 3 4" xfId="14639"/>
    <cellStyle name="Normal 39 2 2 3 5" xfId="20154"/>
    <cellStyle name="Normal 39 2 2 3 6" xfId="10871"/>
    <cellStyle name="Normal 39 2 2 4" xfId="5287"/>
    <cellStyle name="Normal 39 2 2 4 2" xfId="8416"/>
    <cellStyle name="Normal 39 2 2 4 2 2" xfId="22523"/>
    <cellStyle name="Normal 39 2 2 4 2 3" xfId="17050"/>
    <cellStyle name="Normal 39 2 2 4 3" xfId="14640"/>
    <cellStyle name="Normal 39 2 2 4 4" xfId="20155"/>
    <cellStyle name="Normal 39 2 2 4 5" xfId="11664"/>
    <cellStyle name="Normal 39 2 2 5" xfId="5288"/>
    <cellStyle name="Normal 39 2 2 6" xfId="7091"/>
    <cellStyle name="Normal 39 2 2 6 2" xfId="21199"/>
    <cellStyle name="Normal 39 2 2 6 3" xfId="15726"/>
    <cellStyle name="Normal 39 2 2 7" xfId="10339"/>
    <cellStyle name="Normal 39 2 2 8" xfId="42009"/>
    <cellStyle name="Normal 39 2 3" xfId="5289"/>
    <cellStyle name="Normal 39 2 3 2" xfId="5290"/>
    <cellStyle name="Normal 39 2 3 2 2" xfId="8240"/>
    <cellStyle name="Normal 39 2 3 2 2 2" xfId="22347"/>
    <cellStyle name="Normal 39 2 3 2 2 3" xfId="16874"/>
    <cellStyle name="Normal 39 2 3 2 3" xfId="14642"/>
    <cellStyle name="Normal 39 2 3 2 4" xfId="20157"/>
    <cellStyle name="Normal 39 2 3 2 5" xfId="11487"/>
    <cellStyle name="Normal 39 2 3 3" xfId="5291"/>
    <cellStyle name="Normal 39 2 3 3 2" xfId="9038"/>
    <cellStyle name="Normal 39 2 3 3 2 2" xfId="23139"/>
    <cellStyle name="Normal 39 2 3 3 2 3" xfId="17672"/>
    <cellStyle name="Normal 39 2 3 3 3" xfId="14643"/>
    <cellStyle name="Normal 39 2 3 3 4" xfId="20158"/>
    <cellStyle name="Normal 39 2 3 3 5" xfId="12283"/>
    <cellStyle name="Normal 39 2 3 4" xfId="7448"/>
    <cellStyle name="Normal 39 2 3 4 2" xfId="21555"/>
    <cellStyle name="Normal 39 2 3 4 3" xfId="16082"/>
    <cellStyle name="Normal 39 2 3 5" xfId="14641"/>
    <cellStyle name="Normal 39 2 3 6" xfId="20156"/>
    <cellStyle name="Normal 39 2 3 7" xfId="23872"/>
    <cellStyle name="Normal 39 2 3 8" xfId="10695"/>
    <cellStyle name="Normal 39 2 4" xfId="5292"/>
    <cellStyle name="Normal 39 2 4 2" xfId="5293"/>
    <cellStyle name="Normal 39 2 4 2 2" xfId="8500"/>
    <cellStyle name="Normal 39 2 4 2 2 2" xfId="22607"/>
    <cellStyle name="Normal 39 2 4 2 2 3" xfId="17134"/>
    <cellStyle name="Normal 39 2 4 2 3" xfId="14645"/>
    <cellStyle name="Normal 39 2 4 2 4" xfId="20160"/>
    <cellStyle name="Normal 39 2 4 2 5" xfId="11748"/>
    <cellStyle name="Normal 39 2 4 3" xfId="7708"/>
    <cellStyle name="Normal 39 2 4 3 2" xfId="21815"/>
    <cellStyle name="Normal 39 2 4 3 3" xfId="16342"/>
    <cellStyle name="Normal 39 2 4 4" xfId="14644"/>
    <cellStyle name="Normal 39 2 4 5" xfId="20159"/>
    <cellStyle name="Normal 39 2 4 6" xfId="10955"/>
    <cellStyle name="Normal 39 2 5" xfId="5294"/>
    <cellStyle name="Normal 39 2 5 2" xfId="6426"/>
    <cellStyle name="Normal 39 2 5 2 2" xfId="8862"/>
    <cellStyle name="Normal 39 2 5 2 2 2" xfId="22963"/>
    <cellStyle name="Normal 39 2 5 2 2 3" xfId="17496"/>
    <cellStyle name="Normal 39 2 5 2 3" xfId="15255"/>
    <cellStyle name="Normal 39 2 5 2 4" xfId="20749"/>
    <cellStyle name="Normal 39 2 5 2 5" xfId="12106"/>
    <cellStyle name="Normal 39 2 5 3" xfId="7272"/>
    <cellStyle name="Normal 39 2 5 3 2" xfId="21379"/>
    <cellStyle name="Normal 39 2 5 3 3" xfId="15906"/>
    <cellStyle name="Normal 39 2 5 4" xfId="14646"/>
    <cellStyle name="Normal 39 2 5 5" xfId="20161"/>
    <cellStyle name="Normal 39 2 5 6" xfId="10519"/>
    <cellStyle name="Normal 39 2 6" xfId="5295"/>
    <cellStyle name="Normal 39 2 6 2" xfId="8064"/>
    <cellStyle name="Normal 39 2 6 2 2" xfId="22171"/>
    <cellStyle name="Normal 39 2 6 2 3" xfId="16698"/>
    <cellStyle name="Normal 39 2 6 3" xfId="14647"/>
    <cellStyle name="Normal 39 2 6 4" xfId="20162"/>
    <cellStyle name="Normal 39 2 6 5" xfId="11311"/>
    <cellStyle name="Normal 39 2 7" xfId="5296"/>
    <cellStyle name="Normal 39 2 8" xfId="6912"/>
    <cellStyle name="Normal 39 2 8 2" xfId="21023"/>
    <cellStyle name="Normal 39 2 8 3" xfId="15550"/>
    <cellStyle name="Normal 39 2 9" xfId="10163"/>
    <cellStyle name="Normal 39 3" xfId="3077"/>
    <cellStyle name="Normal 39 3 2" xfId="5297"/>
    <cellStyle name="Normal 39 3 3" xfId="6148"/>
    <cellStyle name="Normal 39 3 4" xfId="42010"/>
    <cellStyle name="Normal 39 4" xfId="3062"/>
    <cellStyle name="Normal 39 4 2" xfId="5298"/>
    <cellStyle name="Normal 39 4 3" xfId="6191"/>
    <cellStyle name="Normal 39 5" xfId="2647"/>
    <cellStyle name="Normal 39 5 2" xfId="5299"/>
    <cellStyle name="Normal 39 5 3" xfId="5300"/>
    <cellStyle name="Normal 39 5 3 2" xfId="6551"/>
    <cellStyle name="Normal 39 5 4" xfId="42011"/>
    <cellStyle name="Normal 39 6" xfId="3114"/>
    <cellStyle name="Normal 39 6 2" xfId="5301"/>
    <cellStyle name="Normal 39 6 2 2" xfId="9519"/>
    <cellStyle name="Normal 39 6 2 2 2" xfId="23565"/>
    <cellStyle name="Normal 39 6 2 2 3" xfId="18119"/>
    <cellStyle name="Normal 39 6 2 3" xfId="14648"/>
    <cellStyle name="Normal 39 6 2 4" xfId="20163"/>
    <cellStyle name="Normal 39 6 2 5" xfId="24254"/>
    <cellStyle name="Normal 39 6 2 6" xfId="12719"/>
    <cellStyle name="Normal 39 6 3" xfId="6236"/>
    <cellStyle name="Normal 39 6 3 2" xfId="42012"/>
    <cellStyle name="Normal 39 6 4" xfId="8692"/>
    <cellStyle name="Normal 39 6 4 2" xfId="17326"/>
    <cellStyle name="Normal 39 6 5" xfId="9821"/>
    <cellStyle name="Normal 39 6 5 2" xfId="12925"/>
    <cellStyle name="Normal 39 6 6" xfId="10034"/>
    <cellStyle name="Normal 39 6 6 2" xfId="18473"/>
    <cellStyle name="Normal 39 6 7" xfId="24050"/>
    <cellStyle name="Normal 39 7" xfId="5302"/>
    <cellStyle name="Normal 39 7 2" xfId="9329"/>
    <cellStyle name="Normal 39 7 2 2" xfId="23403"/>
    <cellStyle name="Normal 39 7 2 3" xfId="17955"/>
    <cellStyle name="Normal 39 7 3" xfId="14649"/>
    <cellStyle name="Normal 39 7 4" xfId="20164"/>
    <cellStyle name="Normal 39 7 5" xfId="23760"/>
    <cellStyle name="Normal 39 7 6" xfId="12551"/>
    <cellStyle name="Normal 39 8" xfId="9634"/>
    <cellStyle name="Normal 39 8 2" xfId="24092"/>
    <cellStyle name="Normal 39 8 3" xfId="12759"/>
    <cellStyle name="Normal 39 9" xfId="9869"/>
    <cellStyle name="Normal 39 9 2" xfId="18309"/>
    <cellStyle name="Normal 4" xfId="16"/>
    <cellStyle name="Normal 4 10" xfId="207"/>
    <cellStyle name="Normal 4 11" xfId="44275"/>
    <cellStyle name="Normal 4 12" xfId="172"/>
    <cellStyle name="Normal 4 13" xfId="70"/>
    <cellStyle name="Normal 4 14" xfId="57"/>
    <cellStyle name="Normal 4 2" xfId="74"/>
    <cellStyle name="Normal 4 2 2" xfId="78"/>
    <cellStyle name="Normal 4 2 2 2" xfId="128"/>
    <cellStyle name="Normal 4 2 2 2 2" xfId="144"/>
    <cellStyle name="Normal 4 2 2 2 2 2" xfId="42014"/>
    <cellStyle name="Normal 4 2 2 2 3" xfId="44110"/>
    <cellStyle name="Normal 4 2 2 2 4" xfId="12663"/>
    <cellStyle name="Normal 4 2 2 2 5" xfId="187"/>
    <cellStyle name="Normal 4 2 2 3" xfId="136"/>
    <cellStyle name="Normal 4 2 2 3 2" xfId="44102"/>
    <cellStyle name="Normal 4 2 2 3 3" xfId="195"/>
    <cellStyle name="Normal 4 2 2 4" xfId="169"/>
    <cellStyle name="Normal 4 2 2 4 2" xfId="1404"/>
    <cellStyle name="Normal 4 2 2 5" xfId="178"/>
    <cellStyle name="Normal 4 2 3" xfId="124"/>
    <cellStyle name="Normal 4 2 3 2" xfId="140"/>
    <cellStyle name="Normal 4 2 3 2 2" xfId="42015"/>
    <cellStyle name="Normal 4 2 3 3" xfId="44107"/>
    <cellStyle name="Normal 4 2 3 4" xfId="1549"/>
    <cellStyle name="Normal 4 2 3 5" xfId="183"/>
    <cellStyle name="Normal 4 2 4" xfId="132"/>
    <cellStyle name="Normal 4 2 4 2" xfId="44199"/>
    <cellStyle name="Normal 4 2 4 3" xfId="9614"/>
    <cellStyle name="Normal 4 2 4 4" xfId="191"/>
    <cellStyle name="Normal 4 2 5" xfId="161"/>
    <cellStyle name="Normal 4 2 5 2" xfId="41218"/>
    <cellStyle name="Normal 4 2 6" xfId="615"/>
    <cellStyle name="Normal 4 2 7" xfId="44269"/>
    <cellStyle name="Normal 4 2 8" xfId="174"/>
    <cellStyle name="Normal 4 3" xfId="76"/>
    <cellStyle name="Normal 4 3 2" xfId="126"/>
    <cellStyle name="Normal 4 3 2 2" xfId="142"/>
    <cellStyle name="Normal 4 3 2 2 2" xfId="44108"/>
    <cellStyle name="Normal 4 3 2 3" xfId="42016"/>
    <cellStyle name="Normal 4 3 2 4" xfId="44292"/>
    <cellStyle name="Normal 4 3 2 5" xfId="185"/>
    <cellStyle name="Normal 4 3 3" xfId="134"/>
    <cellStyle name="Normal 4 3 3 2" xfId="44101"/>
    <cellStyle name="Normal 4 3 3 3" xfId="193"/>
    <cellStyle name="Normal 4 3 4" xfId="165"/>
    <cellStyle name="Normal 4 3 4 2" xfId="730"/>
    <cellStyle name="Normal 4 3 5" xfId="44280"/>
    <cellStyle name="Normal 4 3 6" xfId="176"/>
    <cellStyle name="Normal 4 4" xfId="122"/>
    <cellStyle name="Normal 4 4 2" xfId="138"/>
    <cellStyle name="Normal 4 4 2 2" xfId="44296"/>
    <cellStyle name="Normal 4 4 2 3" xfId="2423"/>
    <cellStyle name="Normal 4 4 3" xfId="2197"/>
    <cellStyle name="Normal 4 4 3 2" xfId="42017"/>
    <cellStyle name="Normal 4 4 4" xfId="44105"/>
    <cellStyle name="Normal 4 4 5" xfId="1312"/>
    <cellStyle name="Normal 4 4 6" xfId="44284"/>
    <cellStyle name="Normal 4 4 7" xfId="181"/>
    <cellStyle name="Normal 4 5" xfId="130"/>
    <cellStyle name="Normal 4 5 2" xfId="3048"/>
    <cellStyle name="Normal 4 5 3" xfId="24584"/>
    <cellStyle name="Normal 4 5 4" xfId="42018"/>
    <cellStyle name="Normal 4 5 5" xfId="44197"/>
    <cellStyle name="Normal 4 5 6" xfId="429"/>
    <cellStyle name="Normal 4 5 7" xfId="44288"/>
    <cellStyle name="Normal 4 5 8" xfId="189"/>
    <cellStyle name="Normal 4 6" xfId="155"/>
    <cellStyle name="Normal 4 6 2" xfId="24285"/>
    <cellStyle name="Normal 4 7" xfId="12562"/>
    <cellStyle name="Normal 4 8" xfId="41217"/>
    <cellStyle name="Normal 4 8 2" xfId="43140"/>
    <cellStyle name="Normal 4 9" xfId="42013"/>
    <cellStyle name="Normal 40" xfId="1236"/>
    <cellStyle name="Normal 40 10" xfId="1829"/>
    <cellStyle name="Normal 40 2" xfId="1514"/>
    <cellStyle name="Normal 40 2 10" xfId="2400"/>
    <cellStyle name="Normal 40 2 2" xfId="2976"/>
    <cellStyle name="Normal 40 2 2 2" xfId="5303"/>
    <cellStyle name="Normal 40 2 2 2 2" xfId="5304"/>
    <cellStyle name="Normal 40 2 2 2 2 2" xfId="8672"/>
    <cellStyle name="Normal 40 2 2 2 2 2 2" xfId="22779"/>
    <cellStyle name="Normal 40 2 2 2 2 2 3" xfId="17306"/>
    <cellStyle name="Normal 40 2 2 2 2 3" xfId="14651"/>
    <cellStyle name="Normal 40 2 2 2 2 4" xfId="20166"/>
    <cellStyle name="Normal 40 2 2 2 2 5" xfId="11920"/>
    <cellStyle name="Normal 40 2 2 2 3" xfId="7880"/>
    <cellStyle name="Normal 40 2 2 2 3 2" xfId="21987"/>
    <cellStyle name="Normal 40 2 2 2 3 3" xfId="16514"/>
    <cellStyle name="Normal 40 2 2 2 4" xfId="14650"/>
    <cellStyle name="Normal 40 2 2 2 5" xfId="20165"/>
    <cellStyle name="Normal 40 2 2 2 6" xfId="11127"/>
    <cellStyle name="Normal 40 2 2 3" xfId="5305"/>
    <cellStyle name="Normal 40 2 2 3 2" xfId="6611"/>
    <cellStyle name="Normal 40 2 2 3 2 2" xfId="9210"/>
    <cellStyle name="Normal 40 2 2 3 2 2 2" xfId="23311"/>
    <cellStyle name="Normal 40 2 2 3 2 2 3" xfId="17844"/>
    <cellStyle name="Normal 40 2 2 3 2 3" xfId="15396"/>
    <cellStyle name="Normal 40 2 2 3 2 4" xfId="20889"/>
    <cellStyle name="Normal 40 2 2 3 2 5" xfId="12455"/>
    <cellStyle name="Normal 40 2 2 3 3" xfId="7620"/>
    <cellStyle name="Normal 40 2 2 3 3 2" xfId="21727"/>
    <cellStyle name="Normal 40 2 2 3 3 3" xfId="16254"/>
    <cellStyle name="Normal 40 2 2 3 4" xfId="14652"/>
    <cellStyle name="Normal 40 2 2 3 5" xfId="20167"/>
    <cellStyle name="Normal 40 2 2 3 6" xfId="10867"/>
    <cellStyle name="Normal 40 2 2 4" xfId="5306"/>
    <cellStyle name="Normal 40 2 2 4 2" xfId="8412"/>
    <cellStyle name="Normal 40 2 2 4 2 2" xfId="22519"/>
    <cellStyle name="Normal 40 2 2 4 2 3" xfId="17046"/>
    <cellStyle name="Normal 40 2 2 4 3" xfId="14653"/>
    <cellStyle name="Normal 40 2 2 4 4" xfId="20168"/>
    <cellStyle name="Normal 40 2 2 4 5" xfId="11660"/>
    <cellStyle name="Normal 40 2 2 5" xfId="5307"/>
    <cellStyle name="Normal 40 2 2 6" xfId="7087"/>
    <cellStyle name="Normal 40 2 2 6 2" xfId="21195"/>
    <cellStyle name="Normal 40 2 2 6 3" xfId="15722"/>
    <cellStyle name="Normal 40 2 2 7" xfId="10335"/>
    <cellStyle name="Normal 40 2 2 8" xfId="42019"/>
    <cellStyle name="Normal 40 2 3" xfId="5308"/>
    <cellStyle name="Normal 40 2 3 2" xfId="5309"/>
    <cellStyle name="Normal 40 2 3 2 2" xfId="8236"/>
    <cellStyle name="Normal 40 2 3 2 2 2" xfId="22343"/>
    <cellStyle name="Normal 40 2 3 2 2 3" xfId="16870"/>
    <cellStyle name="Normal 40 2 3 2 3" xfId="14655"/>
    <cellStyle name="Normal 40 2 3 2 4" xfId="20170"/>
    <cellStyle name="Normal 40 2 3 2 5" xfId="11483"/>
    <cellStyle name="Normal 40 2 3 3" xfId="5310"/>
    <cellStyle name="Normal 40 2 3 3 2" xfId="9034"/>
    <cellStyle name="Normal 40 2 3 3 2 2" xfId="23135"/>
    <cellStyle name="Normal 40 2 3 3 2 3" xfId="17668"/>
    <cellStyle name="Normal 40 2 3 3 3" xfId="14656"/>
    <cellStyle name="Normal 40 2 3 3 4" xfId="20171"/>
    <cellStyle name="Normal 40 2 3 3 5" xfId="12279"/>
    <cellStyle name="Normal 40 2 3 4" xfId="7444"/>
    <cellStyle name="Normal 40 2 3 4 2" xfId="21551"/>
    <cellStyle name="Normal 40 2 3 4 3" xfId="16078"/>
    <cellStyle name="Normal 40 2 3 5" xfId="14654"/>
    <cellStyle name="Normal 40 2 3 6" xfId="20169"/>
    <cellStyle name="Normal 40 2 3 7" xfId="23948"/>
    <cellStyle name="Normal 40 2 3 8" xfId="10691"/>
    <cellStyle name="Normal 40 2 4" xfId="5311"/>
    <cellStyle name="Normal 40 2 4 2" xfId="5312"/>
    <cellStyle name="Normal 40 2 4 2 2" xfId="8496"/>
    <cellStyle name="Normal 40 2 4 2 2 2" xfId="22603"/>
    <cellStyle name="Normal 40 2 4 2 2 3" xfId="17130"/>
    <cellStyle name="Normal 40 2 4 2 3" xfId="14658"/>
    <cellStyle name="Normal 40 2 4 2 4" xfId="20173"/>
    <cellStyle name="Normal 40 2 4 2 5" xfId="11744"/>
    <cellStyle name="Normal 40 2 4 3" xfId="7704"/>
    <cellStyle name="Normal 40 2 4 3 2" xfId="21811"/>
    <cellStyle name="Normal 40 2 4 3 3" xfId="16338"/>
    <cellStyle name="Normal 40 2 4 4" xfId="14657"/>
    <cellStyle name="Normal 40 2 4 5" xfId="20172"/>
    <cellStyle name="Normal 40 2 4 6" xfId="10951"/>
    <cellStyle name="Normal 40 2 5" xfId="5313"/>
    <cellStyle name="Normal 40 2 5 2" xfId="6422"/>
    <cellStyle name="Normal 40 2 5 2 2" xfId="8858"/>
    <cellStyle name="Normal 40 2 5 2 2 2" xfId="22959"/>
    <cellStyle name="Normal 40 2 5 2 2 3" xfId="17492"/>
    <cellStyle name="Normal 40 2 5 2 3" xfId="15251"/>
    <cellStyle name="Normal 40 2 5 2 4" xfId="20745"/>
    <cellStyle name="Normal 40 2 5 2 5" xfId="12102"/>
    <cellStyle name="Normal 40 2 5 3" xfId="7268"/>
    <cellStyle name="Normal 40 2 5 3 2" xfId="21375"/>
    <cellStyle name="Normal 40 2 5 3 3" xfId="15902"/>
    <cellStyle name="Normal 40 2 5 4" xfId="14659"/>
    <cellStyle name="Normal 40 2 5 5" xfId="20174"/>
    <cellStyle name="Normal 40 2 5 6" xfId="10515"/>
    <cellStyle name="Normal 40 2 6" xfId="5314"/>
    <cellStyle name="Normal 40 2 6 2" xfId="8060"/>
    <cellStyle name="Normal 40 2 6 2 2" xfId="22167"/>
    <cellStyle name="Normal 40 2 6 2 3" xfId="16694"/>
    <cellStyle name="Normal 40 2 6 3" xfId="14660"/>
    <cellStyle name="Normal 40 2 6 4" xfId="20175"/>
    <cellStyle name="Normal 40 2 6 5" xfId="11307"/>
    <cellStyle name="Normal 40 2 7" xfId="5315"/>
    <cellStyle name="Normal 40 2 8" xfId="6908"/>
    <cellStyle name="Normal 40 2 8 2" xfId="21019"/>
    <cellStyle name="Normal 40 2 8 3" xfId="15546"/>
    <cellStyle name="Normal 40 2 9" xfId="10159"/>
    <cellStyle name="Normal 40 3" xfId="3076"/>
    <cellStyle name="Normal 40 3 2" xfId="5316"/>
    <cellStyle name="Normal 40 3 3" xfId="6149"/>
    <cellStyle name="Normal 40 3 4" xfId="42020"/>
    <cellStyle name="Normal 40 4" xfId="3046"/>
    <cellStyle name="Normal 40 4 2" xfId="5317"/>
    <cellStyle name="Normal 40 4 3" xfId="6187"/>
    <cellStyle name="Normal 40 5" xfId="2617"/>
    <cellStyle name="Normal 40 5 2" xfId="5318"/>
    <cellStyle name="Normal 40 5 3" xfId="5319"/>
    <cellStyle name="Normal 40 5 3 2" xfId="6537"/>
    <cellStyle name="Normal 40 5 4" xfId="42021"/>
    <cellStyle name="Normal 40 6" xfId="3115"/>
    <cellStyle name="Normal 40 6 2" xfId="5320"/>
    <cellStyle name="Normal 40 6 2 2" xfId="9520"/>
    <cellStyle name="Normal 40 6 2 2 2" xfId="23566"/>
    <cellStyle name="Normal 40 6 2 2 3" xfId="18120"/>
    <cellStyle name="Normal 40 6 2 3" xfId="14661"/>
    <cellStyle name="Normal 40 6 2 4" xfId="20176"/>
    <cellStyle name="Normal 40 6 2 5" xfId="24255"/>
    <cellStyle name="Normal 40 6 2 6" xfId="12720"/>
    <cellStyle name="Normal 40 6 3" xfId="6222"/>
    <cellStyle name="Normal 40 6 3 2" xfId="42022"/>
    <cellStyle name="Normal 40 6 4" xfId="8691"/>
    <cellStyle name="Normal 40 6 4 2" xfId="17325"/>
    <cellStyle name="Normal 40 6 5" xfId="9822"/>
    <cellStyle name="Normal 40 6 5 2" xfId="12926"/>
    <cellStyle name="Normal 40 6 6" xfId="10035"/>
    <cellStyle name="Normal 40 6 6 2" xfId="18474"/>
    <cellStyle name="Normal 40 6 7" xfId="24051"/>
    <cellStyle name="Normal 40 7" xfId="5321"/>
    <cellStyle name="Normal 40 7 2" xfId="9332"/>
    <cellStyle name="Normal 40 7 2 2" xfId="23406"/>
    <cellStyle name="Normal 40 7 2 3" xfId="17958"/>
    <cellStyle name="Normal 40 7 3" xfId="14662"/>
    <cellStyle name="Normal 40 7 4" xfId="20177"/>
    <cellStyle name="Normal 40 7 5" xfId="23764"/>
    <cellStyle name="Normal 40 7 6" xfId="12554"/>
    <cellStyle name="Normal 40 8" xfId="9637"/>
    <cellStyle name="Normal 40 8 2" xfId="24095"/>
    <cellStyle name="Normal 40 8 3" xfId="12762"/>
    <cellStyle name="Normal 40 9" xfId="9872"/>
    <cellStyle name="Normal 40 9 2" xfId="18312"/>
    <cellStyle name="Normal 403" xfId="43045"/>
    <cellStyle name="Normal 404" xfId="43044"/>
    <cellStyle name="Normal 405" xfId="43039"/>
    <cellStyle name="Normal 41" xfId="1154"/>
    <cellStyle name="Normal 41 10" xfId="1833"/>
    <cellStyle name="Normal 41 2" xfId="1515"/>
    <cellStyle name="Normal 41 2 10" xfId="2405"/>
    <cellStyle name="Normal 41 2 2" xfId="2977"/>
    <cellStyle name="Normal 41 2 2 2" xfId="5322"/>
    <cellStyle name="Normal 41 2 2 2 2" xfId="5323"/>
    <cellStyle name="Normal 41 2 2 2 2 2" xfId="8675"/>
    <cellStyle name="Normal 41 2 2 2 2 2 2" xfId="22782"/>
    <cellStyle name="Normal 41 2 2 2 2 2 3" xfId="17309"/>
    <cellStyle name="Normal 41 2 2 2 2 3" xfId="14664"/>
    <cellStyle name="Normal 41 2 2 2 2 4" xfId="20179"/>
    <cellStyle name="Normal 41 2 2 2 2 5" xfId="11923"/>
    <cellStyle name="Normal 41 2 2 2 3" xfId="7883"/>
    <cellStyle name="Normal 41 2 2 2 3 2" xfId="21990"/>
    <cellStyle name="Normal 41 2 2 2 3 3" xfId="16517"/>
    <cellStyle name="Normal 41 2 2 2 4" xfId="14663"/>
    <cellStyle name="Normal 41 2 2 2 5" xfId="20178"/>
    <cellStyle name="Normal 41 2 2 2 6" xfId="11130"/>
    <cellStyle name="Normal 41 2 2 3" xfId="5324"/>
    <cellStyle name="Normal 41 2 2 3 2" xfId="6614"/>
    <cellStyle name="Normal 41 2 2 3 2 2" xfId="9213"/>
    <cellStyle name="Normal 41 2 2 3 2 2 2" xfId="23314"/>
    <cellStyle name="Normal 41 2 2 3 2 2 3" xfId="17847"/>
    <cellStyle name="Normal 41 2 2 3 2 3" xfId="15399"/>
    <cellStyle name="Normal 41 2 2 3 2 4" xfId="20892"/>
    <cellStyle name="Normal 41 2 2 3 2 5" xfId="12458"/>
    <cellStyle name="Normal 41 2 2 3 3" xfId="7623"/>
    <cellStyle name="Normal 41 2 2 3 3 2" xfId="21730"/>
    <cellStyle name="Normal 41 2 2 3 3 3" xfId="16257"/>
    <cellStyle name="Normal 41 2 2 3 4" xfId="14665"/>
    <cellStyle name="Normal 41 2 2 3 5" xfId="20180"/>
    <cellStyle name="Normal 41 2 2 3 6" xfId="10870"/>
    <cellStyle name="Normal 41 2 2 4" xfId="5325"/>
    <cellStyle name="Normal 41 2 2 4 2" xfId="8415"/>
    <cellStyle name="Normal 41 2 2 4 2 2" xfId="22522"/>
    <cellStyle name="Normal 41 2 2 4 2 3" xfId="17049"/>
    <cellStyle name="Normal 41 2 2 4 3" xfId="14666"/>
    <cellStyle name="Normal 41 2 2 4 4" xfId="20181"/>
    <cellStyle name="Normal 41 2 2 4 5" xfId="11663"/>
    <cellStyle name="Normal 41 2 2 5" xfId="5326"/>
    <cellStyle name="Normal 41 2 2 6" xfId="7090"/>
    <cellStyle name="Normal 41 2 2 6 2" xfId="21198"/>
    <cellStyle name="Normal 41 2 2 6 3" xfId="15725"/>
    <cellStyle name="Normal 41 2 2 7" xfId="10338"/>
    <cellStyle name="Normal 41 2 2 8" xfId="42023"/>
    <cellStyle name="Normal 41 2 3" xfId="5327"/>
    <cellStyle name="Normal 41 2 3 2" xfId="5328"/>
    <cellStyle name="Normal 41 2 3 2 2" xfId="8239"/>
    <cellStyle name="Normal 41 2 3 2 2 2" xfId="22346"/>
    <cellStyle name="Normal 41 2 3 2 2 3" xfId="16873"/>
    <cellStyle name="Normal 41 2 3 2 3" xfId="14668"/>
    <cellStyle name="Normal 41 2 3 2 4" xfId="20183"/>
    <cellStyle name="Normal 41 2 3 2 5" xfId="11486"/>
    <cellStyle name="Normal 41 2 3 3" xfId="5329"/>
    <cellStyle name="Normal 41 2 3 3 2" xfId="9037"/>
    <cellStyle name="Normal 41 2 3 3 2 2" xfId="23138"/>
    <cellStyle name="Normal 41 2 3 3 2 3" xfId="17671"/>
    <cellStyle name="Normal 41 2 3 3 3" xfId="14669"/>
    <cellStyle name="Normal 41 2 3 3 4" xfId="20184"/>
    <cellStyle name="Normal 41 2 3 3 5" xfId="12282"/>
    <cellStyle name="Normal 41 2 3 4" xfId="7447"/>
    <cellStyle name="Normal 41 2 3 4 2" xfId="21554"/>
    <cellStyle name="Normal 41 2 3 4 3" xfId="16081"/>
    <cellStyle name="Normal 41 2 3 5" xfId="14667"/>
    <cellStyle name="Normal 41 2 3 6" xfId="20182"/>
    <cellStyle name="Normal 41 2 3 7" xfId="23951"/>
    <cellStyle name="Normal 41 2 3 8" xfId="10694"/>
    <cellStyle name="Normal 41 2 4" xfId="5330"/>
    <cellStyle name="Normal 41 2 4 2" xfId="5331"/>
    <cellStyle name="Normal 41 2 4 2 2" xfId="8499"/>
    <cellStyle name="Normal 41 2 4 2 2 2" xfId="22606"/>
    <cellStyle name="Normal 41 2 4 2 2 3" xfId="17133"/>
    <cellStyle name="Normal 41 2 4 2 3" xfId="14671"/>
    <cellStyle name="Normal 41 2 4 2 4" xfId="20186"/>
    <cellStyle name="Normal 41 2 4 2 5" xfId="11747"/>
    <cellStyle name="Normal 41 2 4 3" xfId="7707"/>
    <cellStyle name="Normal 41 2 4 3 2" xfId="21814"/>
    <cellStyle name="Normal 41 2 4 3 3" xfId="16341"/>
    <cellStyle name="Normal 41 2 4 4" xfId="14670"/>
    <cellStyle name="Normal 41 2 4 5" xfId="20185"/>
    <cellStyle name="Normal 41 2 4 6" xfId="10954"/>
    <cellStyle name="Normal 41 2 5" xfId="5332"/>
    <cellStyle name="Normal 41 2 5 2" xfId="6425"/>
    <cellStyle name="Normal 41 2 5 2 2" xfId="8861"/>
    <cellStyle name="Normal 41 2 5 2 2 2" xfId="22962"/>
    <cellStyle name="Normal 41 2 5 2 2 3" xfId="17495"/>
    <cellStyle name="Normal 41 2 5 2 3" xfId="15254"/>
    <cellStyle name="Normal 41 2 5 2 4" xfId="20748"/>
    <cellStyle name="Normal 41 2 5 2 5" xfId="12105"/>
    <cellStyle name="Normal 41 2 5 3" xfId="7271"/>
    <cellStyle name="Normal 41 2 5 3 2" xfId="21378"/>
    <cellStyle name="Normal 41 2 5 3 3" xfId="15905"/>
    <cellStyle name="Normal 41 2 5 4" xfId="14672"/>
    <cellStyle name="Normal 41 2 5 5" xfId="20187"/>
    <cellStyle name="Normal 41 2 5 6" xfId="10518"/>
    <cellStyle name="Normal 41 2 6" xfId="5333"/>
    <cellStyle name="Normal 41 2 6 2" xfId="8063"/>
    <cellStyle name="Normal 41 2 6 2 2" xfId="22170"/>
    <cellStyle name="Normal 41 2 6 2 3" xfId="16697"/>
    <cellStyle name="Normal 41 2 6 3" xfId="14673"/>
    <cellStyle name="Normal 41 2 6 4" xfId="20188"/>
    <cellStyle name="Normal 41 2 6 5" xfId="11310"/>
    <cellStyle name="Normal 41 2 7" xfId="5334"/>
    <cellStyle name="Normal 41 2 8" xfId="6911"/>
    <cellStyle name="Normal 41 2 8 2" xfId="21022"/>
    <cellStyle name="Normal 41 2 8 3" xfId="15549"/>
    <cellStyle name="Normal 41 2 9" xfId="10162"/>
    <cellStyle name="Normal 41 3" xfId="3074"/>
    <cellStyle name="Normal 41 3 2" xfId="5335"/>
    <cellStyle name="Normal 41 3 3" xfId="6146"/>
    <cellStyle name="Normal 41 3 4" xfId="42024"/>
    <cellStyle name="Normal 41 4" xfId="3061"/>
    <cellStyle name="Normal 41 4 2" xfId="5336"/>
    <cellStyle name="Normal 41 4 3" xfId="6192"/>
    <cellStyle name="Normal 41 5" xfId="2658"/>
    <cellStyle name="Normal 41 5 2" xfId="5337"/>
    <cellStyle name="Normal 41 5 3" xfId="5338"/>
    <cellStyle name="Normal 41 5 3 2" xfId="6553"/>
    <cellStyle name="Normal 41 5 4" xfId="42025"/>
    <cellStyle name="Normal 41 6" xfId="3116"/>
    <cellStyle name="Normal 41 6 2" xfId="5339"/>
    <cellStyle name="Normal 41 6 2 2" xfId="9521"/>
    <cellStyle name="Normal 41 6 2 2 2" xfId="23567"/>
    <cellStyle name="Normal 41 6 2 2 3" xfId="18121"/>
    <cellStyle name="Normal 41 6 2 3" xfId="14674"/>
    <cellStyle name="Normal 41 6 2 4" xfId="20189"/>
    <cellStyle name="Normal 41 6 2 5" xfId="24256"/>
    <cellStyle name="Normal 41 6 2 6" xfId="12721"/>
    <cellStyle name="Normal 41 6 3" xfId="6238"/>
    <cellStyle name="Normal 41 6 3 2" xfId="42026"/>
    <cellStyle name="Normal 41 6 4" xfId="8693"/>
    <cellStyle name="Normal 41 6 4 2" xfId="17327"/>
    <cellStyle name="Normal 41 6 5" xfId="9823"/>
    <cellStyle name="Normal 41 6 5 2" xfId="12927"/>
    <cellStyle name="Normal 41 6 6" xfId="10036"/>
    <cellStyle name="Normal 41 6 6 2" xfId="18475"/>
    <cellStyle name="Normal 41 6 7" xfId="24052"/>
    <cellStyle name="Normal 41 7" xfId="5340"/>
    <cellStyle name="Normal 41 7 2" xfId="9335"/>
    <cellStyle name="Normal 41 7 2 2" xfId="23409"/>
    <cellStyle name="Normal 41 7 2 3" xfId="17961"/>
    <cellStyle name="Normal 41 7 3" xfId="14675"/>
    <cellStyle name="Normal 41 7 4" xfId="20190"/>
    <cellStyle name="Normal 41 7 5" xfId="23768"/>
    <cellStyle name="Normal 41 7 6" xfId="12557"/>
    <cellStyle name="Normal 41 8" xfId="9640"/>
    <cellStyle name="Normal 41 8 2" xfId="24098"/>
    <cellStyle name="Normal 41 8 3" xfId="12765"/>
    <cellStyle name="Normal 41 9" xfId="9875"/>
    <cellStyle name="Normal 41 9 2" xfId="18315"/>
    <cellStyle name="Normal 42" xfId="1262"/>
    <cellStyle name="Normal 42 10" xfId="1837"/>
    <cellStyle name="Normal 42 2" xfId="1516"/>
    <cellStyle name="Normal 42 2 10" xfId="2411"/>
    <cellStyle name="Normal 42 2 2" xfId="2978"/>
    <cellStyle name="Normal 42 2 2 2" xfId="5341"/>
    <cellStyle name="Normal 42 2 2 2 2" xfId="5342"/>
    <cellStyle name="Normal 42 2 2 2 2 2" xfId="8670"/>
    <cellStyle name="Normal 42 2 2 2 2 2 2" xfId="22777"/>
    <cellStyle name="Normal 42 2 2 2 2 2 3" xfId="17304"/>
    <cellStyle name="Normal 42 2 2 2 2 3" xfId="14677"/>
    <cellStyle name="Normal 42 2 2 2 2 4" xfId="20192"/>
    <cellStyle name="Normal 42 2 2 2 2 5" xfId="11918"/>
    <cellStyle name="Normal 42 2 2 2 3" xfId="7878"/>
    <cellStyle name="Normal 42 2 2 2 3 2" xfId="21985"/>
    <cellStyle name="Normal 42 2 2 2 3 3" xfId="16512"/>
    <cellStyle name="Normal 42 2 2 2 4" xfId="14676"/>
    <cellStyle name="Normal 42 2 2 2 5" xfId="20191"/>
    <cellStyle name="Normal 42 2 2 2 6" xfId="11125"/>
    <cellStyle name="Normal 42 2 2 3" xfId="5343"/>
    <cellStyle name="Normal 42 2 2 3 2" xfId="6609"/>
    <cellStyle name="Normal 42 2 2 3 2 2" xfId="9208"/>
    <cellStyle name="Normal 42 2 2 3 2 2 2" xfId="23309"/>
    <cellStyle name="Normal 42 2 2 3 2 2 3" xfId="17842"/>
    <cellStyle name="Normal 42 2 2 3 2 3" xfId="15394"/>
    <cellStyle name="Normal 42 2 2 3 2 4" xfId="20887"/>
    <cellStyle name="Normal 42 2 2 3 2 5" xfId="12453"/>
    <cellStyle name="Normal 42 2 2 3 3" xfId="7618"/>
    <cellStyle name="Normal 42 2 2 3 3 2" xfId="21725"/>
    <cellStyle name="Normal 42 2 2 3 3 3" xfId="16252"/>
    <cellStyle name="Normal 42 2 2 3 4" xfId="14678"/>
    <cellStyle name="Normal 42 2 2 3 5" xfId="20193"/>
    <cellStyle name="Normal 42 2 2 3 6" xfId="10865"/>
    <cellStyle name="Normal 42 2 2 4" xfId="5344"/>
    <cellStyle name="Normal 42 2 2 4 2" xfId="8410"/>
    <cellStyle name="Normal 42 2 2 4 2 2" xfId="22517"/>
    <cellStyle name="Normal 42 2 2 4 2 3" xfId="17044"/>
    <cellStyle name="Normal 42 2 2 4 3" xfId="14679"/>
    <cellStyle name="Normal 42 2 2 4 4" xfId="20194"/>
    <cellStyle name="Normal 42 2 2 4 5" xfId="11658"/>
    <cellStyle name="Normal 42 2 2 5" xfId="5345"/>
    <cellStyle name="Normal 42 2 2 6" xfId="7085"/>
    <cellStyle name="Normal 42 2 2 6 2" xfId="21193"/>
    <cellStyle name="Normal 42 2 2 6 3" xfId="15720"/>
    <cellStyle name="Normal 42 2 2 7" xfId="10333"/>
    <cellStyle name="Normal 42 2 2 8" xfId="42027"/>
    <cellStyle name="Normal 42 2 3" xfId="5346"/>
    <cellStyle name="Normal 42 2 3 2" xfId="5347"/>
    <cellStyle name="Normal 42 2 3 2 2" xfId="8234"/>
    <cellStyle name="Normal 42 2 3 2 2 2" xfId="22341"/>
    <cellStyle name="Normal 42 2 3 2 2 3" xfId="16868"/>
    <cellStyle name="Normal 42 2 3 2 3" xfId="14681"/>
    <cellStyle name="Normal 42 2 3 2 4" xfId="20196"/>
    <cellStyle name="Normal 42 2 3 2 5" xfId="11481"/>
    <cellStyle name="Normal 42 2 3 3" xfId="5348"/>
    <cellStyle name="Normal 42 2 3 3 2" xfId="9032"/>
    <cellStyle name="Normal 42 2 3 3 2 2" xfId="23133"/>
    <cellStyle name="Normal 42 2 3 3 2 3" xfId="17666"/>
    <cellStyle name="Normal 42 2 3 3 3" xfId="14682"/>
    <cellStyle name="Normal 42 2 3 3 4" xfId="20197"/>
    <cellStyle name="Normal 42 2 3 3 5" xfId="12277"/>
    <cellStyle name="Normal 42 2 3 4" xfId="7442"/>
    <cellStyle name="Normal 42 2 3 4 2" xfId="21549"/>
    <cellStyle name="Normal 42 2 3 4 3" xfId="16076"/>
    <cellStyle name="Normal 42 2 3 5" xfId="14680"/>
    <cellStyle name="Normal 42 2 3 6" xfId="20195"/>
    <cellStyle name="Normal 42 2 3 7" xfId="23952"/>
    <cellStyle name="Normal 42 2 3 8" xfId="10689"/>
    <cellStyle name="Normal 42 2 4" xfId="5349"/>
    <cellStyle name="Normal 42 2 4 2" xfId="5350"/>
    <cellStyle name="Normal 42 2 4 2 2" xfId="8494"/>
    <cellStyle name="Normal 42 2 4 2 2 2" xfId="22601"/>
    <cellStyle name="Normal 42 2 4 2 2 3" xfId="17128"/>
    <cellStyle name="Normal 42 2 4 2 3" xfId="14684"/>
    <cellStyle name="Normal 42 2 4 2 4" xfId="20199"/>
    <cellStyle name="Normal 42 2 4 2 5" xfId="11742"/>
    <cellStyle name="Normal 42 2 4 3" xfId="7702"/>
    <cellStyle name="Normal 42 2 4 3 2" xfId="21809"/>
    <cellStyle name="Normal 42 2 4 3 3" xfId="16336"/>
    <cellStyle name="Normal 42 2 4 4" xfId="14683"/>
    <cellStyle name="Normal 42 2 4 5" xfId="20198"/>
    <cellStyle name="Normal 42 2 4 6" xfId="10949"/>
    <cellStyle name="Normal 42 2 5" xfId="5351"/>
    <cellStyle name="Normal 42 2 5 2" xfId="6420"/>
    <cellStyle name="Normal 42 2 5 2 2" xfId="8856"/>
    <cellStyle name="Normal 42 2 5 2 2 2" xfId="22957"/>
    <cellStyle name="Normal 42 2 5 2 2 3" xfId="17490"/>
    <cellStyle name="Normal 42 2 5 2 3" xfId="15249"/>
    <cellStyle name="Normal 42 2 5 2 4" xfId="20743"/>
    <cellStyle name="Normal 42 2 5 2 5" xfId="12100"/>
    <cellStyle name="Normal 42 2 5 3" xfId="7266"/>
    <cellStyle name="Normal 42 2 5 3 2" xfId="21373"/>
    <cellStyle name="Normal 42 2 5 3 3" xfId="15900"/>
    <cellStyle name="Normal 42 2 5 4" xfId="14685"/>
    <cellStyle name="Normal 42 2 5 5" xfId="20200"/>
    <cellStyle name="Normal 42 2 5 6" xfId="10513"/>
    <cellStyle name="Normal 42 2 6" xfId="5352"/>
    <cellStyle name="Normal 42 2 6 2" xfId="8058"/>
    <cellStyle name="Normal 42 2 6 2 2" xfId="22165"/>
    <cellStyle name="Normal 42 2 6 2 3" xfId="16692"/>
    <cellStyle name="Normal 42 2 6 3" xfId="14686"/>
    <cellStyle name="Normal 42 2 6 4" xfId="20201"/>
    <cellStyle name="Normal 42 2 6 5" xfId="11305"/>
    <cellStyle name="Normal 42 2 7" xfId="5353"/>
    <cellStyle name="Normal 42 2 8" xfId="6906"/>
    <cellStyle name="Normal 42 2 8 2" xfId="21017"/>
    <cellStyle name="Normal 42 2 8 3" xfId="15544"/>
    <cellStyle name="Normal 42 2 9" xfId="10157"/>
    <cellStyle name="Normal 42 3" xfId="2682"/>
    <cellStyle name="Normal 42 3 2" xfId="5354"/>
    <cellStyle name="Normal 42 3 3" xfId="6150"/>
    <cellStyle name="Normal 42 3 4" xfId="42028"/>
    <cellStyle name="Normal 42 4" xfId="3117"/>
    <cellStyle name="Normal 42 4 2" xfId="5355"/>
    <cellStyle name="Normal 42 4 2 2" xfId="9522"/>
    <cellStyle name="Normal 42 4 2 2 2" xfId="23568"/>
    <cellStyle name="Normal 42 4 2 2 3" xfId="18122"/>
    <cellStyle name="Normal 42 4 2 3" xfId="14687"/>
    <cellStyle name="Normal 42 4 2 4" xfId="20202"/>
    <cellStyle name="Normal 42 4 2 5" xfId="24257"/>
    <cellStyle name="Normal 42 4 2 6" xfId="12722"/>
    <cellStyle name="Normal 42 4 3" xfId="6190"/>
    <cellStyle name="Normal 42 4 3 2" xfId="42029"/>
    <cellStyle name="Normal 42 4 4" xfId="9824"/>
    <cellStyle name="Normal 42 4 4 2" xfId="12928"/>
    <cellStyle name="Normal 42 4 5" xfId="10037"/>
    <cellStyle name="Normal 42 4 5 2" xfId="18476"/>
    <cellStyle name="Normal 42 4 6" xfId="24053"/>
    <cellStyle name="Normal 42 5" xfId="5356"/>
    <cellStyle name="Normal 42 5 2" xfId="5357"/>
    <cellStyle name="Normal 42 5 3" xfId="5358"/>
    <cellStyle name="Normal 42 5 3 2" xfId="6547"/>
    <cellStyle name="Normal 42 5 4" xfId="23771"/>
    <cellStyle name="Normal 42 6" xfId="5359"/>
    <cellStyle name="Normal 42 6 2" xfId="6232"/>
    <cellStyle name="Normal 42 6 3" xfId="24101"/>
    <cellStyle name="Normal 42 7" xfId="5360"/>
    <cellStyle name="Normal 42 7 2" xfId="9338"/>
    <cellStyle name="Normal 42 7 2 2" xfId="23412"/>
    <cellStyle name="Normal 42 7 2 3" xfId="17964"/>
    <cellStyle name="Normal 42 7 3" xfId="14688"/>
    <cellStyle name="Normal 42 7 4" xfId="20203"/>
    <cellStyle name="Normal 42 7 5" xfId="12560"/>
    <cellStyle name="Normal 42 8" xfId="9643"/>
    <cellStyle name="Normal 42 8 2" xfId="12768"/>
    <cellStyle name="Normal 42 9" xfId="9878"/>
    <cellStyle name="Normal 42 9 2" xfId="18318"/>
    <cellStyle name="Normal 43" xfId="1232"/>
    <cellStyle name="Normal 43 2" xfId="1517"/>
    <cellStyle name="Normal 43 2 2" xfId="2979"/>
    <cellStyle name="Normal 43 2 2 2" xfId="42030"/>
    <cellStyle name="Normal 43 2 3" xfId="23953"/>
    <cellStyle name="Normal 43 2 4" xfId="2416"/>
    <cellStyle name="Normal 43 3" xfId="2697"/>
    <cellStyle name="Normal 43 3 2" xfId="42031"/>
    <cellStyle name="Normal 43 4" xfId="3118"/>
    <cellStyle name="Normal 43 4 2" xfId="5361"/>
    <cellStyle name="Normal 43 4 2 2" xfId="24258"/>
    <cellStyle name="Normal 43 4 3" xfId="5362"/>
    <cellStyle name="Normal 43 4 3 2" xfId="6538"/>
    <cellStyle name="Normal 43 4 3 3" xfId="42032"/>
    <cellStyle name="Normal 43 4 4" xfId="5363"/>
    <cellStyle name="Normal 43 4 4 2" xfId="9523"/>
    <cellStyle name="Normal 43 4 4 2 2" xfId="23569"/>
    <cellStyle name="Normal 43 4 4 2 3" xfId="18123"/>
    <cellStyle name="Normal 43 4 4 3" xfId="14689"/>
    <cellStyle name="Normal 43 4 4 4" xfId="20204"/>
    <cellStyle name="Normal 43 4 4 5" xfId="12723"/>
    <cellStyle name="Normal 43 4 5" xfId="9825"/>
    <cellStyle name="Normal 43 4 5 2" xfId="12929"/>
    <cellStyle name="Normal 43 4 6" xfId="10038"/>
    <cellStyle name="Normal 43 4 6 2" xfId="18477"/>
    <cellStyle name="Normal 43 4 7" xfId="24054"/>
    <cellStyle name="Normal 43 5" xfId="5364"/>
    <cellStyle name="Normal 43 5 2" xfId="6223"/>
    <cellStyle name="Normal 43 5 3" xfId="23775"/>
    <cellStyle name="Normal 43 6" xfId="5365"/>
    <cellStyle name="Normal 43 6 2" xfId="9341"/>
    <cellStyle name="Normal 43 6 2 2" xfId="23415"/>
    <cellStyle name="Normal 43 6 2 3" xfId="17967"/>
    <cellStyle name="Normal 43 6 3" xfId="14690"/>
    <cellStyle name="Normal 43 6 4" xfId="20205"/>
    <cellStyle name="Normal 43 6 5" xfId="24104"/>
    <cellStyle name="Normal 43 6 6" xfId="12564"/>
    <cellStyle name="Normal 43 7" xfId="9646"/>
    <cellStyle name="Normal 43 7 2" xfId="12771"/>
    <cellStyle name="Normal 43 8" xfId="9881"/>
    <cellStyle name="Normal 43 8 2" xfId="18321"/>
    <cellStyle name="Normal 43 9" xfId="1841"/>
    <cellStyle name="Normal 44" xfId="1261"/>
    <cellStyle name="Normal 44 2" xfId="1518"/>
    <cellStyle name="Normal 44 2 2" xfId="2980"/>
    <cellStyle name="Normal 44 2 2 2" xfId="42033"/>
    <cellStyle name="Normal 44 2 3" xfId="23950"/>
    <cellStyle name="Normal 44 2 4" xfId="2403"/>
    <cellStyle name="Normal 44 3" xfId="2614"/>
    <cellStyle name="Normal 44 3 2" xfId="42034"/>
    <cellStyle name="Normal 44 4" xfId="3119"/>
    <cellStyle name="Normal 44 4 2" xfId="5366"/>
    <cellStyle name="Normal 44 4 2 2" xfId="24259"/>
    <cellStyle name="Normal 44 4 3" xfId="5367"/>
    <cellStyle name="Normal 44 4 3 2" xfId="6552"/>
    <cellStyle name="Normal 44 4 3 3" xfId="42035"/>
    <cellStyle name="Normal 44 4 4" xfId="5368"/>
    <cellStyle name="Normal 44 4 4 2" xfId="9524"/>
    <cellStyle name="Normal 44 4 4 2 2" xfId="23570"/>
    <cellStyle name="Normal 44 4 4 2 3" xfId="18124"/>
    <cellStyle name="Normal 44 4 4 3" xfId="14691"/>
    <cellStyle name="Normal 44 4 4 4" xfId="20206"/>
    <cellStyle name="Normal 44 4 4 5" xfId="12724"/>
    <cellStyle name="Normal 44 4 5" xfId="9826"/>
    <cellStyle name="Normal 44 4 5 2" xfId="12930"/>
    <cellStyle name="Normal 44 4 6" xfId="10039"/>
    <cellStyle name="Normal 44 4 6 2" xfId="18478"/>
    <cellStyle name="Normal 44 4 7" xfId="24055"/>
    <cellStyle name="Normal 44 5" xfId="5369"/>
    <cellStyle name="Normal 44 5 2" xfId="6237"/>
    <cellStyle name="Normal 44 5 3" xfId="23779"/>
    <cellStyle name="Normal 44 6" xfId="5370"/>
    <cellStyle name="Normal 44 6 2" xfId="9344"/>
    <cellStyle name="Normal 44 6 2 2" xfId="23418"/>
    <cellStyle name="Normal 44 6 2 3" xfId="17970"/>
    <cellStyle name="Normal 44 6 3" xfId="14692"/>
    <cellStyle name="Normal 44 6 4" xfId="20207"/>
    <cellStyle name="Normal 44 6 5" xfId="24107"/>
    <cellStyle name="Normal 44 6 6" xfId="12567"/>
    <cellStyle name="Normal 44 7" xfId="9649"/>
    <cellStyle name="Normal 44 7 2" xfId="12774"/>
    <cellStyle name="Normal 44 8" xfId="9884"/>
    <cellStyle name="Normal 44 8 2" xfId="18324"/>
    <cellStyle name="Normal 44 9" xfId="1845"/>
    <cellStyle name="Normal 45" xfId="1199"/>
    <cellStyle name="Normal 45 2" xfId="1519"/>
    <cellStyle name="Normal 45 2 2" xfId="2981"/>
    <cellStyle name="Normal 45 2 2 2" xfId="42036"/>
    <cellStyle name="Normal 45 2 3" xfId="23955"/>
    <cellStyle name="Normal 45 2 4" xfId="2433"/>
    <cellStyle name="Normal 45 3" xfId="2636"/>
    <cellStyle name="Normal 45 3 2" xfId="42037"/>
    <cellStyle name="Normal 45 4" xfId="3120"/>
    <cellStyle name="Normal 45 4 2" xfId="5371"/>
    <cellStyle name="Normal 45 4 2 2" xfId="24260"/>
    <cellStyle name="Normal 45 4 3" xfId="5372"/>
    <cellStyle name="Normal 45 4 3 2" xfId="6549"/>
    <cellStyle name="Normal 45 4 3 3" xfId="42038"/>
    <cellStyle name="Normal 45 4 4" xfId="5373"/>
    <cellStyle name="Normal 45 4 4 2" xfId="9525"/>
    <cellStyle name="Normal 45 4 4 2 2" xfId="23571"/>
    <cellStyle name="Normal 45 4 4 2 3" xfId="18125"/>
    <cellStyle name="Normal 45 4 4 3" xfId="14693"/>
    <cellStyle name="Normal 45 4 4 4" xfId="20208"/>
    <cellStyle name="Normal 45 4 4 5" xfId="12725"/>
    <cellStyle name="Normal 45 4 5" xfId="9827"/>
    <cellStyle name="Normal 45 4 5 2" xfId="12931"/>
    <cellStyle name="Normal 45 4 6" xfId="10040"/>
    <cellStyle name="Normal 45 4 6 2" xfId="18479"/>
    <cellStyle name="Normal 45 4 7" xfId="24056"/>
    <cellStyle name="Normal 45 5" xfId="5374"/>
    <cellStyle name="Normal 45 5 2" xfId="6234"/>
    <cellStyle name="Normal 45 5 3" xfId="23783"/>
    <cellStyle name="Normal 45 6" xfId="5375"/>
    <cellStyle name="Normal 45 6 2" xfId="9347"/>
    <cellStyle name="Normal 45 6 2 2" xfId="23421"/>
    <cellStyle name="Normal 45 6 2 3" xfId="17973"/>
    <cellStyle name="Normal 45 6 3" xfId="14694"/>
    <cellStyle name="Normal 45 6 4" xfId="20209"/>
    <cellStyle name="Normal 45 6 5" xfId="24110"/>
    <cellStyle name="Normal 45 6 6" xfId="12570"/>
    <cellStyle name="Normal 45 7" xfId="9652"/>
    <cellStyle name="Normal 45 7 2" xfId="12777"/>
    <cellStyle name="Normal 45 8" xfId="9887"/>
    <cellStyle name="Normal 45 8 2" xfId="18327"/>
    <cellStyle name="Normal 45 9" xfId="1849"/>
    <cellStyle name="Normal 46" xfId="1198"/>
    <cellStyle name="Normal 46 2" xfId="2414"/>
    <cellStyle name="Normal 46 2 2" xfId="2632"/>
    <cellStyle name="Normal 46 2 2 2" xfId="42039"/>
    <cellStyle name="Normal 46 3" xfId="3121"/>
    <cellStyle name="Normal 46 3 2" xfId="5376"/>
    <cellStyle name="Normal 46 3 2 2" xfId="9526"/>
    <cellStyle name="Normal 46 3 2 2 2" xfId="23572"/>
    <cellStyle name="Normal 46 3 2 2 3" xfId="18126"/>
    <cellStyle name="Normal 46 3 2 3" xfId="14695"/>
    <cellStyle name="Normal 46 3 2 4" xfId="20210"/>
    <cellStyle name="Normal 46 3 2 5" xfId="24261"/>
    <cellStyle name="Normal 46 3 2 6" xfId="12726"/>
    <cellStyle name="Normal 46 3 3" xfId="6186"/>
    <cellStyle name="Normal 46 3 3 2" xfId="42040"/>
    <cellStyle name="Normal 46 3 4" xfId="9828"/>
    <cellStyle name="Normal 46 3 4 2" xfId="12932"/>
    <cellStyle name="Normal 46 3 5" xfId="10041"/>
    <cellStyle name="Normal 46 3 5 2" xfId="18480"/>
    <cellStyle name="Normal 46 3 6" xfId="24057"/>
    <cellStyle name="Normal 46 4" xfId="5377"/>
    <cellStyle name="Normal 46 4 2" xfId="5378"/>
    <cellStyle name="Normal 46 4 3" xfId="5379"/>
    <cellStyle name="Normal 46 4 3 2" xfId="6535"/>
    <cellStyle name="Normal 46 4 4" xfId="23787"/>
    <cellStyle name="Normal 46 5" xfId="5380"/>
    <cellStyle name="Normal 46 5 2" xfId="6220"/>
    <cellStyle name="Normal 46 5 3" xfId="24113"/>
    <cellStyle name="Normal 46 6" xfId="5381"/>
    <cellStyle name="Normal 46 6 2" xfId="9350"/>
    <cellStyle name="Normal 46 6 2 2" xfId="23424"/>
    <cellStyle name="Normal 46 6 2 3" xfId="17976"/>
    <cellStyle name="Normal 46 6 3" xfId="14696"/>
    <cellStyle name="Normal 46 6 4" xfId="20211"/>
    <cellStyle name="Normal 46 6 5" xfId="12573"/>
    <cellStyle name="Normal 46 7" xfId="9655"/>
    <cellStyle name="Normal 46 7 2" xfId="12780"/>
    <cellStyle name="Normal 46 8" xfId="9890"/>
    <cellStyle name="Normal 46 8 2" xfId="18330"/>
    <cellStyle name="Normal 46 9" xfId="1853"/>
    <cellStyle name="Normal 47" xfId="1205"/>
    <cellStyle name="Normal 47 2" xfId="2440"/>
    <cellStyle name="Normal 47 2 2" xfId="2670"/>
    <cellStyle name="Normal 47 2 2 2" xfId="42041"/>
    <cellStyle name="Normal 47 3" xfId="3122"/>
    <cellStyle name="Normal 47 3 2" xfId="5382"/>
    <cellStyle name="Normal 47 3 2 2" xfId="9527"/>
    <cellStyle name="Normal 47 3 2 2 2" xfId="23573"/>
    <cellStyle name="Normal 47 3 2 2 3" xfId="18127"/>
    <cellStyle name="Normal 47 3 2 3" xfId="14697"/>
    <cellStyle name="Normal 47 3 2 4" xfId="20212"/>
    <cellStyle name="Normal 47 3 2 5" xfId="24262"/>
    <cellStyle name="Normal 47 3 2 6" xfId="12727"/>
    <cellStyle name="Normal 47 3 3" xfId="6193"/>
    <cellStyle name="Normal 47 3 3 2" xfId="42042"/>
    <cellStyle name="Normal 47 3 4" xfId="9829"/>
    <cellStyle name="Normal 47 3 4 2" xfId="12933"/>
    <cellStyle name="Normal 47 3 5" xfId="10042"/>
    <cellStyle name="Normal 47 3 5 2" xfId="18481"/>
    <cellStyle name="Normal 47 3 6" xfId="24058"/>
    <cellStyle name="Normal 47 4" xfId="5383"/>
    <cellStyle name="Normal 47 4 2" xfId="5384"/>
    <cellStyle name="Normal 47 4 3" xfId="5385"/>
    <cellStyle name="Normal 47 4 3 2" xfId="6555"/>
    <cellStyle name="Normal 47 4 4" xfId="23791"/>
    <cellStyle name="Normal 47 5" xfId="5386"/>
    <cellStyle name="Normal 47 5 2" xfId="6240"/>
    <cellStyle name="Normal 47 5 3" xfId="24116"/>
    <cellStyle name="Normal 47 6" xfId="5387"/>
    <cellStyle name="Normal 47 6 2" xfId="9353"/>
    <cellStyle name="Normal 47 6 2 2" xfId="23427"/>
    <cellStyle name="Normal 47 6 2 3" xfId="17979"/>
    <cellStyle name="Normal 47 6 3" xfId="14698"/>
    <cellStyle name="Normal 47 6 4" xfId="20213"/>
    <cellStyle name="Normal 47 6 5" xfId="12576"/>
    <cellStyle name="Normal 47 7" xfId="9658"/>
    <cellStyle name="Normal 47 7 2" xfId="12783"/>
    <cellStyle name="Normal 47 8" xfId="9893"/>
    <cellStyle name="Normal 47 8 2" xfId="18333"/>
    <cellStyle name="Normal 47 9" xfId="1857"/>
    <cellStyle name="Normal 48" xfId="1259"/>
    <cellStyle name="Normal 48 2" xfId="2445"/>
    <cellStyle name="Normal 48 2 2" xfId="2690"/>
    <cellStyle name="Normal 48 2 2 2" xfId="42043"/>
    <cellStyle name="Normal 48 3" xfId="3123"/>
    <cellStyle name="Normal 48 3 2" xfId="5388"/>
    <cellStyle name="Normal 48 3 2 2" xfId="9528"/>
    <cellStyle name="Normal 48 3 2 2 2" xfId="23574"/>
    <cellStyle name="Normal 48 3 2 2 3" xfId="18128"/>
    <cellStyle name="Normal 48 3 2 3" xfId="14699"/>
    <cellStyle name="Normal 48 3 2 4" xfId="20214"/>
    <cellStyle name="Normal 48 3 2 5" xfId="24263"/>
    <cellStyle name="Normal 48 3 2 6" xfId="12728"/>
    <cellStyle name="Normal 48 3 3" xfId="6189"/>
    <cellStyle name="Normal 48 3 3 2" xfId="42044"/>
    <cellStyle name="Normal 48 3 4" xfId="9830"/>
    <cellStyle name="Normal 48 3 4 2" xfId="12934"/>
    <cellStyle name="Normal 48 3 5" xfId="10043"/>
    <cellStyle name="Normal 48 3 5 2" xfId="18482"/>
    <cellStyle name="Normal 48 3 6" xfId="24059"/>
    <cellStyle name="Normal 48 4" xfId="5389"/>
    <cellStyle name="Normal 48 4 2" xfId="5390"/>
    <cellStyle name="Normal 48 4 3" xfId="5391"/>
    <cellStyle name="Normal 48 4 3 2" xfId="6541"/>
    <cellStyle name="Normal 48 4 4" xfId="23795"/>
    <cellStyle name="Normal 48 5" xfId="5392"/>
    <cellStyle name="Normal 48 5 2" xfId="6226"/>
    <cellStyle name="Normal 48 5 3" xfId="24119"/>
    <cellStyle name="Normal 48 6" xfId="5393"/>
    <cellStyle name="Normal 48 6 2" xfId="9356"/>
    <cellStyle name="Normal 48 6 2 2" xfId="23430"/>
    <cellStyle name="Normal 48 6 2 3" xfId="17982"/>
    <cellStyle name="Normal 48 6 3" xfId="14700"/>
    <cellStyle name="Normal 48 6 4" xfId="20215"/>
    <cellStyle name="Normal 48 6 5" xfId="12579"/>
    <cellStyle name="Normal 48 7" xfId="9661"/>
    <cellStyle name="Normal 48 7 2" xfId="12786"/>
    <cellStyle name="Normal 48 8" xfId="9896"/>
    <cellStyle name="Normal 48 8 2" xfId="18336"/>
    <cellStyle name="Normal 48 9" xfId="1861"/>
    <cellStyle name="Normal 49" xfId="1260"/>
    <cellStyle name="Normal 49 2" xfId="2444"/>
    <cellStyle name="Normal 49 2 2" xfId="2652"/>
    <cellStyle name="Normal 49 2 2 2" xfId="42045"/>
    <cellStyle name="Normal 49 2 3" xfId="42046"/>
    <cellStyle name="Normal 49 3" xfId="5394"/>
    <cellStyle name="Normal 49 3 2" xfId="23801"/>
    <cellStyle name="Normal 49 4" xfId="5395"/>
    <cellStyle name="Normal 49 4 2" xfId="5396"/>
    <cellStyle name="Normal 49 4 3" xfId="5397"/>
    <cellStyle name="Normal 49 4 3 2" xfId="6545"/>
    <cellStyle name="Normal 49 4 4" xfId="24124"/>
    <cellStyle name="Normal 49 5" xfId="5398"/>
    <cellStyle name="Normal 49 5 2" xfId="6230"/>
    <cellStyle name="Normal 49 5 3" xfId="42047"/>
    <cellStyle name="Normal 49 6" xfId="5399"/>
    <cellStyle name="Normal 49 6 2" xfId="9361"/>
    <cellStyle name="Normal 49 6 2 2" xfId="23435"/>
    <cellStyle name="Normal 49 6 2 3" xfId="17987"/>
    <cellStyle name="Normal 49 6 3" xfId="14701"/>
    <cellStyle name="Normal 49 6 4" xfId="20216"/>
    <cellStyle name="Normal 49 6 5" xfId="12584"/>
    <cellStyle name="Normal 49 7" xfId="9666"/>
    <cellStyle name="Normal 49 7 2" xfId="12791"/>
    <cellStyle name="Normal 49 8" xfId="9901"/>
    <cellStyle name="Normal 49 8 2" xfId="18341"/>
    <cellStyle name="Normal 49 9" xfId="1867"/>
    <cellStyle name="Normal 5" xfId="17"/>
    <cellStyle name="Normal 5 2" xfId="1550"/>
    <cellStyle name="Normal 5 2 2" xfId="3058"/>
    <cellStyle name="Normal 5 2 2 10" xfId="43779"/>
    <cellStyle name="Normal 5 2 2 11" xfId="43602"/>
    <cellStyle name="Normal 5 2 2 12" xfId="43466"/>
    <cellStyle name="Normal 5 2 2 13" xfId="43953"/>
    <cellStyle name="Normal 5 2 2 2" xfId="42050"/>
    <cellStyle name="Normal 5 2 2 2 10" xfId="43467"/>
    <cellStyle name="Normal 5 2 2 2 11" xfId="43954"/>
    <cellStyle name="Normal 5 2 2 2 2" xfId="42051"/>
    <cellStyle name="Normal 5 2 2 2 2 10" xfId="43955"/>
    <cellStyle name="Normal 5 2 2 2 2 2" xfId="42511"/>
    <cellStyle name="Normal 5 2 2 2 2 2 2" xfId="42707"/>
    <cellStyle name="Normal 5 2 2 2 2 2 3" xfId="42858"/>
    <cellStyle name="Normal 5 2 2 2 2 2 4" xfId="43657"/>
    <cellStyle name="Normal 5 2 2 2 2 2 5" xfId="43536"/>
    <cellStyle name="Normal 5 2 2 2 2 2 6" xfId="44021"/>
    <cellStyle name="Normal 5 2 2 2 2 3" xfId="42577"/>
    <cellStyle name="Normal 5 2 2 2 2 3 2" xfId="42926"/>
    <cellStyle name="Normal 5 2 2 2 2 4" xfId="42640"/>
    <cellStyle name="Normal 5 2 2 2 2 5" xfId="42787"/>
    <cellStyle name="Normal 5 2 2 2 2 6" xfId="43722"/>
    <cellStyle name="Normal 5 2 2 2 2 7" xfId="43781"/>
    <cellStyle name="Normal 5 2 2 2 2 8" xfId="43604"/>
    <cellStyle name="Normal 5 2 2 2 2 9" xfId="43468"/>
    <cellStyle name="Normal 5 2 2 2 3" xfId="42510"/>
    <cellStyle name="Normal 5 2 2 2 3 2" xfId="42706"/>
    <cellStyle name="Normal 5 2 2 2 3 3" xfId="42857"/>
    <cellStyle name="Normal 5 2 2 2 3 4" xfId="43656"/>
    <cellStyle name="Normal 5 2 2 2 3 5" xfId="43535"/>
    <cellStyle name="Normal 5 2 2 2 3 6" xfId="44020"/>
    <cellStyle name="Normal 5 2 2 2 4" xfId="42576"/>
    <cellStyle name="Normal 5 2 2 2 4 2" xfId="42925"/>
    <cellStyle name="Normal 5 2 2 2 5" xfId="42639"/>
    <cellStyle name="Normal 5 2 2 2 6" xfId="42786"/>
    <cellStyle name="Normal 5 2 2 2 7" xfId="43721"/>
    <cellStyle name="Normal 5 2 2 2 8" xfId="43780"/>
    <cellStyle name="Normal 5 2 2 2 9" xfId="43603"/>
    <cellStyle name="Normal 5 2 2 3" xfId="42052"/>
    <cellStyle name="Normal 5 2 2 3 10" xfId="43956"/>
    <cellStyle name="Normal 5 2 2 3 2" xfId="42512"/>
    <cellStyle name="Normal 5 2 2 3 2 2" xfId="42708"/>
    <cellStyle name="Normal 5 2 2 3 2 3" xfId="42859"/>
    <cellStyle name="Normal 5 2 2 3 2 4" xfId="43658"/>
    <cellStyle name="Normal 5 2 2 3 2 5" xfId="43537"/>
    <cellStyle name="Normal 5 2 2 3 2 6" xfId="44022"/>
    <cellStyle name="Normal 5 2 2 3 3" xfId="42578"/>
    <cellStyle name="Normal 5 2 2 3 3 2" xfId="42927"/>
    <cellStyle name="Normal 5 2 2 3 4" xfId="42641"/>
    <cellStyle name="Normal 5 2 2 3 5" xfId="42788"/>
    <cellStyle name="Normal 5 2 2 3 6" xfId="43723"/>
    <cellStyle name="Normal 5 2 2 3 7" xfId="43782"/>
    <cellStyle name="Normal 5 2 2 3 8" xfId="43605"/>
    <cellStyle name="Normal 5 2 2 3 9" xfId="43469"/>
    <cellStyle name="Normal 5 2 2 4" xfId="42053"/>
    <cellStyle name="Normal 5 2 2 4 10" xfId="43957"/>
    <cellStyle name="Normal 5 2 2 4 2" xfId="42513"/>
    <cellStyle name="Normal 5 2 2 4 2 2" xfId="42709"/>
    <cellStyle name="Normal 5 2 2 4 2 3" xfId="42860"/>
    <cellStyle name="Normal 5 2 2 4 2 4" xfId="43659"/>
    <cellStyle name="Normal 5 2 2 4 2 5" xfId="43538"/>
    <cellStyle name="Normal 5 2 2 4 2 6" xfId="44023"/>
    <cellStyle name="Normal 5 2 2 4 3" xfId="42579"/>
    <cellStyle name="Normal 5 2 2 4 3 2" xfId="42928"/>
    <cellStyle name="Normal 5 2 2 4 4" xfId="42642"/>
    <cellStyle name="Normal 5 2 2 4 5" xfId="42789"/>
    <cellStyle name="Normal 5 2 2 4 6" xfId="43724"/>
    <cellStyle name="Normal 5 2 2 4 7" xfId="43783"/>
    <cellStyle name="Normal 5 2 2 4 8" xfId="43606"/>
    <cellStyle name="Normal 5 2 2 4 9" xfId="43470"/>
    <cellStyle name="Normal 5 2 2 5" xfId="42509"/>
    <cellStyle name="Normal 5 2 2 5 2" xfId="42705"/>
    <cellStyle name="Normal 5 2 2 5 3" xfId="42856"/>
    <cellStyle name="Normal 5 2 2 5 4" xfId="43655"/>
    <cellStyle name="Normal 5 2 2 5 5" xfId="43534"/>
    <cellStyle name="Normal 5 2 2 5 6" xfId="44019"/>
    <cellStyle name="Normal 5 2 2 6" xfId="42575"/>
    <cellStyle name="Normal 5 2 2 6 2" xfId="42924"/>
    <cellStyle name="Normal 5 2 2 7" xfId="42638"/>
    <cellStyle name="Normal 5 2 2 8" xfId="42785"/>
    <cellStyle name="Normal 5 2 2 9" xfId="43720"/>
    <cellStyle name="Normal 5 2 3" xfId="42049"/>
    <cellStyle name="Normal 5 3" xfId="2072"/>
    <cellStyle name="Normal 5 3 2" xfId="3047"/>
    <cellStyle name="Normal 5 3 2 10" xfId="43784"/>
    <cellStyle name="Normal 5 3 2 11" xfId="43607"/>
    <cellStyle name="Normal 5 3 2 12" xfId="43471"/>
    <cellStyle name="Normal 5 3 2 13" xfId="43958"/>
    <cellStyle name="Normal 5 3 2 2" xfId="42055"/>
    <cellStyle name="Normal 5 3 2 2 10" xfId="43472"/>
    <cellStyle name="Normal 5 3 2 2 11" xfId="43959"/>
    <cellStyle name="Normal 5 3 2 2 2" xfId="42056"/>
    <cellStyle name="Normal 5 3 2 2 2 10" xfId="43960"/>
    <cellStyle name="Normal 5 3 2 2 2 2" xfId="42516"/>
    <cellStyle name="Normal 5 3 2 2 2 2 2" xfId="42712"/>
    <cellStyle name="Normal 5 3 2 2 2 2 3" xfId="42863"/>
    <cellStyle name="Normal 5 3 2 2 2 2 4" xfId="43662"/>
    <cellStyle name="Normal 5 3 2 2 2 2 5" xfId="43541"/>
    <cellStyle name="Normal 5 3 2 2 2 2 6" xfId="44026"/>
    <cellStyle name="Normal 5 3 2 2 2 3" xfId="42582"/>
    <cellStyle name="Normal 5 3 2 2 2 3 2" xfId="42931"/>
    <cellStyle name="Normal 5 3 2 2 2 4" xfId="42645"/>
    <cellStyle name="Normal 5 3 2 2 2 5" xfId="42792"/>
    <cellStyle name="Normal 5 3 2 2 2 6" xfId="43727"/>
    <cellStyle name="Normal 5 3 2 2 2 7" xfId="43786"/>
    <cellStyle name="Normal 5 3 2 2 2 8" xfId="43609"/>
    <cellStyle name="Normal 5 3 2 2 2 9" xfId="43473"/>
    <cellStyle name="Normal 5 3 2 2 3" xfId="42515"/>
    <cellStyle name="Normal 5 3 2 2 3 2" xfId="42711"/>
    <cellStyle name="Normal 5 3 2 2 3 3" xfId="42862"/>
    <cellStyle name="Normal 5 3 2 2 3 4" xfId="43661"/>
    <cellStyle name="Normal 5 3 2 2 3 5" xfId="43540"/>
    <cellStyle name="Normal 5 3 2 2 3 6" xfId="44025"/>
    <cellStyle name="Normal 5 3 2 2 4" xfId="42581"/>
    <cellStyle name="Normal 5 3 2 2 4 2" xfId="42930"/>
    <cellStyle name="Normal 5 3 2 2 5" xfId="42644"/>
    <cellStyle name="Normal 5 3 2 2 6" xfId="42791"/>
    <cellStyle name="Normal 5 3 2 2 7" xfId="43726"/>
    <cellStyle name="Normal 5 3 2 2 8" xfId="43785"/>
    <cellStyle name="Normal 5 3 2 2 9" xfId="43608"/>
    <cellStyle name="Normal 5 3 2 3" xfId="42057"/>
    <cellStyle name="Normal 5 3 2 3 10" xfId="43961"/>
    <cellStyle name="Normal 5 3 2 3 2" xfId="42517"/>
    <cellStyle name="Normal 5 3 2 3 2 2" xfId="42713"/>
    <cellStyle name="Normal 5 3 2 3 2 3" xfId="42864"/>
    <cellStyle name="Normal 5 3 2 3 2 4" xfId="43663"/>
    <cellStyle name="Normal 5 3 2 3 2 5" xfId="43542"/>
    <cellStyle name="Normal 5 3 2 3 2 6" xfId="44027"/>
    <cellStyle name="Normal 5 3 2 3 3" xfId="42583"/>
    <cellStyle name="Normal 5 3 2 3 3 2" xfId="42932"/>
    <cellStyle name="Normal 5 3 2 3 4" xfId="42646"/>
    <cellStyle name="Normal 5 3 2 3 5" xfId="42793"/>
    <cellStyle name="Normal 5 3 2 3 6" xfId="43728"/>
    <cellStyle name="Normal 5 3 2 3 7" xfId="43787"/>
    <cellStyle name="Normal 5 3 2 3 8" xfId="43610"/>
    <cellStyle name="Normal 5 3 2 3 9" xfId="43474"/>
    <cellStyle name="Normal 5 3 2 4" xfId="42058"/>
    <cellStyle name="Normal 5 3 2 4 10" xfId="43962"/>
    <cellStyle name="Normal 5 3 2 4 2" xfId="42518"/>
    <cellStyle name="Normal 5 3 2 4 2 2" xfId="42714"/>
    <cellStyle name="Normal 5 3 2 4 2 3" xfId="42865"/>
    <cellStyle name="Normal 5 3 2 4 2 4" xfId="43664"/>
    <cellStyle name="Normal 5 3 2 4 2 5" xfId="43543"/>
    <cellStyle name="Normal 5 3 2 4 2 6" xfId="44028"/>
    <cellStyle name="Normal 5 3 2 4 3" xfId="42584"/>
    <cellStyle name="Normal 5 3 2 4 3 2" xfId="42933"/>
    <cellStyle name="Normal 5 3 2 4 4" xfId="42647"/>
    <cellStyle name="Normal 5 3 2 4 5" xfId="42794"/>
    <cellStyle name="Normal 5 3 2 4 6" xfId="43729"/>
    <cellStyle name="Normal 5 3 2 4 7" xfId="43788"/>
    <cellStyle name="Normal 5 3 2 4 8" xfId="43611"/>
    <cellStyle name="Normal 5 3 2 4 9" xfId="43475"/>
    <cellStyle name="Normal 5 3 2 5" xfId="42514"/>
    <cellStyle name="Normal 5 3 2 5 2" xfId="42710"/>
    <cellStyle name="Normal 5 3 2 5 3" xfId="42861"/>
    <cellStyle name="Normal 5 3 2 5 4" xfId="43660"/>
    <cellStyle name="Normal 5 3 2 5 5" xfId="43539"/>
    <cellStyle name="Normal 5 3 2 5 6" xfId="44024"/>
    <cellStyle name="Normal 5 3 2 6" xfId="42580"/>
    <cellStyle name="Normal 5 3 2 6 2" xfId="42929"/>
    <cellStyle name="Normal 5 3 2 7" xfId="42643"/>
    <cellStyle name="Normal 5 3 2 8" xfId="42790"/>
    <cellStyle name="Normal 5 3 2 9" xfId="43725"/>
    <cellStyle name="Normal 5 3 3" xfId="42054"/>
    <cellStyle name="Normal 5 4" xfId="43063"/>
    <cellStyle name="Normal 5 5" xfId="43143"/>
    <cellStyle name="Normal 5 6" xfId="42048"/>
    <cellStyle name="Normal 5 7" xfId="430"/>
    <cellStyle name="Normal 5 8" xfId="73"/>
    <cellStyle name="Normal 50" xfId="1226"/>
    <cellStyle name="Normal 50 2" xfId="2679"/>
    <cellStyle name="Normal 50 2 2" xfId="5400"/>
    <cellStyle name="Normal 50 2 3" xfId="6152"/>
    <cellStyle name="Normal 50 2 4" xfId="42059"/>
    <cellStyle name="Normal 50 3" xfId="5401"/>
    <cellStyle name="Normal 50 3 2" xfId="23956"/>
    <cellStyle name="Normal 50 4" xfId="5402"/>
    <cellStyle name="Normal 50 4 2" xfId="5403"/>
    <cellStyle name="Normal 50 4 3" xfId="5404"/>
    <cellStyle name="Normal 50 4 3 2" xfId="6544"/>
    <cellStyle name="Normal 50 5" xfId="5405"/>
    <cellStyle name="Normal 50 5 2" xfId="6229"/>
    <cellStyle name="Normal 50 6" xfId="2443"/>
    <cellStyle name="Normal 51" xfId="1274"/>
    <cellStyle name="Normal 51 2" xfId="2916"/>
    <cellStyle name="Normal 51 2 2" xfId="5406"/>
    <cellStyle name="Normal 51 2 2 10" xfId="43476"/>
    <cellStyle name="Normal 51 2 2 11" xfId="43963"/>
    <cellStyle name="Normal 51 2 2 2" xfId="9461"/>
    <cellStyle name="Normal 51 2 2 2 10" xfId="43964"/>
    <cellStyle name="Normal 51 2 2 2 2" xfId="23511"/>
    <cellStyle name="Normal 51 2 2 2 2 2" xfId="42716"/>
    <cellStyle name="Normal 51 2 2 2 2 3" xfId="42867"/>
    <cellStyle name="Normal 51 2 2 2 2 4" xfId="42520"/>
    <cellStyle name="Normal 51 2 2 2 2 5" xfId="43545"/>
    <cellStyle name="Normal 51 2 2 2 2 6" xfId="44030"/>
    <cellStyle name="Normal 51 2 2 2 3" xfId="18065"/>
    <cellStyle name="Normal 51 2 2 2 3 2" xfId="42935"/>
    <cellStyle name="Normal 51 2 2 2 3 3" xfId="42586"/>
    <cellStyle name="Normal 51 2 2 2 4" xfId="42649"/>
    <cellStyle name="Normal 51 2 2 2 5" xfId="42796"/>
    <cellStyle name="Normal 51 2 2 2 6" xfId="42060"/>
    <cellStyle name="Normal 51 2 2 2 7" xfId="43790"/>
    <cellStyle name="Normal 51 2 2 2 8" xfId="43613"/>
    <cellStyle name="Normal 51 2 2 2 9" xfId="43477"/>
    <cellStyle name="Normal 51 2 2 3" xfId="14702"/>
    <cellStyle name="Normal 51 2 2 3 2" xfId="42715"/>
    <cellStyle name="Normal 51 2 2 3 3" xfId="42866"/>
    <cellStyle name="Normal 51 2 2 3 4" xfId="42519"/>
    <cellStyle name="Normal 51 2 2 3 5" xfId="43544"/>
    <cellStyle name="Normal 51 2 2 3 6" xfId="44029"/>
    <cellStyle name="Normal 51 2 2 4" xfId="20217"/>
    <cellStyle name="Normal 51 2 2 4 2" xfId="42934"/>
    <cellStyle name="Normal 51 2 2 4 3" xfId="42585"/>
    <cellStyle name="Normal 51 2 2 5" xfId="24200"/>
    <cellStyle name="Normal 51 2 2 5 2" xfId="42648"/>
    <cellStyle name="Normal 51 2 2 6" xfId="12665"/>
    <cellStyle name="Normal 51 2 2 6 2" xfId="42795"/>
    <cellStyle name="Normal 51 2 2 7" xfId="12660"/>
    <cellStyle name="Normal 51 2 2 8" xfId="43789"/>
    <cellStyle name="Normal 51 2 2 9" xfId="43612"/>
    <cellStyle name="Normal 51 2 3" xfId="6151"/>
    <cellStyle name="Normal 51 2 3 2" xfId="42061"/>
    <cellStyle name="Normal 51 2 4" xfId="9763"/>
    <cellStyle name="Normal 51 2 4 2" xfId="12867"/>
    <cellStyle name="Normal 51 2 5" xfId="9979"/>
    <cellStyle name="Normal 51 2 5 2" xfId="18418"/>
    <cellStyle name="Normal 51 2 5 3" xfId="42062"/>
    <cellStyle name="Normal 51 2 6" xfId="24011"/>
    <cellStyle name="Normal 51 3" xfId="2615"/>
    <cellStyle name="Normal 51 3 2" xfId="24624"/>
    <cellStyle name="Normal 51 3 2 10" xfId="43478"/>
    <cellStyle name="Normal 51 3 2 11" xfId="43965"/>
    <cellStyle name="Normal 51 3 2 2" xfId="42064"/>
    <cellStyle name="Normal 51 3 2 2 10" xfId="43966"/>
    <cellStyle name="Normal 51 3 2 2 2" xfId="42522"/>
    <cellStyle name="Normal 51 3 2 2 2 2" xfId="42718"/>
    <cellStyle name="Normal 51 3 2 2 2 3" xfId="42869"/>
    <cellStyle name="Normal 51 3 2 2 2 4" xfId="43666"/>
    <cellStyle name="Normal 51 3 2 2 2 5" xfId="43547"/>
    <cellStyle name="Normal 51 3 2 2 2 6" xfId="44032"/>
    <cellStyle name="Normal 51 3 2 2 3" xfId="42588"/>
    <cellStyle name="Normal 51 3 2 2 3 2" xfId="42937"/>
    <cellStyle name="Normal 51 3 2 2 4" xfId="42651"/>
    <cellStyle name="Normal 51 3 2 2 5" xfId="42798"/>
    <cellStyle name="Normal 51 3 2 2 6" xfId="43731"/>
    <cellStyle name="Normal 51 3 2 2 7" xfId="43792"/>
    <cellStyle name="Normal 51 3 2 2 8" xfId="43615"/>
    <cellStyle name="Normal 51 3 2 2 9" xfId="43479"/>
    <cellStyle name="Normal 51 3 2 3" xfId="42521"/>
    <cellStyle name="Normal 51 3 2 3 2" xfId="42717"/>
    <cellStyle name="Normal 51 3 2 3 3" xfId="42868"/>
    <cellStyle name="Normal 51 3 2 3 4" xfId="43665"/>
    <cellStyle name="Normal 51 3 2 3 5" xfId="43546"/>
    <cellStyle name="Normal 51 3 2 3 6" xfId="44031"/>
    <cellStyle name="Normal 51 3 2 4" xfId="42587"/>
    <cellStyle name="Normal 51 3 2 4 2" xfId="42936"/>
    <cellStyle name="Normal 51 3 2 5" xfId="42650"/>
    <cellStyle name="Normal 51 3 2 6" xfId="42797"/>
    <cellStyle name="Normal 51 3 2 7" xfId="43730"/>
    <cellStyle name="Normal 51 3 2 8" xfId="43791"/>
    <cellStyle name="Normal 51 3 2 9" xfId="43614"/>
    <cellStyle name="Normal 51 3 3" xfId="42063"/>
    <cellStyle name="Normal 51 4" xfId="5407"/>
    <cellStyle name="Normal 51 4 10" xfId="43480"/>
    <cellStyle name="Normal 51 4 11" xfId="43967"/>
    <cellStyle name="Normal 51 4 2" xfId="5408"/>
    <cellStyle name="Normal 51 4 2 10" xfId="43968"/>
    <cellStyle name="Normal 51 4 2 2" xfId="42524"/>
    <cellStyle name="Normal 51 4 2 2 2" xfId="42720"/>
    <cellStyle name="Normal 51 4 2 2 3" xfId="42871"/>
    <cellStyle name="Normal 51 4 2 2 4" xfId="43667"/>
    <cellStyle name="Normal 51 4 2 2 5" xfId="43549"/>
    <cellStyle name="Normal 51 4 2 2 6" xfId="44034"/>
    <cellStyle name="Normal 51 4 2 3" xfId="42590"/>
    <cellStyle name="Normal 51 4 2 3 2" xfId="42939"/>
    <cellStyle name="Normal 51 4 2 4" xfId="42652"/>
    <cellStyle name="Normal 51 4 2 5" xfId="42800"/>
    <cellStyle name="Normal 51 4 2 6" xfId="42065"/>
    <cellStyle name="Normal 51 4 2 7" xfId="43794"/>
    <cellStyle name="Normal 51 4 2 8" xfId="43617"/>
    <cellStyle name="Normal 51 4 2 9" xfId="43481"/>
    <cellStyle name="Normal 51 4 3" xfId="5409"/>
    <cellStyle name="Normal 51 4 3 2" xfId="6556"/>
    <cellStyle name="Normal 51 4 3 2 2" xfId="42719"/>
    <cellStyle name="Normal 51 4 3 3" xfId="42870"/>
    <cellStyle name="Normal 51 4 3 4" xfId="42523"/>
    <cellStyle name="Normal 51 4 3 5" xfId="43548"/>
    <cellStyle name="Normal 51 4 3 6" xfId="44033"/>
    <cellStyle name="Normal 51 4 4" xfId="23949"/>
    <cellStyle name="Normal 51 4 4 2" xfId="42938"/>
    <cellStyle name="Normal 51 4 4 3" xfId="42589"/>
    <cellStyle name="Normal 51 4 5" xfId="24387"/>
    <cellStyle name="Normal 51 4 6" xfId="42799"/>
    <cellStyle name="Normal 51 4 7" xfId="43732"/>
    <cellStyle name="Normal 51 4 8" xfId="43793"/>
    <cellStyle name="Normal 51 4 9" xfId="43616"/>
    <cellStyle name="Normal 51 5" xfId="5410"/>
    <cellStyle name="Normal 51 5 2" xfId="6241"/>
    <cellStyle name="Normal 51 5 3" xfId="42066"/>
    <cellStyle name="Normal 51 6" xfId="23708"/>
    <cellStyle name="Normal 51 7" xfId="2402"/>
    <cellStyle name="Normal 52" xfId="1298"/>
    <cellStyle name="Normal 52 2" xfId="2928"/>
    <cellStyle name="Normal 52 2 2" xfId="5411"/>
    <cellStyle name="Normal 52 2 2 10" xfId="43482"/>
    <cellStyle name="Normal 52 2 2 11" xfId="43969"/>
    <cellStyle name="Normal 52 2 2 2" xfId="24284"/>
    <cellStyle name="Normal 52 2 2 2 10" xfId="43970"/>
    <cellStyle name="Normal 52 2 2 2 2" xfId="42526"/>
    <cellStyle name="Normal 52 2 2 2 2 2" xfId="42722"/>
    <cellStyle name="Normal 52 2 2 2 2 3" xfId="42873"/>
    <cellStyle name="Normal 52 2 2 2 2 4" xfId="43669"/>
    <cellStyle name="Normal 52 2 2 2 2 5" xfId="43551"/>
    <cellStyle name="Normal 52 2 2 2 2 6" xfId="44036"/>
    <cellStyle name="Normal 52 2 2 2 3" xfId="42592"/>
    <cellStyle name="Normal 52 2 2 2 3 2" xfId="42941"/>
    <cellStyle name="Normal 52 2 2 2 4" xfId="42654"/>
    <cellStyle name="Normal 52 2 2 2 5" xfId="42802"/>
    <cellStyle name="Normal 52 2 2 2 6" xfId="43734"/>
    <cellStyle name="Normal 52 2 2 2 7" xfId="43796"/>
    <cellStyle name="Normal 52 2 2 2 8" xfId="43619"/>
    <cellStyle name="Normal 52 2 2 2 9" xfId="43483"/>
    <cellStyle name="Normal 52 2 2 3" xfId="42525"/>
    <cellStyle name="Normal 52 2 2 3 2" xfId="42721"/>
    <cellStyle name="Normal 52 2 2 3 3" xfId="42872"/>
    <cellStyle name="Normal 52 2 2 3 4" xfId="43668"/>
    <cellStyle name="Normal 52 2 2 3 5" xfId="43550"/>
    <cellStyle name="Normal 52 2 2 3 6" xfId="44035"/>
    <cellStyle name="Normal 52 2 2 4" xfId="42591"/>
    <cellStyle name="Normal 52 2 2 4 2" xfId="42940"/>
    <cellStyle name="Normal 52 2 2 5" xfId="42653"/>
    <cellStyle name="Normal 52 2 2 6" xfId="42801"/>
    <cellStyle name="Normal 52 2 2 7" xfId="43733"/>
    <cellStyle name="Normal 52 2 2 8" xfId="43795"/>
    <cellStyle name="Normal 52 2 2 9" xfId="43618"/>
    <cellStyle name="Normal 52 2 3" xfId="6147"/>
    <cellStyle name="Normal 52 3" xfId="2715"/>
    <cellStyle name="Normal 52 3 2" xfId="24324"/>
    <cellStyle name="Normal 52 3 2 10" xfId="43484"/>
    <cellStyle name="Normal 52 3 2 11" xfId="43971"/>
    <cellStyle name="Normal 52 3 2 2" xfId="42069"/>
    <cellStyle name="Normal 52 3 2 2 10" xfId="43972"/>
    <cellStyle name="Normal 52 3 2 2 2" xfId="42528"/>
    <cellStyle name="Normal 52 3 2 2 2 2" xfId="42724"/>
    <cellStyle name="Normal 52 3 2 2 2 3" xfId="42875"/>
    <cellStyle name="Normal 52 3 2 2 2 4" xfId="43671"/>
    <cellStyle name="Normal 52 3 2 2 2 5" xfId="43553"/>
    <cellStyle name="Normal 52 3 2 2 2 6" xfId="44038"/>
    <cellStyle name="Normal 52 3 2 2 3" xfId="42594"/>
    <cellStyle name="Normal 52 3 2 2 3 2" xfId="42943"/>
    <cellStyle name="Normal 52 3 2 2 4" xfId="42656"/>
    <cellStyle name="Normal 52 3 2 2 5" xfId="42804"/>
    <cellStyle name="Normal 52 3 2 2 6" xfId="43736"/>
    <cellStyle name="Normal 52 3 2 2 7" xfId="43798"/>
    <cellStyle name="Normal 52 3 2 2 8" xfId="43621"/>
    <cellStyle name="Normal 52 3 2 2 9" xfId="43485"/>
    <cellStyle name="Normal 52 3 2 3" xfId="42527"/>
    <cellStyle name="Normal 52 3 2 3 2" xfId="42723"/>
    <cellStyle name="Normal 52 3 2 3 3" xfId="42874"/>
    <cellStyle name="Normal 52 3 2 3 4" xfId="43670"/>
    <cellStyle name="Normal 52 3 2 3 5" xfId="43552"/>
    <cellStyle name="Normal 52 3 2 3 6" xfId="44037"/>
    <cellStyle name="Normal 52 3 2 4" xfId="42593"/>
    <cellStyle name="Normal 52 3 2 4 2" xfId="42942"/>
    <cellStyle name="Normal 52 3 2 5" xfId="42655"/>
    <cellStyle name="Normal 52 3 2 6" xfId="42803"/>
    <cellStyle name="Normal 52 3 2 7" xfId="43735"/>
    <cellStyle name="Normal 52 3 2 8" xfId="43797"/>
    <cellStyle name="Normal 52 3 2 9" xfId="43620"/>
    <cellStyle name="Normal 52 3 3" xfId="42068"/>
    <cellStyle name="Normal 52 4" xfId="5412"/>
    <cellStyle name="Normal 52 4 10" xfId="43486"/>
    <cellStyle name="Normal 52 4 11" xfId="43973"/>
    <cellStyle name="Normal 52 4 2" xfId="5413"/>
    <cellStyle name="Normal 52 4 2 10" xfId="43974"/>
    <cellStyle name="Normal 52 4 2 2" xfId="42530"/>
    <cellStyle name="Normal 52 4 2 2 2" xfId="42726"/>
    <cellStyle name="Normal 52 4 2 2 3" xfId="42877"/>
    <cellStyle name="Normal 52 4 2 2 4" xfId="43672"/>
    <cellStyle name="Normal 52 4 2 2 5" xfId="43555"/>
    <cellStyle name="Normal 52 4 2 2 6" xfId="44040"/>
    <cellStyle name="Normal 52 4 2 3" xfId="42595"/>
    <cellStyle name="Normal 52 4 2 3 2" xfId="42945"/>
    <cellStyle name="Normal 52 4 2 4" xfId="42658"/>
    <cellStyle name="Normal 52 4 2 5" xfId="42806"/>
    <cellStyle name="Normal 52 4 2 6" xfId="42070"/>
    <cellStyle name="Normal 52 4 2 7" xfId="43800"/>
    <cellStyle name="Normal 52 4 2 8" xfId="43623"/>
    <cellStyle name="Normal 52 4 2 9" xfId="43487"/>
    <cellStyle name="Normal 52 4 3" xfId="5414"/>
    <cellStyle name="Normal 52 4 3 2" xfId="6540"/>
    <cellStyle name="Normal 52 4 3 2 2" xfId="42725"/>
    <cellStyle name="Normal 52 4 3 3" xfId="42876"/>
    <cellStyle name="Normal 52 4 3 4" xfId="42529"/>
    <cellStyle name="Normal 52 4 3 5" xfId="43554"/>
    <cellStyle name="Normal 52 4 3 6" xfId="44039"/>
    <cellStyle name="Normal 52 4 4" xfId="24638"/>
    <cellStyle name="Normal 52 4 4 2" xfId="42944"/>
    <cellStyle name="Normal 52 4 5" xfId="42657"/>
    <cellStyle name="Normal 52 4 6" xfId="42805"/>
    <cellStyle name="Normal 52 4 7" xfId="43737"/>
    <cellStyle name="Normal 52 4 8" xfId="43799"/>
    <cellStyle name="Normal 52 4 9" xfId="43622"/>
    <cellStyle name="Normal 52 5" xfId="5415"/>
    <cellStyle name="Normal 52 5 2" xfId="6225"/>
    <cellStyle name="Normal 52 6" xfId="2447"/>
    <cellStyle name="Normal 52 7" xfId="42067"/>
    <cellStyle name="Normal 53" xfId="647"/>
    <cellStyle name="Normal 53 2" xfId="2731"/>
    <cellStyle name="Normal 53 2 2" xfId="5416"/>
    <cellStyle name="Normal 53 2 2 2" xfId="24293"/>
    <cellStyle name="Normal 53 2 3" xfId="6153"/>
    <cellStyle name="Normal 53 2 4" xfId="42072"/>
    <cellStyle name="Normal 53 3" xfId="5417"/>
    <cellStyle name="Normal 53 3 2" xfId="24283"/>
    <cellStyle name="Normal 53 4" xfId="5418"/>
    <cellStyle name="Normal 53 4 2" xfId="5419"/>
    <cellStyle name="Normal 53 4 3" xfId="5420"/>
    <cellStyle name="Normal 53 4 3 2" xfId="6550"/>
    <cellStyle name="Normal 53 4 4" xfId="14015"/>
    <cellStyle name="Normal 53 5" xfId="5421"/>
    <cellStyle name="Normal 53 5 2" xfId="6235"/>
    <cellStyle name="Normal 53 6" xfId="42071"/>
    <cellStyle name="Normal 54" xfId="1600"/>
    <cellStyle name="Normal 54 2" xfId="2706"/>
    <cellStyle name="Normal 54 2 2" xfId="5422"/>
    <cellStyle name="Normal 54 2 2 2" xfId="24394"/>
    <cellStyle name="Normal 54 2 3" xfId="6154"/>
    <cellStyle name="Normal 54 2 4" xfId="42074"/>
    <cellStyle name="Normal 54 3" xfId="5423"/>
    <cellStyle name="Normal 54 3 2" xfId="24322"/>
    <cellStyle name="Normal 54 4" xfId="5424"/>
    <cellStyle name="Normal 54 4 2" xfId="5425"/>
    <cellStyle name="Normal 54 4 3" xfId="5426"/>
    <cellStyle name="Normal 54 4 3 2" xfId="6536"/>
    <cellStyle name="Normal 54 4 4" xfId="24332"/>
    <cellStyle name="Normal 54 5" xfId="5427"/>
    <cellStyle name="Normal 54 5 2" xfId="6221"/>
    <cellStyle name="Normal 54 6" xfId="2459"/>
    <cellStyle name="Normal 54 7" xfId="42073"/>
    <cellStyle name="Normal 55" xfId="1599"/>
    <cellStyle name="Normal 55 2" xfId="3067"/>
    <cellStyle name="Normal 55 3" xfId="2622"/>
    <cellStyle name="Normal 55 3 2" xfId="12661"/>
    <cellStyle name="Normal 55 3 3" xfId="42076"/>
    <cellStyle name="Normal 55 4" xfId="5428"/>
    <cellStyle name="Normal 55 4 2" xfId="5429"/>
    <cellStyle name="Normal 55 4 3" xfId="5430"/>
    <cellStyle name="Normal 55 4 3 2" xfId="6546"/>
    <cellStyle name="Normal 55 4 4" xfId="10079"/>
    <cellStyle name="Normal 55 5" xfId="5431"/>
    <cellStyle name="Normal 55 5 2" xfId="6231"/>
    <cellStyle name="Normal 55 6" xfId="2460"/>
    <cellStyle name="Normal 55 7" xfId="42075"/>
    <cellStyle name="Normal 56" xfId="211"/>
    <cellStyle name="Normal 56 2" xfId="2688"/>
    <cellStyle name="Normal 56 2 2" xfId="5432"/>
    <cellStyle name="Normal 56 2 2 2" xfId="5433"/>
    <cellStyle name="Normal 56 2 2 2 2" xfId="8281"/>
    <cellStyle name="Normal 56 2 2 2 2 2" xfId="22388"/>
    <cellStyle name="Normal 56 2 2 2 2 3" xfId="16915"/>
    <cellStyle name="Normal 56 2 2 2 3" xfId="14704"/>
    <cellStyle name="Normal 56 2 2 2 4" xfId="20219"/>
    <cellStyle name="Normal 56 2 2 2 5" xfId="11529"/>
    <cellStyle name="Normal 56 2 2 3" xfId="5434"/>
    <cellStyle name="Normal 56 2 2 3 2" xfId="9079"/>
    <cellStyle name="Normal 56 2 2 3 2 2" xfId="23180"/>
    <cellStyle name="Normal 56 2 2 3 2 3" xfId="17713"/>
    <cellStyle name="Normal 56 2 2 3 3" xfId="14705"/>
    <cellStyle name="Normal 56 2 2 3 4" xfId="20220"/>
    <cellStyle name="Normal 56 2 2 3 5" xfId="12324"/>
    <cellStyle name="Normal 56 2 2 4" xfId="7489"/>
    <cellStyle name="Normal 56 2 2 4 2" xfId="21596"/>
    <cellStyle name="Normal 56 2 2 4 3" xfId="16123"/>
    <cellStyle name="Normal 56 2 2 5" xfId="14703"/>
    <cellStyle name="Normal 56 2 2 6" xfId="20218"/>
    <cellStyle name="Normal 56 2 2 7" xfId="10736"/>
    <cellStyle name="Normal 56 2 2 8" xfId="24372"/>
    <cellStyle name="Normal 56 2 3" xfId="5435"/>
    <cellStyle name="Normal 56 2 3 2" xfId="5436"/>
    <cellStyle name="Normal 56 2 3 2 2" xfId="8541"/>
    <cellStyle name="Normal 56 2 3 2 2 2" xfId="22648"/>
    <cellStyle name="Normal 56 2 3 2 2 3" xfId="17175"/>
    <cellStyle name="Normal 56 2 3 2 3" xfId="14707"/>
    <cellStyle name="Normal 56 2 3 2 4" xfId="20222"/>
    <cellStyle name="Normal 56 2 3 2 5" xfId="11789"/>
    <cellStyle name="Normal 56 2 3 3" xfId="7749"/>
    <cellStyle name="Normal 56 2 3 3 2" xfId="21856"/>
    <cellStyle name="Normal 56 2 3 3 3" xfId="16383"/>
    <cellStyle name="Normal 56 2 3 4" xfId="14706"/>
    <cellStyle name="Normal 56 2 3 5" xfId="20221"/>
    <cellStyle name="Normal 56 2 3 6" xfId="10996"/>
    <cellStyle name="Normal 56 2 4" xfId="5437"/>
    <cellStyle name="Normal 56 2 4 2" xfId="6467"/>
    <cellStyle name="Normal 56 2 4 2 2" xfId="8903"/>
    <cellStyle name="Normal 56 2 4 2 2 2" xfId="23004"/>
    <cellStyle name="Normal 56 2 4 2 2 3" xfId="17537"/>
    <cellStyle name="Normal 56 2 4 2 3" xfId="15296"/>
    <cellStyle name="Normal 56 2 4 2 4" xfId="20790"/>
    <cellStyle name="Normal 56 2 4 2 5" xfId="12147"/>
    <cellStyle name="Normal 56 2 4 3" xfId="7313"/>
    <cellStyle name="Normal 56 2 4 3 2" xfId="21420"/>
    <cellStyle name="Normal 56 2 4 3 3" xfId="15947"/>
    <cellStyle name="Normal 56 2 4 4" xfId="14708"/>
    <cellStyle name="Normal 56 2 4 5" xfId="20223"/>
    <cellStyle name="Normal 56 2 4 6" xfId="10560"/>
    <cellStyle name="Normal 56 2 5" xfId="5438"/>
    <cellStyle name="Normal 56 2 5 2" xfId="8105"/>
    <cellStyle name="Normal 56 2 5 2 2" xfId="22212"/>
    <cellStyle name="Normal 56 2 5 2 3" xfId="16739"/>
    <cellStyle name="Normal 56 2 5 3" xfId="14709"/>
    <cellStyle name="Normal 56 2 5 4" xfId="20224"/>
    <cellStyle name="Normal 56 2 5 5" xfId="11352"/>
    <cellStyle name="Normal 56 2 6" xfId="5439"/>
    <cellStyle name="Normal 56 2 7" xfId="6954"/>
    <cellStyle name="Normal 56 2 7 2" xfId="21064"/>
    <cellStyle name="Normal 56 2 7 3" xfId="15591"/>
    <cellStyle name="Normal 56 2 8" xfId="10204"/>
    <cellStyle name="Normal 56 2 9" xfId="42078"/>
    <cellStyle name="Normal 56 3" xfId="5440"/>
    <cellStyle name="Normal 56 3 2" xfId="24643"/>
    <cellStyle name="Normal 56 4" xfId="5441"/>
    <cellStyle name="Normal 56 4 2" xfId="5442"/>
    <cellStyle name="Normal 56 4 3" xfId="5443"/>
    <cellStyle name="Normal 56 4 3 2" xfId="6557"/>
    <cellStyle name="Normal 56 4 4" xfId="24641"/>
    <cellStyle name="Normal 56 5" xfId="5444"/>
    <cellStyle name="Normal 56 5 2" xfId="6291"/>
    <cellStyle name="Normal 56 5 2 2" xfId="8727"/>
    <cellStyle name="Normal 56 5 2 2 2" xfId="22828"/>
    <cellStyle name="Normal 56 5 2 2 3" xfId="17361"/>
    <cellStyle name="Normal 56 5 2 3" xfId="15120"/>
    <cellStyle name="Normal 56 5 2 4" xfId="20614"/>
    <cellStyle name="Normal 56 5 2 5" xfId="11971"/>
    <cellStyle name="Normal 56 5 3" xfId="7137"/>
    <cellStyle name="Normal 56 5 3 2" xfId="21244"/>
    <cellStyle name="Normal 56 5 3 3" xfId="15771"/>
    <cellStyle name="Normal 56 5 4" xfId="14710"/>
    <cellStyle name="Normal 56 5 5" xfId="20225"/>
    <cellStyle name="Normal 56 5 6" xfId="10384"/>
    <cellStyle name="Normal 56 6" xfId="5445"/>
    <cellStyle name="Normal 56 6 2" xfId="7929"/>
    <cellStyle name="Normal 56 6 2 2" xfId="22036"/>
    <cellStyle name="Normal 56 6 2 3" xfId="16563"/>
    <cellStyle name="Normal 56 6 3" xfId="14711"/>
    <cellStyle name="Normal 56 6 4" xfId="20226"/>
    <cellStyle name="Normal 56 6 5" xfId="11176"/>
    <cellStyle name="Normal 56 7" xfId="5446"/>
    <cellStyle name="Normal 56 7 2" xfId="6242"/>
    <cellStyle name="Normal 56 8" xfId="2461"/>
    <cellStyle name="Normal 56 9" xfId="42077"/>
    <cellStyle name="Normal 57" xfId="1619"/>
    <cellStyle name="Normal 57 2" xfId="2711"/>
    <cellStyle name="Normal 57 2 2" xfId="5447"/>
    <cellStyle name="Normal 57 2 2 2" xfId="5448"/>
    <cellStyle name="Normal 57 2 2 2 2" xfId="8286"/>
    <cellStyle name="Normal 57 2 2 2 2 2" xfId="22393"/>
    <cellStyle name="Normal 57 2 2 2 2 3" xfId="16920"/>
    <cellStyle name="Normal 57 2 2 2 3" xfId="14713"/>
    <cellStyle name="Normal 57 2 2 2 4" xfId="20228"/>
    <cellStyle name="Normal 57 2 2 2 5" xfId="11534"/>
    <cellStyle name="Normal 57 2 2 3" xfId="5449"/>
    <cellStyle name="Normal 57 2 2 3 2" xfId="9084"/>
    <cellStyle name="Normal 57 2 2 3 2 2" xfId="23185"/>
    <cellStyle name="Normal 57 2 2 3 2 3" xfId="17718"/>
    <cellStyle name="Normal 57 2 2 3 3" xfId="14714"/>
    <cellStyle name="Normal 57 2 2 3 4" xfId="20229"/>
    <cellStyle name="Normal 57 2 2 3 5" xfId="12329"/>
    <cellStyle name="Normal 57 2 2 4" xfId="7494"/>
    <cellStyle name="Normal 57 2 2 4 2" xfId="21601"/>
    <cellStyle name="Normal 57 2 2 4 3" xfId="16128"/>
    <cellStyle name="Normal 57 2 2 5" xfId="14712"/>
    <cellStyle name="Normal 57 2 2 6" xfId="20227"/>
    <cellStyle name="Normal 57 2 2 7" xfId="10741"/>
    <cellStyle name="Normal 57 2 3" xfId="5450"/>
    <cellStyle name="Normal 57 2 3 2" xfId="5451"/>
    <cellStyle name="Normal 57 2 3 2 2" xfId="8546"/>
    <cellStyle name="Normal 57 2 3 2 2 2" xfId="22653"/>
    <cellStyle name="Normal 57 2 3 2 2 3" xfId="17180"/>
    <cellStyle name="Normal 57 2 3 2 3" xfId="14716"/>
    <cellStyle name="Normal 57 2 3 2 4" xfId="20231"/>
    <cellStyle name="Normal 57 2 3 2 5" xfId="11794"/>
    <cellStyle name="Normal 57 2 3 3" xfId="7754"/>
    <cellStyle name="Normal 57 2 3 3 2" xfId="21861"/>
    <cellStyle name="Normal 57 2 3 3 3" xfId="16388"/>
    <cellStyle name="Normal 57 2 3 4" xfId="14715"/>
    <cellStyle name="Normal 57 2 3 5" xfId="20230"/>
    <cellStyle name="Normal 57 2 3 6" xfId="11001"/>
    <cellStyle name="Normal 57 2 4" xfId="5452"/>
    <cellStyle name="Normal 57 2 4 2" xfId="6472"/>
    <cellStyle name="Normal 57 2 4 2 2" xfId="8908"/>
    <cellStyle name="Normal 57 2 4 2 2 2" xfId="23009"/>
    <cellStyle name="Normal 57 2 4 2 2 3" xfId="17542"/>
    <cellStyle name="Normal 57 2 4 2 3" xfId="15301"/>
    <cellStyle name="Normal 57 2 4 2 4" xfId="20795"/>
    <cellStyle name="Normal 57 2 4 2 5" xfId="12152"/>
    <cellStyle name="Normal 57 2 4 3" xfId="7318"/>
    <cellStyle name="Normal 57 2 4 3 2" xfId="21425"/>
    <cellStyle name="Normal 57 2 4 3 3" xfId="15952"/>
    <cellStyle name="Normal 57 2 4 4" xfId="14717"/>
    <cellStyle name="Normal 57 2 4 5" xfId="20232"/>
    <cellStyle name="Normal 57 2 4 6" xfId="10565"/>
    <cellStyle name="Normal 57 2 5" xfId="5453"/>
    <cellStyle name="Normal 57 2 5 2" xfId="8110"/>
    <cellStyle name="Normal 57 2 5 2 2" xfId="22217"/>
    <cellStyle name="Normal 57 2 5 2 3" xfId="16744"/>
    <cellStyle name="Normal 57 2 5 3" xfId="14718"/>
    <cellStyle name="Normal 57 2 5 4" xfId="20233"/>
    <cellStyle name="Normal 57 2 5 5" xfId="11357"/>
    <cellStyle name="Normal 57 2 6" xfId="5454"/>
    <cellStyle name="Normal 57 2 7" xfId="6959"/>
    <cellStyle name="Normal 57 2 7 2" xfId="21069"/>
    <cellStyle name="Normal 57 2 7 3" xfId="15596"/>
    <cellStyle name="Normal 57 2 8" xfId="10209"/>
    <cellStyle name="Normal 57 2 9" xfId="42080"/>
    <cellStyle name="Normal 57 3" xfId="3170"/>
    <cellStyle name="Normal 57 3 2" xfId="6188"/>
    <cellStyle name="Normal 57 3 3" xfId="12962"/>
    <cellStyle name="Normal 57 3 4" xfId="18504"/>
    <cellStyle name="Normal 57 3 5" xfId="24606"/>
    <cellStyle name="Normal 57 4" xfId="5455"/>
    <cellStyle name="Normal 57 4 2" xfId="5456"/>
    <cellStyle name="Normal 57 4 3" xfId="5457"/>
    <cellStyle name="Normal 57 4 3 2" xfId="6539"/>
    <cellStyle name="Normal 57 5" xfId="5458"/>
    <cellStyle name="Normal 57 5 2" xfId="6296"/>
    <cellStyle name="Normal 57 5 2 2" xfId="8732"/>
    <cellStyle name="Normal 57 5 2 2 2" xfId="22833"/>
    <cellStyle name="Normal 57 5 2 2 3" xfId="17366"/>
    <cellStyle name="Normal 57 5 2 3" xfId="15125"/>
    <cellStyle name="Normal 57 5 2 4" xfId="20619"/>
    <cellStyle name="Normal 57 5 2 5" xfId="11976"/>
    <cellStyle name="Normal 57 5 3" xfId="7142"/>
    <cellStyle name="Normal 57 5 3 2" xfId="21249"/>
    <cellStyle name="Normal 57 5 3 3" xfId="15776"/>
    <cellStyle name="Normal 57 5 4" xfId="14719"/>
    <cellStyle name="Normal 57 5 5" xfId="20234"/>
    <cellStyle name="Normal 57 5 6" xfId="10389"/>
    <cellStyle name="Normal 57 6" xfId="5459"/>
    <cellStyle name="Normal 57 6 2" xfId="7934"/>
    <cellStyle name="Normal 57 6 2 2" xfId="22041"/>
    <cellStyle name="Normal 57 6 2 3" xfId="16568"/>
    <cellStyle name="Normal 57 6 3" xfId="14720"/>
    <cellStyle name="Normal 57 6 4" xfId="20235"/>
    <cellStyle name="Normal 57 6 5" xfId="11181"/>
    <cellStyle name="Normal 57 7" xfId="5460"/>
    <cellStyle name="Normal 57 7 2" xfId="6224"/>
    <cellStyle name="Normal 57 8" xfId="42079"/>
    <cellStyle name="Normal 58" xfId="1626"/>
    <cellStyle name="Normal 58 2" xfId="2732"/>
    <cellStyle name="Normal 58 2 2" xfId="5461"/>
    <cellStyle name="Normal 58 2 2 2" xfId="5462"/>
    <cellStyle name="Normal 58 2 2 2 2" xfId="8288"/>
    <cellStyle name="Normal 58 2 2 2 2 2" xfId="22395"/>
    <cellStyle name="Normal 58 2 2 2 2 3" xfId="16922"/>
    <cellStyle name="Normal 58 2 2 2 3" xfId="14722"/>
    <cellStyle name="Normal 58 2 2 2 4" xfId="20237"/>
    <cellStyle name="Normal 58 2 2 2 5" xfId="11536"/>
    <cellStyle name="Normal 58 2 2 3" xfId="5463"/>
    <cellStyle name="Normal 58 2 2 3 2" xfId="9086"/>
    <cellStyle name="Normal 58 2 2 3 2 2" xfId="23187"/>
    <cellStyle name="Normal 58 2 2 3 2 3" xfId="17720"/>
    <cellStyle name="Normal 58 2 2 3 3" xfId="14723"/>
    <cellStyle name="Normal 58 2 2 3 4" xfId="20238"/>
    <cellStyle name="Normal 58 2 2 3 5" xfId="12331"/>
    <cellStyle name="Normal 58 2 2 4" xfId="7496"/>
    <cellStyle name="Normal 58 2 2 4 2" xfId="21603"/>
    <cellStyle name="Normal 58 2 2 4 3" xfId="16130"/>
    <cellStyle name="Normal 58 2 2 5" xfId="14721"/>
    <cellStyle name="Normal 58 2 2 6" xfId="20236"/>
    <cellStyle name="Normal 58 2 2 7" xfId="10743"/>
    <cellStyle name="Normal 58 2 3" xfId="5464"/>
    <cellStyle name="Normal 58 2 3 2" xfId="5465"/>
    <cellStyle name="Normal 58 2 3 2 2" xfId="8548"/>
    <cellStyle name="Normal 58 2 3 2 2 2" xfId="22655"/>
    <cellStyle name="Normal 58 2 3 2 2 3" xfId="17182"/>
    <cellStyle name="Normal 58 2 3 2 3" xfId="14725"/>
    <cellStyle name="Normal 58 2 3 2 4" xfId="20240"/>
    <cellStyle name="Normal 58 2 3 2 5" xfId="11796"/>
    <cellStyle name="Normal 58 2 3 3" xfId="7756"/>
    <cellStyle name="Normal 58 2 3 3 2" xfId="21863"/>
    <cellStyle name="Normal 58 2 3 3 3" xfId="16390"/>
    <cellStyle name="Normal 58 2 3 4" xfId="14724"/>
    <cellStyle name="Normal 58 2 3 5" xfId="20239"/>
    <cellStyle name="Normal 58 2 3 6" xfId="11003"/>
    <cellStyle name="Normal 58 2 4" xfId="5466"/>
    <cellStyle name="Normal 58 2 4 2" xfId="6474"/>
    <cellStyle name="Normal 58 2 4 2 2" xfId="8910"/>
    <cellStyle name="Normal 58 2 4 2 2 2" xfId="23011"/>
    <cellStyle name="Normal 58 2 4 2 2 3" xfId="17544"/>
    <cellStyle name="Normal 58 2 4 2 3" xfId="15303"/>
    <cellStyle name="Normal 58 2 4 2 4" xfId="20797"/>
    <cellStyle name="Normal 58 2 4 2 5" xfId="12154"/>
    <cellStyle name="Normal 58 2 4 3" xfId="7320"/>
    <cellStyle name="Normal 58 2 4 3 2" xfId="21427"/>
    <cellStyle name="Normal 58 2 4 3 3" xfId="15954"/>
    <cellStyle name="Normal 58 2 4 4" xfId="14726"/>
    <cellStyle name="Normal 58 2 4 5" xfId="20241"/>
    <cellStyle name="Normal 58 2 4 6" xfId="10567"/>
    <cellStyle name="Normal 58 2 5" xfId="5467"/>
    <cellStyle name="Normal 58 2 5 2" xfId="8112"/>
    <cellStyle name="Normal 58 2 5 2 2" xfId="22219"/>
    <cellStyle name="Normal 58 2 5 2 3" xfId="16746"/>
    <cellStyle name="Normal 58 2 5 3" xfId="14727"/>
    <cellStyle name="Normal 58 2 5 4" xfId="20242"/>
    <cellStyle name="Normal 58 2 5 5" xfId="11359"/>
    <cellStyle name="Normal 58 2 6" xfId="5468"/>
    <cellStyle name="Normal 58 2 7" xfId="6961"/>
    <cellStyle name="Normal 58 2 7 2" xfId="21071"/>
    <cellStyle name="Normal 58 2 7 3" xfId="15598"/>
    <cellStyle name="Normal 58 2 8" xfId="10211"/>
    <cellStyle name="Normal 58 2 9" xfId="42082"/>
    <cellStyle name="Normal 58 3" xfId="5469"/>
    <cellStyle name="Normal 58 3 2" xfId="24578"/>
    <cellStyle name="Normal 58 4" xfId="5470"/>
    <cellStyle name="Normal 58 4 2" xfId="5471"/>
    <cellStyle name="Normal 58 4 3" xfId="5472"/>
    <cellStyle name="Normal 58 4 3 2" xfId="6548"/>
    <cellStyle name="Normal 58 5" xfId="5473"/>
    <cellStyle name="Normal 58 5 2" xfId="6298"/>
    <cellStyle name="Normal 58 5 2 2" xfId="8734"/>
    <cellStyle name="Normal 58 5 2 2 2" xfId="22835"/>
    <cellStyle name="Normal 58 5 2 2 3" xfId="17368"/>
    <cellStyle name="Normal 58 5 2 3" xfId="15127"/>
    <cellStyle name="Normal 58 5 2 4" xfId="20621"/>
    <cellStyle name="Normal 58 5 2 5" xfId="11978"/>
    <cellStyle name="Normal 58 5 3" xfId="7144"/>
    <cellStyle name="Normal 58 5 3 2" xfId="21251"/>
    <cellStyle name="Normal 58 5 3 3" xfId="15778"/>
    <cellStyle name="Normal 58 5 4" xfId="14728"/>
    <cellStyle name="Normal 58 5 5" xfId="20243"/>
    <cellStyle name="Normal 58 5 6" xfId="10391"/>
    <cellStyle name="Normal 58 6" xfId="5474"/>
    <cellStyle name="Normal 58 6 2" xfId="7936"/>
    <cellStyle name="Normal 58 6 2 2" xfId="22043"/>
    <cellStyle name="Normal 58 6 2 3" xfId="16570"/>
    <cellStyle name="Normal 58 6 3" xfId="14729"/>
    <cellStyle name="Normal 58 6 4" xfId="20244"/>
    <cellStyle name="Normal 58 6 5" xfId="11183"/>
    <cellStyle name="Normal 58 7" xfId="5475"/>
    <cellStyle name="Normal 58 7 2" xfId="6233"/>
    <cellStyle name="Normal 58 8" xfId="42081"/>
    <cellStyle name="Normal 59" xfId="1620"/>
    <cellStyle name="Normal 59 2" xfId="2687"/>
    <cellStyle name="Normal 59 2 2" xfId="5476"/>
    <cellStyle name="Normal 59 2 2 2" xfId="5477"/>
    <cellStyle name="Normal 59 2 2 2 2" xfId="8290"/>
    <cellStyle name="Normal 59 2 2 2 2 2" xfId="22397"/>
    <cellStyle name="Normal 59 2 2 2 2 3" xfId="16924"/>
    <cellStyle name="Normal 59 2 2 2 3" xfId="14731"/>
    <cellStyle name="Normal 59 2 2 2 4" xfId="20246"/>
    <cellStyle name="Normal 59 2 2 2 5" xfId="11538"/>
    <cellStyle name="Normal 59 2 2 3" xfId="5478"/>
    <cellStyle name="Normal 59 2 2 3 2" xfId="9088"/>
    <cellStyle name="Normal 59 2 2 3 2 2" xfId="23189"/>
    <cellStyle name="Normal 59 2 2 3 2 3" xfId="17722"/>
    <cellStyle name="Normal 59 2 2 3 3" xfId="14732"/>
    <cellStyle name="Normal 59 2 2 3 4" xfId="20247"/>
    <cellStyle name="Normal 59 2 2 3 5" xfId="12333"/>
    <cellStyle name="Normal 59 2 2 4" xfId="7498"/>
    <cellStyle name="Normal 59 2 2 4 2" xfId="21605"/>
    <cellStyle name="Normal 59 2 2 4 3" xfId="16132"/>
    <cellStyle name="Normal 59 2 2 5" xfId="14730"/>
    <cellStyle name="Normal 59 2 2 6" xfId="20245"/>
    <cellStyle name="Normal 59 2 2 7" xfId="10745"/>
    <cellStyle name="Normal 59 2 3" xfId="5479"/>
    <cellStyle name="Normal 59 2 3 2" xfId="5480"/>
    <cellStyle name="Normal 59 2 3 2 2" xfId="8550"/>
    <cellStyle name="Normal 59 2 3 2 2 2" xfId="22657"/>
    <cellStyle name="Normal 59 2 3 2 2 3" xfId="17184"/>
    <cellStyle name="Normal 59 2 3 2 3" xfId="14734"/>
    <cellStyle name="Normal 59 2 3 2 4" xfId="20249"/>
    <cellStyle name="Normal 59 2 3 2 5" xfId="11798"/>
    <cellStyle name="Normal 59 2 3 3" xfId="7758"/>
    <cellStyle name="Normal 59 2 3 3 2" xfId="21865"/>
    <cellStyle name="Normal 59 2 3 3 3" xfId="16392"/>
    <cellStyle name="Normal 59 2 3 4" xfId="14733"/>
    <cellStyle name="Normal 59 2 3 5" xfId="20248"/>
    <cellStyle name="Normal 59 2 3 6" xfId="11005"/>
    <cellStyle name="Normal 59 2 4" xfId="5481"/>
    <cellStyle name="Normal 59 2 4 2" xfId="6476"/>
    <cellStyle name="Normal 59 2 4 2 2" xfId="8912"/>
    <cellStyle name="Normal 59 2 4 2 2 2" xfId="23013"/>
    <cellStyle name="Normal 59 2 4 2 2 3" xfId="17546"/>
    <cellStyle name="Normal 59 2 4 2 3" xfId="15305"/>
    <cellStyle name="Normal 59 2 4 2 4" xfId="20799"/>
    <cellStyle name="Normal 59 2 4 2 5" xfId="12156"/>
    <cellStyle name="Normal 59 2 4 3" xfId="7322"/>
    <cellStyle name="Normal 59 2 4 3 2" xfId="21429"/>
    <cellStyle name="Normal 59 2 4 3 3" xfId="15956"/>
    <cellStyle name="Normal 59 2 4 4" xfId="14735"/>
    <cellStyle name="Normal 59 2 4 5" xfId="20250"/>
    <cellStyle name="Normal 59 2 4 6" xfId="10569"/>
    <cellStyle name="Normal 59 2 5" xfId="5482"/>
    <cellStyle name="Normal 59 2 5 2" xfId="8114"/>
    <cellStyle name="Normal 59 2 5 2 2" xfId="22221"/>
    <cellStyle name="Normal 59 2 5 2 3" xfId="16748"/>
    <cellStyle name="Normal 59 2 5 3" xfId="14736"/>
    <cellStyle name="Normal 59 2 5 4" xfId="20251"/>
    <cellStyle name="Normal 59 2 5 5" xfId="11361"/>
    <cellStyle name="Normal 59 2 6" xfId="5483"/>
    <cellStyle name="Normal 59 2 7" xfId="6963"/>
    <cellStyle name="Normal 59 2 7 2" xfId="21073"/>
    <cellStyle name="Normal 59 2 7 3" xfId="15600"/>
    <cellStyle name="Normal 59 2 8" xfId="10213"/>
    <cellStyle name="Normal 59 2 9" xfId="42084"/>
    <cellStyle name="Normal 59 3" xfId="5484"/>
    <cellStyle name="Normal 59 3 2" xfId="24621"/>
    <cellStyle name="Normal 59 4" xfId="5485"/>
    <cellStyle name="Normal 59 4 2" xfId="5486"/>
    <cellStyle name="Normal 59 4 3" xfId="5487"/>
    <cellStyle name="Normal 59 4 3 2" xfId="6543"/>
    <cellStyle name="Normal 59 5" xfId="5488"/>
    <cellStyle name="Normal 59 5 2" xfId="6300"/>
    <cellStyle name="Normal 59 5 2 2" xfId="8736"/>
    <cellStyle name="Normal 59 5 2 2 2" xfId="22837"/>
    <cellStyle name="Normal 59 5 2 2 3" xfId="17370"/>
    <cellStyle name="Normal 59 5 2 3" xfId="15129"/>
    <cellStyle name="Normal 59 5 2 4" xfId="20623"/>
    <cellStyle name="Normal 59 5 2 5" xfId="11980"/>
    <cellStyle name="Normal 59 5 3" xfId="7146"/>
    <cellStyle name="Normal 59 5 3 2" xfId="21253"/>
    <cellStyle name="Normal 59 5 3 3" xfId="15780"/>
    <cellStyle name="Normal 59 5 4" xfId="14737"/>
    <cellStyle name="Normal 59 5 5" xfId="20252"/>
    <cellStyle name="Normal 59 5 6" xfId="10393"/>
    <cellStyle name="Normal 59 6" xfId="5489"/>
    <cellStyle name="Normal 59 6 2" xfId="7938"/>
    <cellStyle name="Normal 59 6 2 2" xfId="22045"/>
    <cellStyle name="Normal 59 6 2 3" xfId="16572"/>
    <cellStyle name="Normal 59 6 3" xfId="14738"/>
    <cellStyle name="Normal 59 6 4" xfId="20253"/>
    <cellStyle name="Normal 59 6 5" xfId="11185"/>
    <cellStyle name="Normal 59 7" xfId="5490"/>
    <cellStyle name="Normal 59 7 2" xfId="6228"/>
    <cellStyle name="Normal 59 8" xfId="42083"/>
    <cellStyle name="Normal 6" xfId="81"/>
    <cellStyle name="Normal 6 10" xfId="180"/>
    <cellStyle name="Normal 6 2" xfId="162"/>
    <cellStyle name="Normal 6 2 2" xfId="170"/>
    <cellStyle name="Normal 6 2 2 2" xfId="44293"/>
    <cellStyle name="Normal 6 2 2 3" xfId="42086"/>
    <cellStyle name="Normal 6 2 3" xfId="44188"/>
    <cellStyle name="Normal 6 2 4" xfId="44281"/>
    <cellStyle name="Normal 6 2 5" xfId="1551"/>
    <cellStyle name="Normal 6 3" xfId="166"/>
    <cellStyle name="Normal 6 3 2" xfId="42087"/>
    <cellStyle name="Normal 6 3 2 2" xfId="44297"/>
    <cellStyle name="Normal 6 3 3" xfId="44285"/>
    <cellStyle name="Normal 6 3 4" xfId="2073"/>
    <cellStyle name="Normal 6 4" xfId="156"/>
    <cellStyle name="Normal 6 4 2" xfId="43059"/>
    <cellStyle name="Normal 6 4 3" xfId="44289"/>
    <cellStyle name="Normal 6 4 4" xfId="9602"/>
    <cellStyle name="Normal 6 5" xfId="9566"/>
    <cellStyle name="Normal 6 5 2" xfId="43157"/>
    <cellStyle name="Normal 6 6" xfId="42085"/>
    <cellStyle name="Normal 6 7" xfId="44181"/>
    <cellStyle name="Normal 6 8" xfId="431"/>
    <cellStyle name="Normal 6 9" xfId="44276"/>
    <cellStyle name="Normal 60" xfId="203"/>
    <cellStyle name="Normal 60 2" xfId="2661"/>
    <cellStyle name="Normal 60 2 2" xfId="5491"/>
    <cellStyle name="Normal 60 2 2 2" xfId="5492"/>
    <cellStyle name="Normal 60 2 2 2 2" xfId="8292"/>
    <cellStyle name="Normal 60 2 2 2 2 2" xfId="22399"/>
    <cellStyle name="Normal 60 2 2 2 2 3" xfId="16926"/>
    <cellStyle name="Normal 60 2 2 2 3" xfId="14740"/>
    <cellStyle name="Normal 60 2 2 2 4" xfId="20255"/>
    <cellStyle name="Normal 60 2 2 2 5" xfId="11540"/>
    <cellStyle name="Normal 60 2 2 3" xfId="5493"/>
    <cellStyle name="Normal 60 2 2 3 2" xfId="9090"/>
    <cellStyle name="Normal 60 2 2 3 2 2" xfId="23191"/>
    <cellStyle name="Normal 60 2 2 3 2 3" xfId="17724"/>
    <cellStyle name="Normal 60 2 2 3 3" xfId="14741"/>
    <cellStyle name="Normal 60 2 2 3 4" xfId="20256"/>
    <cellStyle name="Normal 60 2 2 3 5" xfId="12335"/>
    <cellStyle name="Normal 60 2 2 4" xfId="7500"/>
    <cellStyle name="Normal 60 2 2 4 2" xfId="21607"/>
    <cellStyle name="Normal 60 2 2 4 3" xfId="16134"/>
    <cellStyle name="Normal 60 2 2 5" xfId="14739"/>
    <cellStyle name="Normal 60 2 2 6" xfId="20254"/>
    <cellStyle name="Normal 60 2 2 7" xfId="10747"/>
    <cellStyle name="Normal 60 2 3" xfId="5494"/>
    <cellStyle name="Normal 60 2 3 2" xfId="5495"/>
    <cellStyle name="Normal 60 2 3 2 2" xfId="8552"/>
    <cellStyle name="Normal 60 2 3 2 2 2" xfId="22659"/>
    <cellStyle name="Normal 60 2 3 2 2 3" xfId="17186"/>
    <cellStyle name="Normal 60 2 3 2 3" xfId="14743"/>
    <cellStyle name="Normal 60 2 3 2 4" xfId="20258"/>
    <cellStyle name="Normal 60 2 3 2 5" xfId="11800"/>
    <cellStyle name="Normal 60 2 3 3" xfId="7760"/>
    <cellStyle name="Normal 60 2 3 3 2" xfId="21867"/>
    <cellStyle name="Normal 60 2 3 3 3" xfId="16394"/>
    <cellStyle name="Normal 60 2 3 4" xfId="14742"/>
    <cellStyle name="Normal 60 2 3 5" xfId="20257"/>
    <cellStyle name="Normal 60 2 3 6" xfId="11007"/>
    <cellStyle name="Normal 60 2 4" xfId="5496"/>
    <cellStyle name="Normal 60 2 4 2" xfId="6478"/>
    <cellStyle name="Normal 60 2 4 2 2" xfId="8914"/>
    <cellStyle name="Normal 60 2 4 2 2 2" xfId="23015"/>
    <cellStyle name="Normal 60 2 4 2 2 3" xfId="17548"/>
    <cellStyle name="Normal 60 2 4 2 3" xfId="15307"/>
    <cellStyle name="Normal 60 2 4 2 4" xfId="20801"/>
    <cellStyle name="Normal 60 2 4 2 5" xfId="12158"/>
    <cellStyle name="Normal 60 2 4 3" xfId="7324"/>
    <cellStyle name="Normal 60 2 4 3 2" xfId="21431"/>
    <cellStyle name="Normal 60 2 4 3 3" xfId="15958"/>
    <cellStyle name="Normal 60 2 4 4" xfId="14744"/>
    <cellStyle name="Normal 60 2 4 5" xfId="20259"/>
    <cellStyle name="Normal 60 2 4 6" xfId="10571"/>
    <cellStyle name="Normal 60 2 5" xfId="5497"/>
    <cellStyle name="Normal 60 2 5 2" xfId="8116"/>
    <cellStyle name="Normal 60 2 5 2 2" xfId="22223"/>
    <cellStyle name="Normal 60 2 5 2 3" xfId="16750"/>
    <cellStyle name="Normal 60 2 5 3" xfId="14745"/>
    <cellStyle name="Normal 60 2 5 4" xfId="20260"/>
    <cellStyle name="Normal 60 2 5 5" xfId="11363"/>
    <cellStyle name="Normal 60 2 6" xfId="5498"/>
    <cellStyle name="Normal 60 2 7" xfId="6965"/>
    <cellStyle name="Normal 60 2 7 2" xfId="21075"/>
    <cellStyle name="Normal 60 2 7 3" xfId="15602"/>
    <cellStyle name="Normal 60 2 8" xfId="10215"/>
    <cellStyle name="Normal 60 2 9" xfId="42089"/>
    <cellStyle name="Normal 60 3" xfId="5499"/>
    <cellStyle name="Normal 60 3 2" xfId="24579"/>
    <cellStyle name="Normal 60 4" xfId="5500"/>
    <cellStyle name="Normal 60 4 2" xfId="5501"/>
    <cellStyle name="Normal 60 4 3" xfId="5502"/>
    <cellStyle name="Normal 60 4 3 2" xfId="6534"/>
    <cellStyle name="Normal 60 5" xfId="5503"/>
    <cellStyle name="Normal 60 5 2" xfId="6302"/>
    <cellStyle name="Normal 60 5 2 2" xfId="8738"/>
    <cellStyle name="Normal 60 5 2 2 2" xfId="22839"/>
    <cellStyle name="Normal 60 5 2 2 3" xfId="17372"/>
    <cellStyle name="Normal 60 5 2 3" xfId="15131"/>
    <cellStyle name="Normal 60 5 2 4" xfId="20625"/>
    <cellStyle name="Normal 60 5 2 5" xfId="11982"/>
    <cellStyle name="Normal 60 5 3" xfId="7148"/>
    <cellStyle name="Normal 60 5 3 2" xfId="21255"/>
    <cellStyle name="Normal 60 5 3 3" xfId="15782"/>
    <cellStyle name="Normal 60 5 4" xfId="14746"/>
    <cellStyle name="Normal 60 5 5" xfId="20261"/>
    <cellStyle name="Normal 60 5 6" xfId="10395"/>
    <cellStyle name="Normal 60 6" xfId="5504"/>
    <cellStyle name="Normal 60 6 2" xfId="7940"/>
    <cellStyle name="Normal 60 6 2 2" xfId="22047"/>
    <cellStyle name="Normal 60 6 2 3" xfId="16574"/>
    <cellStyle name="Normal 60 6 3" xfId="14747"/>
    <cellStyle name="Normal 60 6 4" xfId="20262"/>
    <cellStyle name="Normal 60 6 5" xfId="11187"/>
    <cellStyle name="Normal 60 7" xfId="5505"/>
    <cellStyle name="Normal 60 7 2" xfId="6219"/>
    <cellStyle name="Normal 60 8" xfId="42088"/>
    <cellStyle name="Normal 61" xfId="1640"/>
    <cellStyle name="Normal 61 2" xfId="2649"/>
    <cellStyle name="Normal 61 2 2" xfId="5506"/>
    <cellStyle name="Normal 61 2 2 2" xfId="5507"/>
    <cellStyle name="Normal 61 2 2 2 2" xfId="8294"/>
    <cellStyle name="Normal 61 2 2 2 2 2" xfId="22401"/>
    <cellStyle name="Normal 61 2 2 2 2 3" xfId="16928"/>
    <cellStyle name="Normal 61 2 2 2 3" xfId="14749"/>
    <cellStyle name="Normal 61 2 2 2 4" xfId="20264"/>
    <cellStyle name="Normal 61 2 2 2 5" xfId="11542"/>
    <cellStyle name="Normal 61 2 2 3" xfId="5508"/>
    <cellStyle name="Normal 61 2 2 3 2" xfId="9092"/>
    <cellStyle name="Normal 61 2 2 3 2 2" xfId="23193"/>
    <cellStyle name="Normal 61 2 2 3 2 3" xfId="17726"/>
    <cellStyle name="Normal 61 2 2 3 3" xfId="14750"/>
    <cellStyle name="Normal 61 2 2 3 4" xfId="20265"/>
    <cellStyle name="Normal 61 2 2 3 5" xfId="12337"/>
    <cellStyle name="Normal 61 2 2 4" xfId="7502"/>
    <cellStyle name="Normal 61 2 2 4 2" xfId="21609"/>
    <cellStyle name="Normal 61 2 2 4 3" xfId="16136"/>
    <cellStyle name="Normal 61 2 2 5" xfId="14748"/>
    <cellStyle name="Normal 61 2 2 6" xfId="20263"/>
    <cellStyle name="Normal 61 2 2 7" xfId="10749"/>
    <cellStyle name="Normal 61 2 3" xfId="5509"/>
    <cellStyle name="Normal 61 2 3 2" xfId="5510"/>
    <cellStyle name="Normal 61 2 3 2 2" xfId="8554"/>
    <cellStyle name="Normal 61 2 3 2 2 2" xfId="22661"/>
    <cellStyle name="Normal 61 2 3 2 2 3" xfId="17188"/>
    <cellStyle name="Normal 61 2 3 2 3" xfId="14752"/>
    <cellStyle name="Normal 61 2 3 2 4" xfId="20267"/>
    <cellStyle name="Normal 61 2 3 2 5" xfId="11802"/>
    <cellStyle name="Normal 61 2 3 3" xfId="7762"/>
    <cellStyle name="Normal 61 2 3 3 2" xfId="21869"/>
    <cellStyle name="Normal 61 2 3 3 3" xfId="16396"/>
    <cellStyle name="Normal 61 2 3 4" xfId="14751"/>
    <cellStyle name="Normal 61 2 3 5" xfId="20266"/>
    <cellStyle name="Normal 61 2 3 6" xfId="11009"/>
    <cellStyle name="Normal 61 2 4" xfId="5511"/>
    <cellStyle name="Normal 61 2 4 2" xfId="6480"/>
    <cellStyle name="Normal 61 2 4 2 2" xfId="8916"/>
    <cellStyle name="Normal 61 2 4 2 2 2" xfId="23017"/>
    <cellStyle name="Normal 61 2 4 2 2 3" xfId="17550"/>
    <cellStyle name="Normal 61 2 4 2 3" xfId="15309"/>
    <cellStyle name="Normal 61 2 4 2 4" xfId="20803"/>
    <cellStyle name="Normal 61 2 4 2 5" xfId="12160"/>
    <cellStyle name="Normal 61 2 4 3" xfId="7326"/>
    <cellStyle name="Normal 61 2 4 3 2" xfId="21433"/>
    <cellStyle name="Normal 61 2 4 3 3" xfId="15960"/>
    <cellStyle name="Normal 61 2 4 4" xfId="14753"/>
    <cellStyle name="Normal 61 2 4 5" xfId="20268"/>
    <cellStyle name="Normal 61 2 4 6" xfId="10573"/>
    <cellStyle name="Normal 61 2 5" xfId="5512"/>
    <cellStyle name="Normal 61 2 5 2" xfId="8118"/>
    <cellStyle name="Normal 61 2 5 2 2" xfId="22225"/>
    <cellStyle name="Normal 61 2 5 2 3" xfId="16752"/>
    <cellStyle name="Normal 61 2 5 3" xfId="14754"/>
    <cellStyle name="Normal 61 2 5 4" xfId="20269"/>
    <cellStyle name="Normal 61 2 5 5" xfId="11365"/>
    <cellStyle name="Normal 61 2 6" xfId="5513"/>
    <cellStyle name="Normal 61 2 7" xfId="6967"/>
    <cellStyle name="Normal 61 2 7 2" xfId="21077"/>
    <cellStyle name="Normal 61 2 7 3" xfId="15604"/>
    <cellStyle name="Normal 61 2 8" xfId="10217"/>
    <cellStyle name="Normal 61 2 9" xfId="42091"/>
    <cellStyle name="Normal 61 3" xfId="5514"/>
    <cellStyle name="Normal 61 3 2" xfId="24634"/>
    <cellStyle name="Normal 61 4" xfId="5515"/>
    <cellStyle name="Normal 61 4 2" xfId="5516"/>
    <cellStyle name="Normal 61 4 3" xfId="5517"/>
    <cellStyle name="Normal 61 4 3 2" xfId="6542"/>
    <cellStyle name="Normal 61 5" xfId="5518"/>
    <cellStyle name="Normal 61 5 2" xfId="6304"/>
    <cellStyle name="Normal 61 5 2 2" xfId="8740"/>
    <cellStyle name="Normal 61 5 2 2 2" xfId="22841"/>
    <cellStyle name="Normal 61 5 2 2 3" xfId="17374"/>
    <cellStyle name="Normal 61 5 2 3" xfId="15133"/>
    <cellStyle name="Normal 61 5 2 4" xfId="20627"/>
    <cellStyle name="Normal 61 5 2 5" xfId="11984"/>
    <cellStyle name="Normal 61 5 3" xfId="7150"/>
    <cellStyle name="Normal 61 5 3 2" xfId="21257"/>
    <cellStyle name="Normal 61 5 3 3" xfId="15784"/>
    <cellStyle name="Normal 61 5 4" xfId="14755"/>
    <cellStyle name="Normal 61 5 5" xfId="20270"/>
    <cellStyle name="Normal 61 5 6" xfId="10397"/>
    <cellStyle name="Normal 61 6" xfId="5519"/>
    <cellStyle name="Normal 61 6 2" xfId="7942"/>
    <cellStyle name="Normal 61 6 2 2" xfId="22049"/>
    <cellStyle name="Normal 61 6 2 3" xfId="16576"/>
    <cellStyle name="Normal 61 6 3" xfId="14756"/>
    <cellStyle name="Normal 61 6 4" xfId="20271"/>
    <cellStyle name="Normal 61 6 5" xfId="11189"/>
    <cellStyle name="Normal 61 7" xfId="5520"/>
    <cellStyle name="Normal 61 7 2" xfId="6227"/>
    <cellStyle name="Normal 61 8" xfId="42090"/>
    <cellStyle name="Normal 62" xfId="202"/>
    <cellStyle name="Normal 62 2" xfId="2734"/>
    <cellStyle name="Normal 62 2 2" xfId="5521"/>
    <cellStyle name="Normal 62 2 2 2" xfId="5522"/>
    <cellStyle name="Normal 62 2 2 2 2" xfId="8296"/>
    <cellStyle name="Normal 62 2 2 2 2 2" xfId="22403"/>
    <cellStyle name="Normal 62 2 2 2 2 3" xfId="16930"/>
    <cellStyle name="Normal 62 2 2 2 3" xfId="14758"/>
    <cellStyle name="Normal 62 2 2 2 4" xfId="20273"/>
    <cellStyle name="Normal 62 2 2 2 5" xfId="11544"/>
    <cellStyle name="Normal 62 2 2 3" xfId="5523"/>
    <cellStyle name="Normal 62 2 2 3 2" xfId="9094"/>
    <cellStyle name="Normal 62 2 2 3 2 2" xfId="23195"/>
    <cellStyle name="Normal 62 2 2 3 2 3" xfId="17728"/>
    <cellStyle name="Normal 62 2 2 3 3" xfId="14759"/>
    <cellStyle name="Normal 62 2 2 3 4" xfId="20274"/>
    <cellStyle name="Normal 62 2 2 3 5" xfId="12339"/>
    <cellStyle name="Normal 62 2 2 4" xfId="7504"/>
    <cellStyle name="Normal 62 2 2 4 2" xfId="21611"/>
    <cellStyle name="Normal 62 2 2 4 3" xfId="16138"/>
    <cellStyle name="Normal 62 2 2 5" xfId="14757"/>
    <cellStyle name="Normal 62 2 2 6" xfId="20272"/>
    <cellStyle name="Normal 62 2 2 7" xfId="10751"/>
    <cellStyle name="Normal 62 2 3" xfId="5524"/>
    <cellStyle name="Normal 62 2 3 2" xfId="5525"/>
    <cellStyle name="Normal 62 2 3 2 2" xfId="8556"/>
    <cellStyle name="Normal 62 2 3 2 2 2" xfId="22663"/>
    <cellStyle name="Normal 62 2 3 2 2 3" xfId="17190"/>
    <cellStyle name="Normal 62 2 3 2 3" xfId="14761"/>
    <cellStyle name="Normal 62 2 3 2 4" xfId="20276"/>
    <cellStyle name="Normal 62 2 3 2 5" xfId="11804"/>
    <cellStyle name="Normal 62 2 3 3" xfId="7764"/>
    <cellStyle name="Normal 62 2 3 3 2" xfId="21871"/>
    <cellStyle name="Normal 62 2 3 3 3" xfId="16398"/>
    <cellStyle name="Normal 62 2 3 4" xfId="14760"/>
    <cellStyle name="Normal 62 2 3 5" xfId="20275"/>
    <cellStyle name="Normal 62 2 3 6" xfId="11011"/>
    <cellStyle name="Normal 62 2 4" xfId="5526"/>
    <cellStyle name="Normal 62 2 4 2" xfId="6482"/>
    <cellStyle name="Normal 62 2 4 2 2" xfId="8918"/>
    <cellStyle name="Normal 62 2 4 2 2 2" xfId="23019"/>
    <cellStyle name="Normal 62 2 4 2 2 3" xfId="17552"/>
    <cellStyle name="Normal 62 2 4 2 3" xfId="15311"/>
    <cellStyle name="Normal 62 2 4 2 4" xfId="20805"/>
    <cellStyle name="Normal 62 2 4 2 5" xfId="12162"/>
    <cellStyle name="Normal 62 2 4 3" xfId="7328"/>
    <cellStyle name="Normal 62 2 4 3 2" xfId="21435"/>
    <cellStyle name="Normal 62 2 4 3 3" xfId="15962"/>
    <cellStyle name="Normal 62 2 4 4" xfId="14762"/>
    <cellStyle name="Normal 62 2 4 5" xfId="20277"/>
    <cellStyle name="Normal 62 2 4 6" xfId="10575"/>
    <cellStyle name="Normal 62 2 5" xfId="5527"/>
    <cellStyle name="Normal 62 2 5 2" xfId="8120"/>
    <cellStyle name="Normal 62 2 5 2 2" xfId="22227"/>
    <cellStyle name="Normal 62 2 5 2 3" xfId="16754"/>
    <cellStyle name="Normal 62 2 5 3" xfId="14763"/>
    <cellStyle name="Normal 62 2 5 4" xfId="20278"/>
    <cellStyle name="Normal 62 2 5 5" xfId="11367"/>
    <cellStyle name="Normal 62 2 6" xfId="5528"/>
    <cellStyle name="Normal 62 2 7" xfId="6969"/>
    <cellStyle name="Normal 62 2 7 2" xfId="21079"/>
    <cellStyle name="Normal 62 2 7 3" xfId="15606"/>
    <cellStyle name="Normal 62 2 8" xfId="10219"/>
    <cellStyle name="Normal 62 2 9" xfId="42093"/>
    <cellStyle name="Normal 62 3" xfId="5529"/>
    <cellStyle name="Normal 62 3 2" xfId="24331"/>
    <cellStyle name="Normal 62 4" xfId="5530"/>
    <cellStyle name="Normal 62 4 2" xfId="5531"/>
    <cellStyle name="Normal 62 4 3" xfId="5532"/>
    <cellStyle name="Normal 62 4 3 2" xfId="6554"/>
    <cellStyle name="Normal 62 5" xfId="5533"/>
    <cellStyle name="Normal 62 5 2" xfId="6306"/>
    <cellStyle name="Normal 62 5 2 2" xfId="8742"/>
    <cellStyle name="Normal 62 5 2 2 2" xfId="22843"/>
    <cellStyle name="Normal 62 5 2 2 3" xfId="17376"/>
    <cellStyle name="Normal 62 5 2 3" xfId="15135"/>
    <cellStyle name="Normal 62 5 2 4" xfId="20629"/>
    <cellStyle name="Normal 62 5 2 5" xfId="11986"/>
    <cellStyle name="Normal 62 5 3" xfId="7152"/>
    <cellStyle name="Normal 62 5 3 2" xfId="21259"/>
    <cellStyle name="Normal 62 5 3 3" xfId="15786"/>
    <cellStyle name="Normal 62 5 4" xfId="14764"/>
    <cellStyle name="Normal 62 5 5" xfId="20279"/>
    <cellStyle name="Normal 62 5 6" xfId="10399"/>
    <cellStyle name="Normal 62 6" xfId="5534"/>
    <cellStyle name="Normal 62 6 2" xfId="7944"/>
    <cellStyle name="Normal 62 6 2 2" xfId="22051"/>
    <cellStyle name="Normal 62 6 2 3" xfId="16578"/>
    <cellStyle name="Normal 62 6 3" xfId="14765"/>
    <cellStyle name="Normal 62 6 4" xfId="20280"/>
    <cellStyle name="Normal 62 6 5" xfId="11191"/>
    <cellStyle name="Normal 62 7" xfId="5535"/>
    <cellStyle name="Normal 62 7 2" xfId="6239"/>
    <cellStyle name="Normal 62 8" xfId="42092"/>
    <cellStyle name="Normal 63" xfId="1641"/>
    <cellStyle name="Normal 63 2" xfId="2709"/>
    <cellStyle name="Normal 63 2 2" xfId="5536"/>
    <cellStyle name="Normal 63 2 2 2" xfId="5537"/>
    <cellStyle name="Normal 63 2 2 2 2" xfId="8298"/>
    <cellStyle name="Normal 63 2 2 2 2 2" xfId="22405"/>
    <cellStyle name="Normal 63 2 2 2 2 3" xfId="16932"/>
    <cellStyle name="Normal 63 2 2 2 3" xfId="14767"/>
    <cellStyle name="Normal 63 2 2 2 4" xfId="20282"/>
    <cellStyle name="Normal 63 2 2 2 5" xfId="11546"/>
    <cellStyle name="Normal 63 2 2 3" xfId="5538"/>
    <cellStyle name="Normal 63 2 2 3 2" xfId="9096"/>
    <cellStyle name="Normal 63 2 2 3 2 2" xfId="23197"/>
    <cellStyle name="Normal 63 2 2 3 2 3" xfId="17730"/>
    <cellStyle name="Normal 63 2 2 3 3" xfId="14768"/>
    <cellStyle name="Normal 63 2 2 3 4" xfId="20283"/>
    <cellStyle name="Normal 63 2 2 3 5" xfId="12341"/>
    <cellStyle name="Normal 63 2 2 4" xfId="7506"/>
    <cellStyle name="Normal 63 2 2 4 2" xfId="21613"/>
    <cellStyle name="Normal 63 2 2 4 3" xfId="16140"/>
    <cellStyle name="Normal 63 2 2 5" xfId="14766"/>
    <cellStyle name="Normal 63 2 2 6" xfId="20281"/>
    <cellStyle name="Normal 63 2 2 7" xfId="10753"/>
    <cellStyle name="Normal 63 2 3" xfId="5539"/>
    <cellStyle name="Normal 63 2 3 2" xfId="5540"/>
    <cellStyle name="Normal 63 2 3 2 2" xfId="8558"/>
    <cellStyle name="Normal 63 2 3 2 2 2" xfId="22665"/>
    <cellStyle name="Normal 63 2 3 2 2 3" xfId="17192"/>
    <cellStyle name="Normal 63 2 3 2 3" xfId="14770"/>
    <cellStyle name="Normal 63 2 3 2 4" xfId="20285"/>
    <cellStyle name="Normal 63 2 3 2 5" xfId="11806"/>
    <cellStyle name="Normal 63 2 3 3" xfId="7766"/>
    <cellStyle name="Normal 63 2 3 3 2" xfId="21873"/>
    <cellStyle name="Normal 63 2 3 3 3" xfId="16400"/>
    <cellStyle name="Normal 63 2 3 4" xfId="14769"/>
    <cellStyle name="Normal 63 2 3 5" xfId="20284"/>
    <cellStyle name="Normal 63 2 3 6" xfId="11013"/>
    <cellStyle name="Normal 63 2 4" xfId="5541"/>
    <cellStyle name="Normal 63 2 4 2" xfId="6484"/>
    <cellStyle name="Normal 63 2 4 2 2" xfId="8920"/>
    <cellStyle name="Normal 63 2 4 2 2 2" xfId="23021"/>
    <cellStyle name="Normal 63 2 4 2 2 3" xfId="17554"/>
    <cellStyle name="Normal 63 2 4 2 3" xfId="15313"/>
    <cellStyle name="Normal 63 2 4 2 4" xfId="20807"/>
    <cellStyle name="Normal 63 2 4 2 5" xfId="12164"/>
    <cellStyle name="Normal 63 2 4 3" xfId="7330"/>
    <cellStyle name="Normal 63 2 4 3 2" xfId="21437"/>
    <cellStyle name="Normal 63 2 4 3 3" xfId="15964"/>
    <cellStyle name="Normal 63 2 4 4" xfId="14771"/>
    <cellStyle name="Normal 63 2 4 5" xfId="20286"/>
    <cellStyle name="Normal 63 2 4 6" xfId="10577"/>
    <cellStyle name="Normal 63 2 5" xfId="5542"/>
    <cellStyle name="Normal 63 2 5 2" xfId="8122"/>
    <cellStyle name="Normal 63 2 5 2 2" xfId="22229"/>
    <cellStyle name="Normal 63 2 5 2 3" xfId="16756"/>
    <cellStyle name="Normal 63 2 5 3" xfId="14772"/>
    <cellStyle name="Normal 63 2 5 4" xfId="20287"/>
    <cellStyle name="Normal 63 2 5 5" xfId="11369"/>
    <cellStyle name="Normal 63 2 6" xfId="5543"/>
    <cellStyle name="Normal 63 2 7" xfId="6971"/>
    <cellStyle name="Normal 63 2 7 2" xfId="21081"/>
    <cellStyle name="Normal 63 2 7 3" xfId="15608"/>
    <cellStyle name="Normal 63 2 8" xfId="10221"/>
    <cellStyle name="Normal 63 2 9" xfId="42095"/>
    <cellStyle name="Normal 63 3" xfId="3180"/>
    <cellStyle name="Normal 63 3 2" xfId="6195"/>
    <cellStyle name="Normal 63 3 3" xfId="12972"/>
    <cellStyle name="Normal 63 3 4" xfId="18514"/>
    <cellStyle name="Normal 63 4" xfId="5544"/>
    <cellStyle name="Normal 63 4 2" xfId="6308"/>
    <cellStyle name="Normal 63 4 2 2" xfId="8744"/>
    <cellStyle name="Normal 63 4 2 2 2" xfId="22845"/>
    <cellStyle name="Normal 63 4 2 2 3" xfId="17378"/>
    <cellStyle name="Normal 63 4 2 3" xfId="15137"/>
    <cellStyle name="Normal 63 4 2 4" xfId="20631"/>
    <cellStyle name="Normal 63 4 2 5" xfId="11988"/>
    <cellStyle name="Normal 63 4 3" xfId="7154"/>
    <cellStyle name="Normal 63 4 3 2" xfId="21261"/>
    <cellStyle name="Normal 63 4 3 3" xfId="15788"/>
    <cellStyle name="Normal 63 4 4" xfId="14773"/>
    <cellStyle name="Normal 63 4 5" xfId="20288"/>
    <cellStyle name="Normal 63 4 6" xfId="10401"/>
    <cellStyle name="Normal 63 5" xfId="5545"/>
    <cellStyle name="Normal 63 5 2" xfId="7946"/>
    <cellStyle name="Normal 63 5 2 2" xfId="22053"/>
    <cellStyle name="Normal 63 5 2 3" xfId="16580"/>
    <cellStyle name="Normal 63 5 3" xfId="14774"/>
    <cellStyle name="Normal 63 5 4" xfId="20289"/>
    <cellStyle name="Normal 63 5 5" xfId="11193"/>
    <cellStyle name="Normal 63 6" xfId="5546"/>
    <cellStyle name="Normal 63 7" xfId="6109"/>
    <cellStyle name="Normal 63 8" xfId="42094"/>
    <cellStyle name="Normal 64" xfId="1637"/>
    <cellStyle name="Normal 64 2" xfId="2683"/>
    <cellStyle name="Normal 64 2 2" xfId="5547"/>
    <cellStyle name="Normal 64 2 2 2" xfId="5548"/>
    <cellStyle name="Normal 64 2 2 2 2" xfId="8300"/>
    <cellStyle name="Normal 64 2 2 2 2 2" xfId="22407"/>
    <cellStyle name="Normal 64 2 2 2 2 3" xfId="16934"/>
    <cellStyle name="Normal 64 2 2 2 3" xfId="14776"/>
    <cellStyle name="Normal 64 2 2 2 4" xfId="20291"/>
    <cellStyle name="Normal 64 2 2 2 5" xfId="11548"/>
    <cellStyle name="Normal 64 2 2 3" xfId="5549"/>
    <cellStyle name="Normal 64 2 2 3 2" xfId="9098"/>
    <cellStyle name="Normal 64 2 2 3 2 2" xfId="23199"/>
    <cellStyle name="Normal 64 2 2 3 2 3" xfId="17732"/>
    <cellStyle name="Normal 64 2 2 3 3" xfId="14777"/>
    <cellStyle name="Normal 64 2 2 3 4" xfId="20292"/>
    <cellStyle name="Normal 64 2 2 3 5" xfId="12343"/>
    <cellStyle name="Normal 64 2 2 4" xfId="7508"/>
    <cellStyle name="Normal 64 2 2 4 2" xfId="21615"/>
    <cellStyle name="Normal 64 2 2 4 3" xfId="16142"/>
    <cellStyle name="Normal 64 2 2 5" xfId="14775"/>
    <cellStyle name="Normal 64 2 2 6" xfId="20290"/>
    <cellStyle name="Normal 64 2 2 7" xfId="10755"/>
    <cellStyle name="Normal 64 2 3" xfId="5550"/>
    <cellStyle name="Normal 64 2 3 2" xfId="5551"/>
    <cellStyle name="Normal 64 2 3 2 2" xfId="8560"/>
    <cellStyle name="Normal 64 2 3 2 2 2" xfId="22667"/>
    <cellStyle name="Normal 64 2 3 2 2 3" xfId="17194"/>
    <cellStyle name="Normal 64 2 3 2 3" xfId="14779"/>
    <cellStyle name="Normal 64 2 3 2 4" xfId="20294"/>
    <cellStyle name="Normal 64 2 3 2 5" xfId="11808"/>
    <cellStyle name="Normal 64 2 3 3" xfId="7768"/>
    <cellStyle name="Normal 64 2 3 3 2" xfId="21875"/>
    <cellStyle name="Normal 64 2 3 3 3" xfId="16402"/>
    <cellStyle name="Normal 64 2 3 4" xfId="14778"/>
    <cellStyle name="Normal 64 2 3 5" xfId="20293"/>
    <cellStyle name="Normal 64 2 3 6" xfId="11015"/>
    <cellStyle name="Normal 64 2 4" xfId="5552"/>
    <cellStyle name="Normal 64 2 4 2" xfId="6486"/>
    <cellStyle name="Normal 64 2 4 2 2" xfId="8922"/>
    <cellStyle name="Normal 64 2 4 2 2 2" xfId="23023"/>
    <cellStyle name="Normal 64 2 4 2 2 3" xfId="17556"/>
    <cellStyle name="Normal 64 2 4 2 3" xfId="15315"/>
    <cellStyle name="Normal 64 2 4 2 4" xfId="20809"/>
    <cellStyle name="Normal 64 2 4 2 5" xfId="12166"/>
    <cellStyle name="Normal 64 2 4 3" xfId="7332"/>
    <cellStyle name="Normal 64 2 4 3 2" xfId="21439"/>
    <cellStyle name="Normal 64 2 4 3 3" xfId="15966"/>
    <cellStyle name="Normal 64 2 4 4" xfId="14780"/>
    <cellStyle name="Normal 64 2 4 5" xfId="20295"/>
    <cellStyle name="Normal 64 2 4 6" xfId="10579"/>
    <cellStyle name="Normal 64 2 5" xfId="5553"/>
    <cellStyle name="Normal 64 2 5 2" xfId="8124"/>
    <cellStyle name="Normal 64 2 5 2 2" xfId="22231"/>
    <cellStyle name="Normal 64 2 5 2 3" xfId="16758"/>
    <cellStyle name="Normal 64 2 5 3" xfId="14781"/>
    <cellStyle name="Normal 64 2 5 4" xfId="20296"/>
    <cellStyle name="Normal 64 2 5 5" xfId="11371"/>
    <cellStyle name="Normal 64 2 6" xfId="5554"/>
    <cellStyle name="Normal 64 2 7" xfId="6973"/>
    <cellStyle name="Normal 64 2 7 2" xfId="21083"/>
    <cellStyle name="Normal 64 2 7 3" xfId="15610"/>
    <cellStyle name="Normal 64 2 8" xfId="10223"/>
    <cellStyle name="Normal 64 2 9" xfId="42097"/>
    <cellStyle name="Normal 64 3" xfId="5555"/>
    <cellStyle name="Normal 64 4" xfId="5556"/>
    <cellStyle name="Normal 64 4 2" xfId="6310"/>
    <cellStyle name="Normal 64 4 2 2" xfId="8746"/>
    <cellStyle name="Normal 64 4 2 2 2" xfId="22847"/>
    <cellStyle name="Normal 64 4 2 2 3" xfId="17380"/>
    <cellStyle name="Normal 64 4 2 3" xfId="15139"/>
    <cellStyle name="Normal 64 4 2 4" xfId="20633"/>
    <cellStyle name="Normal 64 4 2 5" xfId="11990"/>
    <cellStyle name="Normal 64 4 3" xfId="7156"/>
    <cellStyle name="Normal 64 4 3 2" xfId="21263"/>
    <cellStyle name="Normal 64 4 3 3" xfId="15790"/>
    <cellStyle name="Normal 64 4 4" xfId="14782"/>
    <cellStyle name="Normal 64 4 5" xfId="20297"/>
    <cellStyle name="Normal 64 4 6" xfId="10403"/>
    <cellStyle name="Normal 64 5" xfId="5557"/>
    <cellStyle name="Normal 64 5 2" xfId="7948"/>
    <cellStyle name="Normal 64 5 2 2" xfId="22055"/>
    <cellStyle name="Normal 64 5 2 3" xfId="16582"/>
    <cellStyle name="Normal 64 5 3" xfId="14783"/>
    <cellStyle name="Normal 64 5 4" xfId="20298"/>
    <cellStyle name="Normal 64 5 5" xfId="11195"/>
    <cellStyle name="Normal 64 6" xfId="5558"/>
    <cellStyle name="Normal 64 7" xfId="42096"/>
    <cellStyle name="Normal 65" xfId="1638"/>
    <cellStyle name="Normal 65 2" xfId="2684"/>
    <cellStyle name="Normal 65 2 2" xfId="5559"/>
    <cellStyle name="Normal 65 2 2 2" xfId="5560"/>
    <cellStyle name="Normal 65 2 2 2 2" xfId="8302"/>
    <cellStyle name="Normal 65 2 2 2 2 2" xfId="22409"/>
    <cellStyle name="Normal 65 2 2 2 2 3" xfId="16936"/>
    <cellStyle name="Normal 65 2 2 2 3" xfId="14785"/>
    <cellStyle name="Normal 65 2 2 2 4" xfId="20300"/>
    <cellStyle name="Normal 65 2 2 2 5" xfId="11550"/>
    <cellStyle name="Normal 65 2 2 3" xfId="5561"/>
    <cellStyle name="Normal 65 2 2 3 2" xfId="9100"/>
    <cellStyle name="Normal 65 2 2 3 2 2" xfId="23201"/>
    <cellStyle name="Normal 65 2 2 3 2 3" xfId="17734"/>
    <cellStyle name="Normal 65 2 2 3 3" xfId="14786"/>
    <cellStyle name="Normal 65 2 2 3 4" xfId="20301"/>
    <cellStyle name="Normal 65 2 2 3 5" xfId="12345"/>
    <cellStyle name="Normal 65 2 2 4" xfId="7510"/>
    <cellStyle name="Normal 65 2 2 4 2" xfId="21617"/>
    <cellStyle name="Normal 65 2 2 4 3" xfId="16144"/>
    <cellStyle name="Normal 65 2 2 5" xfId="14784"/>
    <cellStyle name="Normal 65 2 2 6" xfId="20299"/>
    <cellStyle name="Normal 65 2 2 7" xfId="10757"/>
    <cellStyle name="Normal 65 2 3" xfId="5562"/>
    <cellStyle name="Normal 65 2 3 2" xfId="5563"/>
    <cellStyle name="Normal 65 2 3 2 2" xfId="8562"/>
    <cellStyle name="Normal 65 2 3 2 2 2" xfId="22669"/>
    <cellStyle name="Normal 65 2 3 2 2 3" xfId="17196"/>
    <cellStyle name="Normal 65 2 3 2 3" xfId="14788"/>
    <cellStyle name="Normal 65 2 3 2 4" xfId="20303"/>
    <cellStyle name="Normal 65 2 3 2 5" xfId="11810"/>
    <cellStyle name="Normal 65 2 3 3" xfId="7770"/>
    <cellStyle name="Normal 65 2 3 3 2" xfId="21877"/>
    <cellStyle name="Normal 65 2 3 3 3" xfId="16404"/>
    <cellStyle name="Normal 65 2 3 4" xfId="14787"/>
    <cellStyle name="Normal 65 2 3 5" xfId="20302"/>
    <cellStyle name="Normal 65 2 3 6" xfId="11017"/>
    <cellStyle name="Normal 65 2 4" xfId="5564"/>
    <cellStyle name="Normal 65 2 4 2" xfId="6488"/>
    <cellStyle name="Normal 65 2 4 2 2" xfId="8924"/>
    <cellStyle name="Normal 65 2 4 2 2 2" xfId="23025"/>
    <cellStyle name="Normal 65 2 4 2 2 3" xfId="17558"/>
    <cellStyle name="Normal 65 2 4 2 3" xfId="15317"/>
    <cellStyle name="Normal 65 2 4 2 4" xfId="20811"/>
    <cellStyle name="Normal 65 2 4 2 5" xfId="12168"/>
    <cellStyle name="Normal 65 2 4 3" xfId="7334"/>
    <cellStyle name="Normal 65 2 4 3 2" xfId="21441"/>
    <cellStyle name="Normal 65 2 4 3 3" xfId="15968"/>
    <cellStyle name="Normal 65 2 4 4" xfId="14789"/>
    <cellStyle name="Normal 65 2 4 5" xfId="20304"/>
    <cellStyle name="Normal 65 2 4 6" xfId="10581"/>
    <cellStyle name="Normal 65 2 5" xfId="5565"/>
    <cellStyle name="Normal 65 2 5 2" xfId="8126"/>
    <cellStyle name="Normal 65 2 5 2 2" xfId="22233"/>
    <cellStyle name="Normal 65 2 5 2 3" xfId="16760"/>
    <cellStyle name="Normal 65 2 5 3" xfId="14790"/>
    <cellStyle name="Normal 65 2 5 4" xfId="20305"/>
    <cellStyle name="Normal 65 2 5 5" xfId="11373"/>
    <cellStyle name="Normal 65 2 6" xfId="5566"/>
    <cellStyle name="Normal 65 2 7" xfId="6975"/>
    <cellStyle name="Normal 65 2 7 2" xfId="21085"/>
    <cellStyle name="Normal 65 2 7 3" xfId="15612"/>
    <cellStyle name="Normal 65 2 8" xfId="10225"/>
    <cellStyle name="Normal 65 2 9" xfId="42099"/>
    <cellStyle name="Normal 65 3" xfId="5567"/>
    <cellStyle name="Normal 65 4" xfId="5568"/>
    <cellStyle name="Normal 65 4 2" xfId="6312"/>
    <cellStyle name="Normal 65 4 2 2" xfId="8748"/>
    <cellStyle name="Normal 65 4 2 2 2" xfId="22849"/>
    <cellStyle name="Normal 65 4 2 2 3" xfId="17382"/>
    <cellStyle name="Normal 65 4 2 3" xfId="15141"/>
    <cellStyle name="Normal 65 4 2 4" xfId="20635"/>
    <cellStyle name="Normal 65 4 2 5" xfId="11992"/>
    <cellStyle name="Normal 65 4 3" xfId="7158"/>
    <cellStyle name="Normal 65 4 3 2" xfId="21265"/>
    <cellStyle name="Normal 65 4 3 3" xfId="15792"/>
    <cellStyle name="Normal 65 4 4" xfId="14791"/>
    <cellStyle name="Normal 65 4 5" xfId="20306"/>
    <cellStyle name="Normal 65 4 6" xfId="10405"/>
    <cellStyle name="Normal 65 5" xfId="5569"/>
    <cellStyle name="Normal 65 5 2" xfId="7950"/>
    <cellStyle name="Normal 65 5 2 2" xfId="22057"/>
    <cellStyle name="Normal 65 5 2 3" xfId="16584"/>
    <cellStyle name="Normal 65 5 3" xfId="14792"/>
    <cellStyle name="Normal 65 5 4" xfId="20307"/>
    <cellStyle name="Normal 65 5 5" xfId="11197"/>
    <cellStyle name="Normal 65 6" xfId="5570"/>
    <cellStyle name="Normal 65 7" xfId="42098"/>
    <cellStyle name="Normal 66" xfId="1634"/>
    <cellStyle name="Normal 66 2" xfId="2656"/>
    <cellStyle name="Normal 66 2 2" xfId="5571"/>
    <cellStyle name="Normal 66 2 2 2" xfId="5572"/>
    <cellStyle name="Normal 66 2 2 2 2" xfId="8304"/>
    <cellStyle name="Normal 66 2 2 2 2 2" xfId="22411"/>
    <cellStyle name="Normal 66 2 2 2 2 3" xfId="16938"/>
    <cellStyle name="Normal 66 2 2 2 3" xfId="14794"/>
    <cellStyle name="Normal 66 2 2 2 4" xfId="20309"/>
    <cellStyle name="Normal 66 2 2 2 5" xfId="11552"/>
    <cellStyle name="Normal 66 2 2 3" xfId="5573"/>
    <cellStyle name="Normal 66 2 2 3 2" xfId="9102"/>
    <cellStyle name="Normal 66 2 2 3 2 2" xfId="23203"/>
    <cellStyle name="Normal 66 2 2 3 2 3" xfId="17736"/>
    <cellStyle name="Normal 66 2 2 3 3" xfId="14795"/>
    <cellStyle name="Normal 66 2 2 3 4" xfId="20310"/>
    <cellStyle name="Normal 66 2 2 3 5" xfId="12347"/>
    <cellStyle name="Normal 66 2 2 4" xfId="7512"/>
    <cellStyle name="Normal 66 2 2 4 2" xfId="21619"/>
    <cellStyle name="Normal 66 2 2 4 3" xfId="16146"/>
    <cellStyle name="Normal 66 2 2 5" xfId="14793"/>
    <cellStyle name="Normal 66 2 2 6" xfId="20308"/>
    <cellStyle name="Normal 66 2 2 7" xfId="10759"/>
    <cellStyle name="Normal 66 2 3" xfId="5574"/>
    <cellStyle name="Normal 66 2 3 2" xfId="5575"/>
    <cellStyle name="Normal 66 2 3 2 2" xfId="8564"/>
    <cellStyle name="Normal 66 2 3 2 2 2" xfId="22671"/>
    <cellStyle name="Normal 66 2 3 2 2 3" xfId="17198"/>
    <cellStyle name="Normal 66 2 3 2 3" xfId="14797"/>
    <cellStyle name="Normal 66 2 3 2 4" xfId="20312"/>
    <cellStyle name="Normal 66 2 3 2 5" xfId="11812"/>
    <cellStyle name="Normal 66 2 3 3" xfId="7772"/>
    <cellStyle name="Normal 66 2 3 3 2" xfId="21879"/>
    <cellStyle name="Normal 66 2 3 3 3" xfId="16406"/>
    <cellStyle name="Normal 66 2 3 4" xfId="14796"/>
    <cellStyle name="Normal 66 2 3 5" xfId="20311"/>
    <cellStyle name="Normal 66 2 3 6" xfId="11019"/>
    <cellStyle name="Normal 66 2 4" xfId="5576"/>
    <cellStyle name="Normal 66 2 4 2" xfId="6490"/>
    <cellStyle name="Normal 66 2 4 2 2" xfId="8926"/>
    <cellStyle name="Normal 66 2 4 2 2 2" xfId="23027"/>
    <cellStyle name="Normal 66 2 4 2 2 3" xfId="17560"/>
    <cellStyle name="Normal 66 2 4 2 3" xfId="15319"/>
    <cellStyle name="Normal 66 2 4 2 4" xfId="20813"/>
    <cellStyle name="Normal 66 2 4 2 5" xfId="12170"/>
    <cellStyle name="Normal 66 2 4 3" xfId="7336"/>
    <cellStyle name="Normal 66 2 4 3 2" xfId="21443"/>
    <cellStyle name="Normal 66 2 4 3 3" xfId="15970"/>
    <cellStyle name="Normal 66 2 4 4" xfId="14798"/>
    <cellStyle name="Normal 66 2 4 5" xfId="20313"/>
    <cellStyle name="Normal 66 2 4 6" xfId="10583"/>
    <cellStyle name="Normal 66 2 5" xfId="5577"/>
    <cellStyle name="Normal 66 2 5 2" xfId="8128"/>
    <cellStyle name="Normal 66 2 5 2 2" xfId="22235"/>
    <cellStyle name="Normal 66 2 5 2 3" xfId="16762"/>
    <cellStyle name="Normal 66 2 5 3" xfId="14799"/>
    <cellStyle name="Normal 66 2 5 4" xfId="20314"/>
    <cellStyle name="Normal 66 2 5 5" xfId="11375"/>
    <cellStyle name="Normal 66 2 6" xfId="5578"/>
    <cellStyle name="Normal 66 2 7" xfId="6977"/>
    <cellStyle name="Normal 66 2 7 2" xfId="21087"/>
    <cellStyle name="Normal 66 2 7 3" xfId="15614"/>
    <cellStyle name="Normal 66 2 8" xfId="10227"/>
    <cellStyle name="Normal 66 2 9" xfId="42101"/>
    <cellStyle name="Normal 66 3" xfId="5579"/>
    <cellStyle name="Normal 66 4" xfId="5580"/>
    <cellStyle name="Normal 66 4 2" xfId="6314"/>
    <cellStyle name="Normal 66 4 2 2" xfId="8750"/>
    <cellStyle name="Normal 66 4 2 2 2" xfId="22851"/>
    <cellStyle name="Normal 66 4 2 2 3" xfId="17384"/>
    <cellStyle name="Normal 66 4 2 3" xfId="15143"/>
    <cellStyle name="Normal 66 4 2 4" xfId="20637"/>
    <cellStyle name="Normal 66 4 2 5" xfId="11994"/>
    <cellStyle name="Normal 66 4 3" xfId="7160"/>
    <cellStyle name="Normal 66 4 3 2" xfId="21267"/>
    <cellStyle name="Normal 66 4 3 3" xfId="15794"/>
    <cellStyle name="Normal 66 4 4" xfId="14800"/>
    <cellStyle name="Normal 66 4 5" xfId="20315"/>
    <cellStyle name="Normal 66 4 6" xfId="10407"/>
    <cellStyle name="Normal 66 5" xfId="5581"/>
    <cellStyle name="Normal 66 5 2" xfId="7952"/>
    <cellStyle name="Normal 66 5 2 2" xfId="22059"/>
    <cellStyle name="Normal 66 5 2 3" xfId="16586"/>
    <cellStyle name="Normal 66 5 3" xfId="14801"/>
    <cellStyle name="Normal 66 5 4" xfId="20316"/>
    <cellStyle name="Normal 66 5 5" xfId="11199"/>
    <cellStyle name="Normal 66 6" xfId="5582"/>
    <cellStyle name="Normal 66 7" xfId="42100"/>
    <cellStyle name="Normal 67" xfId="1632"/>
    <cellStyle name="Normal 67 2" xfId="2698"/>
    <cellStyle name="Normal 67 2 2" xfId="5583"/>
    <cellStyle name="Normal 67 2 2 2" xfId="5584"/>
    <cellStyle name="Normal 67 2 2 2 2" xfId="8306"/>
    <cellStyle name="Normal 67 2 2 2 2 2" xfId="22413"/>
    <cellStyle name="Normal 67 2 2 2 2 3" xfId="16940"/>
    <cellStyle name="Normal 67 2 2 2 3" xfId="14803"/>
    <cellStyle name="Normal 67 2 2 2 4" xfId="20318"/>
    <cellStyle name="Normal 67 2 2 2 5" xfId="11554"/>
    <cellStyle name="Normal 67 2 2 3" xfId="5585"/>
    <cellStyle name="Normal 67 2 2 3 2" xfId="9104"/>
    <cellStyle name="Normal 67 2 2 3 2 2" xfId="23205"/>
    <cellStyle name="Normal 67 2 2 3 2 3" xfId="17738"/>
    <cellStyle name="Normal 67 2 2 3 3" xfId="14804"/>
    <cellStyle name="Normal 67 2 2 3 4" xfId="20319"/>
    <cellStyle name="Normal 67 2 2 3 5" xfId="12349"/>
    <cellStyle name="Normal 67 2 2 4" xfId="7514"/>
    <cellStyle name="Normal 67 2 2 4 2" xfId="21621"/>
    <cellStyle name="Normal 67 2 2 4 3" xfId="16148"/>
    <cellStyle name="Normal 67 2 2 5" xfId="14802"/>
    <cellStyle name="Normal 67 2 2 6" xfId="20317"/>
    <cellStyle name="Normal 67 2 2 7" xfId="10761"/>
    <cellStyle name="Normal 67 2 3" xfId="5586"/>
    <cellStyle name="Normal 67 2 3 2" xfId="5587"/>
    <cellStyle name="Normal 67 2 3 2 2" xfId="8566"/>
    <cellStyle name="Normal 67 2 3 2 2 2" xfId="22673"/>
    <cellStyle name="Normal 67 2 3 2 2 3" xfId="17200"/>
    <cellStyle name="Normal 67 2 3 2 3" xfId="14806"/>
    <cellStyle name="Normal 67 2 3 2 4" xfId="20321"/>
    <cellStyle name="Normal 67 2 3 2 5" xfId="11814"/>
    <cellStyle name="Normal 67 2 3 3" xfId="7774"/>
    <cellStyle name="Normal 67 2 3 3 2" xfId="21881"/>
    <cellStyle name="Normal 67 2 3 3 3" xfId="16408"/>
    <cellStyle name="Normal 67 2 3 4" xfId="14805"/>
    <cellStyle name="Normal 67 2 3 5" xfId="20320"/>
    <cellStyle name="Normal 67 2 3 6" xfId="11021"/>
    <cellStyle name="Normal 67 2 4" xfId="5588"/>
    <cellStyle name="Normal 67 2 4 2" xfId="6492"/>
    <cellStyle name="Normal 67 2 4 2 2" xfId="8928"/>
    <cellStyle name="Normal 67 2 4 2 2 2" xfId="23029"/>
    <cellStyle name="Normal 67 2 4 2 2 3" xfId="17562"/>
    <cellStyle name="Normal 67 2 4 2 3" xfId="15321"/>
    <cellStyle name="Normal 67 2 4 2 4" xfId="20815"/>
    <cellStyle name="Normal 67 2 4 2 5" xfId="12172"/>
    <cellStyle name="Normal 67 2 4 3" xfId="7338"/>
    <cellStyle name="Normal 67 2 4 3 2" xfId="21445"/>
    <cellStyle name="Normal 67 2 4 3 3" xfId="15972"/>
    <cellStyle name="Normal 67 2 4 4" xfId="14807"/>
    <cellStyle name="Normal 67 2 4 5" xfId="20322"/>
    <cellStyle name="Normal 67 2 4 6" xfId="10585"/>
    <cellStyle name="Normal 67 2 5" xfId="5589"/>
    <cellStyle name="Normal 67 2 5 2" xfId="8130"/>
    <cellStyle name="Normal 67 2 5 2 2" xfId="22237"/>
    <cellStyle name="Normal 67 2 5 2 3" xfId="16764"/>
    <cellStyle name="Normal 67 2 5 3" xfId="14808"/>
    <cellStyle name="Normal 67 2 5 4" xfId="20323"/>
    <cellStyle name="Normal 67 2 5 5" xfId="11377"/>
    <cellStyle name="Normal 67 2 6" xfId="5590"/>
    <cellStyle name="Normal 67 2 7" xfId="6979"/>
    <cellStyle name="Normal 67 2 7 2" xfId="21089"/>
    <cellStyle name="Normal 67 2 7 3" xfId="15616"/>
    <cellStyle name="Normal 67 2 8" xfId="10229"/>
    <cellStyle name="Normal 67 2 9" xfId="42103"/>
    <cellStyle name="Normal 67 3" xfId="5591"/>
    <cellStyle name="Normal 67 4" xfId="5592"/>
    <cellStyle name="Normal 67 4 2" xfId="6316"/>
    <cellStyle name="Normal 67 4 2 2" xfId="8752"/>
    <cellStyle name="Normal 67 4 2 2 2" xfId="22853"/>
    <cellStyle name="Normal 67 4 2 2 3" xfId="17386"/>
    <cellStyle name="Normal 67 4 2 3" xfId="15145"/>
    <cellStyle name="Normal 67 4 2 4" xfId="20639"/>
    <cellStyle name="Normal 67 4 2 5" xfId="11996"/>
    <cellStyle name="Normal 67 4 3" xfId="7162"/>
    <cellStyle name="Normal 67 4 3 2" xfId="21269"/>
    <cellStyle name="Normal 67 4 3 3" xfId="15796"/>
    <cellStyle name="Normal 67 4 4" xfId="14809"/>
    <cellStyle name="Normal 67 4 5" xfId="20324"/>
    <cellStyle name="Normal 67 4 6" xfId="10409"/>
    <cellStyle name="Normal 67 5" xfId="5593"/>
    <cellStyle name="Normal 67 5 2" xfId="7954"/>
    <cellStyle name="Normal 67 5 2 2" xfId="22061"/>
    <cellStyle name="Normal 67 5 2 3" xfId="16588"/>
    <cellStyle name="Normal 67 5 3" xfId="14810"/>
    <cellStyle name="Normal 67 5 4" xfId="20325"/>
    <cellStyle name="Normal 67 5 5" xfId="11201"/>
    <cellStyle name="Normal 67 6" xfId="5594"/>
    <cellStyle name="Normal 67 7" xfId="42102"/>
    <cellStyle name="Normal 68" xfId="1639"/>
    <cellStyle name="Normal 68 2" xfId="2722"/>
    <cellStyle name="Normal 68 2 2" xfId="5595"/>
    <cellStyle name="Normal 68 2 2 2" xfId="5596"/>
    <cellStyle name="Normal 68 2 2 2 2" xfId="8308"/>
    <cellStyle name="Normal 68 2 2 2 2 2" xfId="22415"/>
    <cellStyle name="Normal 68 2 2 2 2 3" xfId="16942"/>
    <cellStyle name="Normal 68 2 2 2 3" xfId="14812"/>
    <cellStyle name="Normal 68 2 2 2 4" xfId="20327"/>
    <cellStyle name="Normal 68 2 2 2 5" xfId="11556"/>
    <cellStyle name="Normal 68 2 2 3" xfId="5597"/>
    <cellStyle name="Normal 68 2 2 3 2" xfId="9106"/>
    <cellStyle name="Normal 68 2 2 3 2 2" xfId="23207"/>
    <cellStyle name="Normal 68 2 2 3 2 3" xfId="17740"/>
    <cellStyle name="Normal 68 2 2 3 3" xfId="14813"/>
    <cellStyle name="Normal 68 2 2 3 4" xfId="20328"/>
    <cellStyle name="Normal 68 2 2 3 5" xfId="12351"/>
    <cellStyle name="Normal 68 2 2 4" xfId="7516"/>
    <cellStyle name="Normal 68 2 2 4 2" xfId="21623"/>
    <cellStyle name="Normal 68 2 2 4 3" xfId="16150"/>
    <cellStyle name="Normal 68 2 2 5" xfId="14811"/>
    <cellStyle name="Normal 68 2 2 6" xfId="20326"/>
    <cellStyle name="Normal 68 2 2 7" xfId="10763"/>
    <cellStyle name="Normal 68 2 3" xfId="5598"/>
    <cellStyle name="Normal 68 2 3 2" xfId="5599"/>
    <cellStyle name="Normal 68 2 3 2 2" xfId="8568"/>
    <cellStyle name="Normal 68 2 3 2 2 2" xfId="22675"/>
    <cellStyle name="Normal 68 2 3 2 2 3" xfId="17202"/>
    <cellStyle name="Normal 68 2 3 2 3" xfId="14815"/>
    <cellStyle name="Normal 68 2 3 2 4" xfId="20330"/>
    <cellStyle name="Normal 68 2 3 2 5" xfId="11816"/>
    <cellStyle name="Normal 68 2 3 3" xfId="7776"/>
    <cellStyle name="Normal 68 2 3 3 2" xfId="21883"/>
    <cellStyle name="Normal 68 2 3 3 3" xfId="16410"/>
    <cellStyle name="Normal 68 2 3 4" xfId="14814"/>
    <cellStyle name="Normal 68 2 3 5" xfId="20329"/>
    <cellStyle name="Normal 68 2 3 6" xfId="11023"/>
    <cellStyle name="Normal 68 2 4" xfId="5600"/>
    <cellStyle name="Normal 68 2 4 2" xfId="6494"/>
    <cellStyle name="Normal 68 2 4 2 2" xfId="8930"/>
    <cellStyle name="Normal 68 2 4 2 2 2" xfId="23031"/>
    <cellStyle name="Normal 68 2 4 2 2 3" xfId="17564"/>
    <cellStyle name="Normal 68 2 4 2 3" xfId="15323"/>
    <cellStyle name="Normal 68 2 4 2 4" xfId="20817"/>
    <cellStyle name="Normal 68 2 4 2 5" xfId="12174"/>
    <cellStyle name="Normal 68 2 4 3" xfId="7340"/>
    <cellStyle name="Normal 68 2 4 3 2" xfId="21447"/>
    <cellStyle name="Normal 68 2 4 3 3" xfId="15974"/>
    <cellStyle name="Normal 68 2 4 4" xfId="14816"/>
    <cellStyle name="Normal 68 2 4 5" xfId="20331"/>
    <cellStyle name="Normal 68 2 4 6" xfId="10587"/>
    <cellStyle name="Normal 68 2 5" xfId="5601"/>
    <cellStyle name="Normal 68 2 5 2" xfId="8132"/>
    <cellStyle name="Normal 68 2 5 2 2" xfId="22239"/>
    <cellStyle name="Normal 68 2 5 2 3" xfId="16766"/>
    <cellStyle name="Normal 68 2 5 3" xfId="14817"/>
    <cellStyle name="Normal 68 2 5 4" xfId="20332"/>
    <cellStyle name="Normal 68 2 5 5" xfId="11379"/>
    <cellStyle name="Normal 68 2 6" xfId="5602"/>
    <cellStyle name="Normal 68 2 7" xfId="6981"/>
    <cellStyle name="Normal 68 2 7 2" xfId="21091"/>
    <cellStyle name="Normal 68 2 7 3" xfId="15618"/>
    <cellStyle name="Normal 68 2 8" xfId="10231"/>
    <cellStyle name="Normal 68 2 9" xfId="42105"/>
    <cellStyle name="Normal 68 3" xfId="5603"/>
    <cellStyle name="Normal 68 4" xfId="5604"/>
    <cellStyle name="Normal 68 4 2" xfId="6318"/>
    <cellStyle name="Normal 68 4 2 2" xfId="8754"/>
    <cellStyle name="Normal 68 4 2 2 2" xfId="22855"/>
    <cellStyle name="Normal 68 4 2 2 3" xfId="17388"/>
    <cellStyle name="Normal 68 4 2 3" xfId="15147"/>
    <cellStyle name="Normal 68 4 2 4" xfId="20641"/>
    <cellStyle name="Normal 68 4 2 5" xfId="11998"/>
    <cellStyle name="Normal 68 4 3" xfId="7164"/>
    <cellStyle name="Normal 68 4 3 2" xfId="21271"/>
    <cellStyle name="Normal 68 4 3 3" xfId="15798"/>
    <cellStyle name="Normal 68 4 4" xfId="14818"/>
    <cellStyle name="Normal 68 4 5" xfId="20333"/>
    <cellStyle name="Normal 68 4 6" xfId="10411"/>
    <cellStyle name="Normal 68 5" xfId="5605"/>
    <cellStyle name="Normal 68 5 2" xfId="7956"/>
    <cellStyle name="Normal 68 5 2 2" xfId="22063"/>
    <cellStyle name="Normal 68 5 2 3" xfId="16590"/>
    <cellStyle name="Normal 68 5 3" xfId="14819"/>
    <cellStyle name="Normal 68 5 4" xfId="20334"/>
    <cellStyle name="Normal 68 5 5" xfId="11203"/>
    <cellStyle name="Normal 68 6" xfId="5606"/>
    <cellStyle name="Normal 68 7" xfId="42104"/>
    <cellStyle name="Normal 69" xfId="1633"/>
    <cellStyle name="Normal 69 2" xfId="3037"/>
    <cellStyle name="Normal 69 2 2" xfId="5607"/>
    <cellStyle name="Normal 69 2 2 2" xfId="5608"/>
    <cellStyle name="Normal 69 2 2 2 2" xfId="8310"/>
    <cellStyle name="Normal 69 2 2 2 2 2" xfId="22417"/>
    <cellStyle name="Normal 69 2 2 2 2 3" xfId="16944"/>
    <cellStyle name="Normal 69 2 2 2 3" xfId="14821"/>
    <cellStyle name="Normal 69 2 2 2 4" xfId="20336"/>
    <cellStyle name="Normal 69 2 2 2 5" xfId="11558"/>
    <cellStyle name="Normal 69 2 2 3" xfId="5609"/>
    <cellStyle name="Normal 69 2 2 3 2" xfId="9108"/>
    <cellStyle name="Normal 69 2 2 3 2 2" xfId="23209"/>
    <cellStyle name="Normal 69 2 2 3 2 3" xfId="17742"/>
    <cellStyle name="Normal 69 2 2 3 3" xfId="14822"/>
    <cellStyle name="Normal 69 2 2 3 4" xfId="20337"/>
    <cellStyle name="Normal 69 2 2 3 5" xfId="12353"/>
    <cellStyle name="Normal 69 2 2 4" xfId="7518"/>
    <cellStyle name="Normal 69 2 2 4 2" xfId="21625"/>
    <cellStyle name="Normal 69 2 2 4 3" xfId="16152"/>
    <cellStyle name="Normal 69 2 2 5" xfId="14820"/>
    <cellStyle name="Normal 69 2 2 6" xfId="20335"/>
    <cellStyle name="Normal 69 2 2 7" xfId="10765"/>
    <cellStyle name="Normal 69 2 3" xfId="5610"/>
    <cellStyle name="Normal 69 2 3 2" xfId="5611"/>
    <cellStyle name="Normal 69 2 3 2 2" xfId="8570"/>
    <cellStyle name="Normal 69 2 3 2 2 2" xfId="22677"/>
    <cellStyle name="Normal 69 2 3 2 2 3" xfId="17204"/>
    <cellStyle name="Normal 69 2 3 2 3" xfId="14824"/>
    <cellStyle name="Normal 69 2 3 2 4" xfId="20339"/>
    <cellStyle name="Normal 69 2 3 2 5" xfId="11818"/>
    <cellStyle name="Normal 69 2 3 3" xfId="7778"/>
    <cellStyle name="Normal 69 2 3 3 2" xfId="21885"/>
    <cellStyle name="Normal 69 2 3 3 3" xfId="16412"/>
    <cellStyle name="Normal 69 2 3 4" xfId="14823"/>
    <cellStyle name="Normal 69 2 3 5" xfId="20338"/>
    <cellStyle name="Normal 69 2 3 6" xfId="11025"/>
    <cellStyle name="Normal 69 2 4" xfId="5612"/>
    <cellStyle name="Normal 69 2 4 2" xfId="6496"/>
    <cellStyle name="Normal 69 2 4 2 2" xfId="8932"/>
    <cellStyle name="Normal 69 2 4 2 2 2" xfId="23033"/>
    <cellStyle name="Normal 69 2 4 2 2 3" xfId="17566"/>
    <cellStyle name="Normal 69 2 4 2 3" xfId="15325"/>
    <cellStyle name="Normal 69 2 4 2 4" xfId="20819"/>
    <cellStyle name="Normal 69 2 4 2 5" xfId="12176"/>
    <cellStyle name="Normal 69 2 4 3" xfId="7342"/>
    <cellStyle name="Normal 69 2 4 3 2" xfId="21449"/>
    <cellStyle name="Normal 69 2 4 3 3" xfId="15976"/>
    <cellStyle name="Normal 69 2 4 4" xfId="14825"/>
    <cellStyle name="Normal 69 2 4 5" xfId="20340"/>
    <cellStyle name="Normal 69 2 4 6" xfId="10589"/>
    <cellStyle name="Normal 69 2 5" xfId="5613"/>
    <cellStyle name="Normal 69 2 5 2" xfId="8134"/>
    <cellStyle name="Normal 69 2 5 2 2" xfId="22241"/>
    <cellStyle name="Normal 69 2 5 2 3" xfId="16768"/>
    <cellStyle name="Normal 69 2 5 3" xfId="14826"/>
    <cellStyle name="Normal 69 2 5 4" xfId="20341"/>
    <cellStyle name="Normal 69 2 5 5" xfId="11381"/>
    <cellStyle name="Normal 69 2 6" xfId="5614"/>
    <cellStyle name="Normal 69 2 7" xfId="6983"/>
    <cellStyle name="Normal 69 2 7 2" xfId="21093"/>
    <cellStyle name="Normal 69 2 7 3" xfId="15620"/>
    <cellStyle name="Normal 69 2 8" xfId="10233"/>
    <cellStyle name="Normal 69 2 9" xfId="42107"/>
    <cellStyle name="Normal 69 3" xfId="5615"/>
    <cellStyle name="Normal 69 4" xfId="5616"/>
    <cellStyle name="Normal 69 4 2" xfId="6320"/>
    <cellStyle name="Normal 69 4 2 2" xfId="8756"/>
    <cellStyle name="Normal 69 4 2 2 2" xfId="22857"/>
    <cellStyle name="Normal 69 4 2 2 3" xfId="17390"/>
    <cellStyle name="Normal 69 4 2 3" xfId="15149"/>
    <cellStyle name="Normal 69 4 2 4" xfId="20643"/>
    <cellStyle name="Normal 69 4 2 5" xfId="12000"/>
    <cellStyle name="Normal 69 4 3" xfId="7166"/>
    <cellStyle name="Normal 69 4 3 2" xfId="21273"/>
    <cellStyle name="Normal 69 4 3 3" xfId="15800"/>
    <cellStyle name="Normal 69 4 4" xfId="14827"/>
    <cellStyle name="Normal 69 4 5" xfId="20342"/>
    <cellStyle name="Normal 69 4 6" xfId="10413"/>
    <cellStyle name="Normal 69 5" xfId="5617"/>
    <cellStyle name="Normal 69 5 2" xfId="7958"/>
    <cellStyle name="Normal 69 5 2 2" xfId="22065"/>
    <cellStyle name="Normal 69 5 2 3" xfId="16592"/>
    <cellStyle name="Normal 69 5 3" xfId="14828"/>
    <cellStyle name="Normal 69 5 4" xfId="20343"/>
    <cellStyle name="Normal 69 5 5" xfId="11205"/>
    <cellStyle name="Normal 69 6" xfId="5618"/>
    <cellStyle name="Normal 69 7" xfId="42106"/>
    <cellStyle name="Normal 7" xfId="55"/>
    <cellStyle name="Normal 7 2" xfId="1405"/>
    <cellStyle name="Normal 7 3" xfId="6075"/>
    <cellStyle name="Normal 7 3 2" xfId="24318"/>
    <cellStyle name="Normal 7 3 2 2" xfId="42108"/>
    <cellStyle name="Normal 7 3 3" xfId="24605"/>
    <cellStyle name="Normal 7 4" xfId="9565"/>
    <cellStyle name="Normal 7 4 2" xfId="24568"/>
    <cellStyle name="Normal 7 4 2 2" xfId="42109"/>
    <cellStyle name="Normal 7 4 3" xfId="24402"/>
    <cellStyle name="Normal 7 5" xfId="24335"/>
    <cellStyle name="Normal 7 6" xfId="43171"/>
    <cellStyle name="Normal 7 7" xfId="44277"/>
    <cellStyle name="Normal 7 8" xfId="544"/>
    <cellStyle name="Normal 7 9" xfId="157"/>
    <cellStyle name="Normal 70" xfId="1636"/>
    <cellStyle name="Normal 70 2" xfId="3190"/>
    <cellStyle name="Normal 70 2 2" xfId="5619"/>
    <cellStyle name="Normal 70 2 2 2" xfId="5620"/>
    <cellStyle name="Normal 70 2 2 2 2" xfId="8312"/>
    <cellStyle name="Normal 70 2 2 2 2 2" xfId="22419"/>
    <cellStyle name="Normal 70 2 2 2 2 3" xfId="16946"/>
    <cellStyle name="Normal 70 2 2 2 3" xfId="14830"/>
    <cellStyle name="Normal 70 2 2 2 4" xfId="20345"/>
    <cellStyle name="Normal 70 2 2 2 5" xfId="11560"/>
    <cellStyle name="Normal 70 2 2 3" xfId="5621"/>
    <cellStyle name="Normal 70 2 2 3 2" xfId="9110"/>
    <cellStyle name="Normal 70 2 2 3 2 2" xfId="23211"/>
    <cellStyle name="Normal 70 2 2 3 2 3" xfId="17744"/>
    <cellStyle name="Normal 70 2 2 3 3" xfId="14831"/>
    <cellStyle name="Normal 70 2 2 3 4" xfId="20346"/>
    <cellStyle name="Normal 70 2 2 3 5" xfId="12355"/>
    <cellStyle name="Normal 70 2 2 4" xfId="7520"/>
    <cellStyle name="Normal 70 2 2 4 2" xfId="21627"/>
    <cellStyle name="Normal 70 2 2 4 3" xfId="16154"/>
    <cellStyle name="Normal 70 2 2 5" xfId="14829"/>
    <cellStyle name="Normal 70 2 2 6" xfId="20344"/>
    <cellStyle name="Normal 70 2 2 7" xfId="10767"/>
    <cellStyle name="Normal 70 2 3" xfId="5622"/>
    <cellStyle name="Normal 70 2 3 2" xfId="5623"/>
    <cellStyle name="Normal 70 2 3 2 2" xfId="8572"/>
    <cellStyle name="Normal 70 2 3 2 2 2" xfId="22679"/>
    <cellStyle name="Normal 70 2 3 2 2 3" xfId="17206"/>
    <cellStyle name="Normal 70 2 3 2 3" xfId="14833"/>
    <cellStyle name="Normal 70 2 3 2 4" xfId="20348"/>
    <cellStyle name="Normal 70 2 3 2 5" xfId="11820"/>
    <cellStyle name="Normal 70 2 3 3" xfId="7780"/>
    <cellStyle name="Normal 70 2 3 3 2" xfId="21887"/>
    <cellStyle name="Normal 70 2 3 3 3" xfId="16414"/>
    <cellStyle name="Normal 70 2 3 4" xfId="14832"/>
    <cellStyle name="Normal 70 2 3 5" xfId="20347"/>
    <cellStyle name="Normal 70 2 3 6" xfId="11027"/>
    <cellStyle name="Normal 70 2 4" xfId="5624"/>
    <cellStyle name="Normal 70 2 4 2" xfId="6498"/>
    <cellStyle name="Normal 70 2 4 2 2" xfId="8934"/>
    <cellStyle name="Normal 70 2 4 2 2 2" xfId="23035"/>
    <cellStyle name="Normal 70 2 4 2 2 3" xfId="17568"/>
    <cellStyle name="Normal 70 2 4 2 3" xfId="15327"/>
    <cellStyle name="Normal 70 2 4 2 4" xfId="20821"/>
    <cellStyle name="Normal 70 2 4 2 5" xfId="12178"/>
    <cellStyle name="Normal 70 2 4 3" xfId="7344"/>
    <cellStyle name="Normal 70 2 4 3 2" xfId="21451"/>
    <cellStyle name="Normal 70 2 4 3 3" xfId="15978"/>
    <cellStyle name="Normal 70 2 4 4" xfId="14834"/>
    <cellStyle name="Normal 70 2 4 5" xfId="20349"/>
    <cellStyle name="Normal 70 2 4 6" xfId="10591"/>
    <cellStyle name="Normal 70 2 5" xfId="5625"/>
    <cellStyle name="Normal 70 2 5 2" xfId="8136"/>
    <cellStyle name="Normal 70 2 5 2 2" xfId="22243"/>
    <cellStyle name="Normal 70 2 5 2 3" xfId="16770"/>
    <cellStyle name="Normal 70 2 5 3" xfId="14835"/>
    <cellStyle name="Normal 70 2 5 4" xfId="20350"/>
    <cellStyle name="Normal 70 2 5 5" xfId="11383"/>
    <cellStyle name="Normal 70 2 6" xfId="6985"/>
    <cellStyle name="Normal 70 2 6 2" xfId="21095"/>
    <cellStyle name="Normal 70 2 6 3" xfId="15622"/>
    <cellStyle name="Normal 70 2 7" xfId="12982"/>
    <cellStyle name="Normal 70 2 8" xfId="18524"/>
    <cellStyle name="Normal 70 2 9" xfId="10235"/>
    <cellStyle name="Normal 70 3" xfId="5626"/>
    <cellStyle name="Normal 70 3 2" xfId="24328"/>
    <cellStyle name="Normal 70 4" xfId="5627"/>
    <cellStyle name="Normal 70 4 2" xfId="6322"/>
    <cellStyle name="Normal 70 4 2 2" xfId="8758"/>
    <cellStyle name="Normal 70 4 2 2 2" xfId="22859"/>
    <cellStyle name="Normal 70 4 2 2 3" xfId="17392"/>
    <cellStyle name="Normal 70 4 2 3" xfId="15151"/>
    <cellStyle name="Normal 70 4 2 4" xfId="20645"/>
    <cellStyle name="Normal 70 4 2 5" xfId="12002"/>
    <cellStyle name="Normal 70 4 3" xfId="7168"/>
    <cellStyle name="Normal 70 4 3 2" xfId="21275"/>
    <cellStyle name="Normal 70 4 3 3" xfId="15802"/>
    <cellStyle name="Normal 70 4 4" xfId="14836"/>
    <cellStyle name="Normal 70 4 5" xfId="20351"/>
    <cellStyle name="Normal 70 4 6" xfId="10415"/>
    <cellStyle name="Normal 70 5" xfId="5628"/>
    <cellStyle name="Normal 70 5 2" xfId="7960"/>
    <cellStyle name="Normal 70 5 2 2" xfId="22067"/>
    <cellStyle name="Normal 70 5 2 3" xfId="16594"/>
    <cellStyle name="Normal 70 5 3" xfId="14837"/>
    <cellStyle name="Normal 70 5 4" xfId="20352"/>
    <cellStyle name="Normal 70 5 5" xfId="11207"/>
    <cellStyle name="Normal 70 6" xfId="5629"/>
    <cellStyle name="Normal 70 7" xfId="42110"/>
    <cellStyle name="Normal 71" xfId="1642"/>
    <cellStyle name="Normal 71 2" xfId="5630"/>
    <cellStyle name="Normal 71 2 10" xfId="24333"/>
    <cellStyle name="Normal 71 2 11" xfId="42111"/>
    <cellStyle name="Normal 71 2 2" xfId="5631"/>
    <cellStyle name="Normal 71 2 2 2" xfId="5632"/>
    <cellStyle name="Normal 71 2 2 2 2" xfId="8314"/>
    <cellStyle name="Normal 71 2 2 2 2 2" xfId="22421"/>
    <cellStyle name="Normal 71 2 2 2 2 3" xfId="16948"/>
    <cellStyle name="Normal 71 2 2 2 3" xfId="14840"/>
    <cellStyle name="Normal 71 2 2 2 4" xfId="20355"/>
    <cellStyle name="Normal 71 2 2 2 5" xfId="11562"/>
    <cellStyle name="Normal 71 2 2 3" xfId="5633"/>
    <cellStyle name="Normal 71 2 2 3 2" xfId="9112"/>
    <cellStyle name="Normal 71 2 2 3 2 2" xfId="23213"/>
    <cellStyle name="Normal 71 2 2 3 2 3" xfId="17746"/>
    <cellStyle name="Normal 71 2 2 3 3" xfId="14841"/>
    <cellStyle name="Normal 71 2 2 3 4" xfId="20356"/>
    <cellStyle name="Normal 71 2 2 3 5" xfId="12357"/>
    <cellStyle name="Normal 71 2 2 4" xfId="7522"/>
    <cellStyle name="Normal 71 2 2 4 2" xfId="21629"/>
    <cellStyle name="Normal 71 2 2 4 3" xfId="16156"/>
    <cellStyle name="Normal 71 2 2 5" xfId="14839"/>
    <cellStyle name="Normal 71 2 2 6" xfId="20354"/>
    <cellStyle name="Normal 71 2 2 7" xfId="10769"/>
    <cellStyle name="Normal 71 2 2 8" xfId="42112"/>
    <cellStyle name="Normal 71 2 3" xfId="5634"/>
    <cellStyle name="Normal 71 2 3 2" xfId="5635"/>
    <cellStyle name="Normal 71 2 3 2 2" xfId="8574"/>
    <cellStyle name="Normal 71 2 3 2 2 2" xfId="22681"/>
    <cellStyle name="Normal 71 2 3 2 2 3" xfId="17208"/>
    <cellStyle name="Normal 71 2 3 2 3" xfId="14843"/>
    <cellStyle name="Normal 71 2 3 2 4" xfId="20358"/>
    <cellStyle name="Normal 71 2 3 2 5" xfId="11822"/>
    <cellStyle name="Normal 71 2 3 3" xfId="7782"/>
    <cellStyle name="Normal 71 2 3 3 2" xfId="21889"/>
    <cellStyle name="Normal 71 2 3 3 3" xfId="16416"/>
    <cellStyle name="Normal 71 2 3 4" xfId="14842"/>
    <cellStyle name="Normal 71 2 3 5" xfId="20357"/>
    <cellStyle name="Normal 71 2 3 6" xfId="11029"/>
    <cellStyle name="Normal 71 2 4" xfId="5636"/>
    <cellStyle name="Normal 71 2 4 2" xfId="6500"/>
    <cellStyle name="Normal 71 2 4 2 2" xfId="8936"/>
    <cellStyle name="Normal 71 2 4 2 2 2" xfId="23037"/>
    <cellStyle name="Normal 71 2 4 2 2 3" xfId="17570"/>
    <cellStyle name="Normal 71 2 4 2 3" xfId="15329"/>
    <cellStyle name="Normal 71 2 4 2 4" xfId="20823"/>
    <cellStyle name="Normal 71 2 4 2 5" xfId="12180"/>
    <cellStyle name="Normal 71 2 4 3" xfId="7346"/>
    <cellStyle name="Normal 71 2 4 3 2" xfId="21453"/>
    <cellStyle name="Normal 71 2 4 3 3" xfId="15980"/>
    <cellStyle name="Normal 71 2 4 4" xfId="14844"/>
    <cellStyle name="Normal 71 2 4 5" xfId="20359"/>
    <cellStyle name="Normal 71 2 4 6" xfId="10593"/>
    <cellStyle name="Normal 71 2 5" xfId="5637"/>
    <cellStyle name="Normal 71 2 5 2" xfId="8138"/>
    <cellStyle name="Normal 71 2 5 2 2" xfId="22245"/>
    <cellStyle name="Normal 71 2 5 2 3" xfId="16772"/>
    <cellStyle name="Normal 71 2 5 3" xfId="14845"/>
    <cellStyle name="Normal 71 2 5 4" xfId="20360"/>
    <cellStyle name="Normal 71 2 5 5" xfId="11385"/>
    <cellStyle name="Normal 71 2 6" xfId="6987"/>
    <cellStyle name="Normal 71 2 6 2" xfId="21097"/>
    <cellStyle name="Normal 71 2 6 3" xfId="15624"/>
    <cellStyle name="Normal 71 2 7" xfId="14838"/>
    <cellStyle name="Normal 71 2 8" xfId="20353"/>
    <cellStyle name="Normal 71 2 9" xfId="10237"/>
    <cellStyle name="Normal 71 3" xfId="5638"/>
    <cellStyle name="Normal 71 4" xfId="5639"/>
    <cellStyle name="Normal 71 4 2" xfId="6324"/>
    <cellStyle name="Normal 71 4 2 2" xfId="8760"/>
    <cellStyle name="Normal 71 4 2 2 2" xfId="22861"/>
    <cellStyle name="Normal 71 4 2 2 3" xfId="17394"/>
    <cellStyle name="Normal 71 4 2 3" xfId="15153"/>
    <cellStyle name="Normal 71 4 2 4" xfId="20647"/>
    <cellStyle name="Normal 71 4 2 5" xfId="12004"/>
    <cellStyle name="Normal 71 4 3" xfId="7170"/>
    <cellStyle name="Normal 71 4 3 2" xfId="21277"/>
    <cellStyle name="Normal 71 4 3 3" xfId="15804"/>
    <cellStyle name="Normal 71 4 4" xfId="14846"/>
    <cellStyle name="Normal 71 4 5" xfId="20361"/>
    <cellStyle name="Normal 71 4 6" xfId="10417"/>
    <cellStyle name="Normal 71 5" xfId="5640"/>
    <cellStyle name="Normal 71 5 2" xfId="7962"/>
    <cellStyle name="Normal 71 5 2 2" xfId="22069"/>
    <cellStyle name="Normal 71 5 2 3" xfId="16596"/>
    <cellStyle name="Normal 71 5 3" xfId="14847"/>
    <cellStyle name="Normal 71 5 4" xfId="20362"/>
    <cellStyle name="Normal 71 5 5" xfId="11209"/>
    <cellStyle name="Normal 71 6" xfId="1870"/>
    <cellStyle name="Normal 72" xfId="1635"/>
    <cellStyle name="Normal 72 2" xfId="5641"/>
    <cellStyle name="Normal 72 2 10" xfId="10075"/>
    <cellStyle name="Normal 72 2 11" xfId="42113"/>
    <cellStyle name="Normal 72 2 2" xfId="5642"/>
    <cellStyle name="Normal 72 2 2 2" xfId="5643"/>
    <cellStyle name="Normal 72 2 2 2 2" xfId="8316"/>
    <cellStyle name="Normal 72 2 2 2 2 2" xfId="22423"/>
    <cellStyle name="Normal 72 2 2 2 2 3" xfId="16950"/>
    <cellStyle name="Normal 72 2 2 2 3" xfId="14850"/>
    <cellStyle name="Normal 72 2 2 2 4" xfId="20365"/>
    <cellStyle name="Normal 72 2 2 2 5" xfId="11564"/>
    <cellStyle name="Normal 72 2 2 3" xfId="5644"/>
    <cellStyle name="Normal 72 2 2 3 2" xfId="9114"/>
    <cellStyle name="Normal 72 2 2 3 2 2" xfId="23215"/>
    <cellStyle name="Normal 72 2 2 3 2 3" xfId="17748"/>
    <cellStyle name="Normal 72 2 2 3 3" xfId="14851"/>
    <cellStyle name="Normal 72 2 2 3 4" xfId="20366"/>
    <cellStyle name="Normal 72 2 2 3 5" xfId="12359"/>
    <cellStyle name="Normal 72 2 2 4" xfId="7524"/>
    <cellStyle name="Normal 72 2 2 4 2" xfId="21631"/>
    <cellStyle name="Normal 72 2 2 4 3" xfId="16158"/>
    <cellStyle name="Normal 72 2 2 5" xfId="14849"/>
    <cellStyle name="Normal 72 2 2 6" xfId="20364"/>
    <cellStyle name="Normal 72 2 2 7" xfId="10771"/>
    <cellStyle name="Normal 72 2 2 8" xfId="42114"/>
    <cellStyle name="Normal 72 2 3" xfId="5645"/>
    <cellStyle name="Normal 72 2 3 2" xfId="5646"/>
    <cellStyle name="Normal 72 2 3 2 2" xfId="8576"/>
    <cellStyle name="Normal 72 2 3 2 2 2" xfId="22683"/>
    <cellStyle name="Normal 72 2 3 2 2 3" xfId="17210"/>
    <cellStyle name="Normal 72 2 3 2 3" xfId="14853"/>
    <cellStyle name="Normal 72 2 3 2 4" xfId="20368"/>
    <cellStyle name="Normal 72 2 3 2 5" xfId="11824"/>
    <cellStyle name="Normal 72 2 3 3" xfId="7784"/>
    <cellStyle name="Normal 72 2 3 3 2" xfId="21891"/>
    <cellStyle name="Normal 72 2 3 3 3" xfId="16418"/>
    <cellStyle name="Normal 72 2 3 4" xfId="14852"/>
    <cellStyle name="Normal 72 2 3 5" xfId="20367"/>
    <cellStyle name="Normal 72 2 3 6" xfId="11031"/>
    <cellStyle name="Normal 72 2 4" xfId="5647"/>
    <cellStyle name="Normal 72 2 4 2" xfId="6502"/>
    <cellStyle name="Normal 72 2 4 2 2" xfId="8938"/>
    <cellStyle name="Normal 72 2 4 2 2 2" xfId="23039"/>
    <cellStyle name="Normal 72 2 4 2 2 3" xfId="17572"/>
    <cellStyle name="Normal 72 2 4 2 3" xfId="15331"/>
    <cellStyle name="Normal 72 2 4 2 4" xfId="20825"/>
    <cellStyle name="Normal 72 2 4 2 5" xfId="12182"/>
    <cellStyle name="Normal 72 2 4 3" xfId="7348"/>
    <cellStyle name="Normal 72 2 4 3 2" xfId="21455"/>
    <cellStyle name="Normal 72 2 4 3 3" xfId="15982"/>
    <cellStyle name="Normal 72 2 4 4" xfId="14854"/>
    <cellStyle name="Normal 72 2 4 5" xfId="20369"/>
    <cellStyle name="Normal 72 2 4 6" xfId="10595"/>
    <cellStyle name="Normal 72 2 5" xfId="5648"/>
    <cellStyle name="Normal 72 2 5 2" xfId="8140"/>
    <cellStyle name="Normal 72 2 5 2 2" xfId="22247"/>
    <cellStyle name="Normal 72 2 5 2 3" xfId="16774"/>
    <cellStyle name="Normal 72 2 5 3" xfId="14855"/>
    <cellStyle name="Normal 72 2 5 4" xfId="20370"/>
    <cellStyle name="Normal 72 2 5 5" xfId="11387"/>
    <cellStyle name="Normal 72 2 6" xfId="6989"/>
    <cellStyle name="Normal 72 2 6 2" xfId="21099"/>
    <cellStyle name="Normal 72 2 6 3" xfId="15626"/>
    <cellStyle name="Normal 72 2 7" xfId="14848"/>
    <cellStyle name="Normal 72 2 8" xfId="20363"/>
    <cellStyle name="Normal 72 2 9" xfId="10239"/>
    <cellStyle name="Normal 72 3" xfId="5649"/>
    <cellStyle name="Normal 72 4" xfId="5650"/>
    <cellStyle name="Normal 72 4 2" xfId="6326"/>
    <cellStyle name="Normal 72 4 2 2" xfId="8762"/>
    <cellStyle name="Normal 72 4 2 2 2" xfId="22863"/>
    <cellStyle name="Normal 72 4 2 2 3" xfId="17396"/>
    <cellStyle name="Normal 72 4 2 3" xfId="15155"/>
    <cellStyle name="Normal 72 4 2 4" xfId="20649"/>
    <cellStyle name="Normal 72 4 2 5" xfId="12006"/>
    <cellStyle name="Normal 72 4 3" xfId="7172"/>
    <cellStyle name="Normal 72 4 3 2" xfId="21279"/>
    <cellStyle name="Normal 72 4 3 3" xfId="15806"/>
    <cellStyle name="Normal 72 4 4" xfId="14856"/>
    <cellStyle name="Normal 72 4 5" xfId="20371"/>
    <cellStyle name="Normal 72 4 6" xfId="10419"/>
    <cellStyle name="Normal 72 5" xfId="5651"/>
    <cellStyle name="Normal 72 5 2" xfId="7964"/>
    <cellStyle name="Normal 72 5 2 2" xfId="22071"/>
    <cellStyle name="Normal 72 5 2 3" xfId="16598"/>
    <cellStyle name="Normal 72 5 3" xfId="14857"/>
    <cellStyle name="Normal 72 5 4" xfId="20372"/>
    <cellStyle name="Normal 72 5 5" xfId="11211"/>
    <cellStyle name="Normal 72 6" xfId="1912"/>
    <cellStyle name="Normal 73" xfId="2215"/>
    <cellStyle name="Normal 73 2" xfId="5652"/>
    <cellStyle name="Normal 73 2 10" xfId="24581"/>
    <cellStyle name="Normal 73 2 11" xfId="42115"/>
    <cellStyle name="Normal 73 2 2" xfId="5653"/>
    <cellStyle name="Normal 73 2 2 2" xfId="5654"/>
    <cellStyle name="Normal 73 2 2 2 2" xfId="8317"/>
    <cellStyle name="Normal 73 2 2 2 2 2" xfId="22424"/>
    <cellStyle name="Normal 73 2 2 2 2 3" xfId="16951"/>
    <cellStyle name="Normal 73 2 2 2 3" xfId="14860"/>
    <cellStyle name="Normal 73 2 2 2 4" xfId="20375"/>
    <cellStyle name="Normal 73 2 2 2 5" xfId="11565"/>
    <cellStyle name="Normal 73 2 2 3" xfId="5655"/>
    <cellStyle name="Normal 73 2 2 3 2" xfId="9115"/>
    <cellStyle name="Normal 73 2 2 3 2 2" xfId="23216"/>
    <cellStyle name="Normal 73 2 2 3 2 3" xfId="17749"/>
    <cellStyle name="Normal 73 2 2 3 3" xfId="14861"/>
    <cellStyle name="Normal 73 2 2 3 4" xfId="20376"/>
    <cellStyle name="Normal 73 2 2 3 5" xfId="12360"/>
    <cellStyle name="Normal 73 2 2 4" xfId="7525"/>
    <cellStyle name="Normal 73 2 2 4 2" xfId="21632"/>
    <cellStyle name="Normal 73 2 2 4 3" xfId="16159"/>
    <cellStyle name="Normal 73 2 2 5" xfId="14859"/>
    <cellStyle name="Normal 73 2 2 6" xfId="20374"/>
    <cellStyle name="Normal 73 2 2 7" xfId="10772"/>
    <cellStyle name="Normal 73 2 2 8" xfId="42116"/>
    <cellStyle name="Normal 73 2 3" xfId="5656"/>
    <cellStyle name="Normal 73 2 3 2" xfId="5657"/>
    <cellStyle name="Normal 73 2 3 2 2" xfId="8577"/>
    <cellStyle name="Normal 73 2 3 2 2 2" xfId="22684"/>
    <cellStyle name="Normal 73 2 3 2 2 3" xfId="17211"/>
    <cellStyle name="Normal 73 2 3 2 3" xfId="14863"/>
    <cellStyle name="Normal 73 2 3 2 4" xfId="20378"/>
    <cellStyle name="Normal 73 2 3 2 5" xfId="11825"/>
    <cellStyle name="Normal 73 2 3 3" xfId="7785"/>
    <cellStyle name="Normal 73 2 3 3 2" xfId="21892"/>
    <cellStyle name="Normal 73 2 3 3 3" xfId="16419"/>
    <cellStyle name="Normal 73 2 3 4" xfId="14862"/>
    <cellStyle name="Normal 73 2 3 5" xfId="20377"/>
    <cellStyle name="Normal 73 2 3 6" xfId="11032"/>
    <cellStyle name="Normal 73 2 4" xfId="5658"/>
    <cellStyle name="Normal 73 2 4 2" xfId="6503"/>
    <cellStyle name="Normal 73 2 4 2 2" xfId="8939"/>
    <cellStyle name="Normal 73 2 4 2 2 2" xfId="23040"/>
    <cellStyle name="Normal 73 2 4 2 2 3" xfId="17573"/>
    <cellStyle name="Normal 73 2 4 2 3" xfId="15332"/>
    <cellStyle name="Normal 73 2 4 2 4" xfId="20826"/>
    <cellStyle name="Normal 73 2 4 2 5" xfId="12183"/>
    <cellStyle name="Normal 73 2 4 3" xfId="7349"/>
    <cellStyle name="Normal 73 2 4 3 2" xfId="21456"/>
    <cellStyle name="Normal 73 2 4 3 3" xfId="15983"/>
    <cellStyle name="Normal 73 2 4 4" xfId="14864"/>
    <cellStyle name="Normal 73 2 4 5" xfId="20379"/>
    <cellStyle name="Normal 73 2 4 6" xfId="10596"/>
    <cellStyle name="Normal 73 2 5" xfId="5659"/>
    <cellStyle name="Normal 73 2 5 2" xfId="8141"/>
    <cellStyle name="Normal 73 2 5 2 2" xfId="22248"/>
    <cellStyle name="Normal 73 2 5 2 3" xfId="16775"/>
    <cellStyle name="Normal 73 2 5 3" xfId="14865"/>
    <cellStyle name="Normal 73 2 5 4" xfId="20380"/>
    <cellStyle name="Normal 73 2 5 5" xfId="11388"/>
    <cellStyle name="Normal 73 2 6" xfId="6990"/>
    <cellStyle name="Normal 73 2 6 2" xfId="21100"/>
    <cellStyle name="Normal 73 2 6 3" xfId="15627"/>
    <cellStyle name="Normal 73 2 7" xfId="14858"/>
    <cellStyle name="Normal 73 2 8" xfId="20373"/>
    <cellStyle name="Normal 73 2 9" xfId="10240"/>
    <cellStyle name="Normal 73 3" xfId="5660"/>
    <cellStyle name="Normal 73 4" xfId="5661"/>
    <cellStyle name="Normal 73 4 2" xfId="6327"/>
    <cellStyle name="Normal 73 4 2 2" xfId="8763"/>
    <cellStyle name="Normal 73 4 2 2 2" xfId="22864"/>
    <cellStyle name="Normal 73 4 2 2 3" xfId="17397"/>
    <cellStyle name="Normal 73 4 2 3" xfId="15156"/>
    <cellStyle name="Normal 73 4 2 4" xfId="20650"/>
    <cellStyle name="Normal 73 4 2 5" xfId="12007"/>
    <cellStyle name="Normal 73 4 3" xfId="7173"/>
    <cellStyle name="Normal 73 4 3 2" xfId="21280"/>
    <cellStyle name="Normal 73 4 3 3" xfId="15807"/>
    <cellStyle name="Normal 73 4 4" xfId="14866"/>
    <cellStyle name="Normal 73 4 5" xfId="20381"/>
    <cellStyle name="Normal 73 4 6" xfId="10420"/>
    <cellStyle name="Normal 73 5" xfId="5662"/>
    <cellStyle name="Normal 73 5 2" xfId="7965"/>
    <cellStyle name="Normal 73 5 2 2" xfId="22072"/>
    <cellStyle name="Normal 73 5 2 3" xfId="16599"/>
    <cellStyle name="Normal 73 5 3" xfId="14867"/>
    <cellStyle name="Normal 73 5 4" xfId="20382"/>
    <cellStyle name="Normal 73 5 5" xfId="11212"/>
    <cellStyle name="Normal 74" xfId="1900"/>
    <cellStyle name="Normal 74 2" xfId="5663"/>
    <cellStyle name="Normal 74 2 10" xfId="42117"/>
    <cellStyle name="Normal 74 2 2" xfId="5664"/>
    <cellStyle name="Normal 74 2 2 2" xfId="5665"/>
    <cellStyle name="Normal 74 2 2 2 2" xfId="8318"/>
    <cellStyle name="Normal 74 2 2 2 2 2" xfId="22425"/>
    <cellStyle name="Normal 74 2 2 2 2 3" xfId="16952"/>
    <cellStyle name="Normal 74 2 2 2 3" xfId="14870"/>
    <cellStyle name="Normal 74 2 2 2 4" xfId="20385"/>
    <cellStyle name="Normal 74 2 2 2 5" xfId="11566"/>
    <cellStyle name="Normal 74 2 2 3" xfId="5666"/>
    <cellStyle name="Normal 74 2 2 3 2" xfId="9116"/>
    <cellStyle name="Normal 74 2 2 3 2 2" xfId="23217"/>
    <cellStyle name="Normal 74 2 2 3 2 3" xfId="17750"/>
    <cellStyle name="Normal 74 2 2 3 3" xfId="14871"/>
    <cellStyle name="Normal 74 2 2 3 4" xfId="20386"/>
    <cellStyle name="Normal 74 2 2 3 5" xfId="12361"/>
    <cellStyle name="Normal 74 2 2 4" xfId="7526"/>
    <cellStyle name="Normal 74 2 2 4 2" xfId="21633"/>
    <cellStyle name="Normal 74 2 2 4 3" xfId="16160"/>
    <cellStyle name="Normal 74 2 2 5" xfId="14869"/>
    <cellStyle name="Normal 74 2 2 6" xfId="20384"/>
    <cellStyle name="Normal 74 2 2 7" xfId="10773"/>
    <cellStyle name="Normal 74 2 3" xfId="5667"/>
    <cellStyle name="Normal 74 2 3 2" xfId="5668"/>
    <cellStyle name="Normal 74 2 3 2 2" xfId="8578"/>
    <cellStyle name="Normal 74 2 3 2 2 2" xfId="22685"/>
    <cellStyle name="Normal 74 2 3 2 2 3" xfId="17212"/>
    <cellStyle name="Normal 74 2 3 2 3" xfId="14873"/>
    <cellStyle name="Normal 74 2 3 2 4" xfId="20388"/>
    <cellStyle name="Normal 74 2 3 2 5" xfId="11826"/>
    <cellStyle name="Normal 74 2 3 3" xfId="7786"/>
    <cellStyle name="Normal 74 2 3 3 2" xfId="21893"/>
    <cellStyle name="Normal 74 2 3 3 3" xfId="16420"/>
    <cellStyle name="Normal 74 2 3 4" xfId="14872"/>
    <cellStyle name="Normal 74 2 3 5" xfId="20387"/>
    <cellStyle name="Normal 74 2 3 6" xfId="11033"/>
    <cellStyle name="Normal 74 2 4" xfId="5669"/>
    <cellStyle name="Normal 74 2 4 2" xfId="6504"/>
    <cellStyle name="Normal 74 2 4 2 2" xfId="8940"/>
    <cellStyle name="Normal 74 2 4 2 2 2" xfId="23041"/>
    <cellStyle name="Normal 74 2 4 2 2 3" xfId="17574"/>
    <cellStyle name="Normal 74 2 4 2 3" xfId="15333"/>
    <cellStyle name="Normal 74 2 4 2 4" xfId="20827"/>
    <cellStyle name="Normal 74 2 4 2 5" xfId="12184"/>
    <cellStyle name="Normal 74 2 4 3" xfId="7350"/>
    <cellStyle name="Normal 74 2 4 3 2" xfId="21457"/>
    <cellStyle name="Normal 74 2 4 3 3" xfId="15984"/>
    <cellStyle name="Normal 74 2 4 4" xfId="14874"/>
    <cellStyle name="Normal 74 2 4 5" xfId="20389"/>
    <cellStyle name="Normal 74 2 4 6" xfId="10597"/>
    <cellStyle name="Normal 74 2 5" xfId="5670"/>
    <cellStyle name="Normal 74 2 5 2" xfId="8142"/>
    <cellStyle name="Normal 74 2 5 2 2" xfId="22249"/>
    <cellStyle name="Normal 74 2 5 2 3" xfId="16776"/>
    <cellStyle name="Normal 74 2 5 3" xfId="14875"/>
    <cellStyle name="Normal 74 2 5 4" xfId="20390"/>
    <cellStyle name="Normal 74 2 5 5" xfId="11389"/>
    <cellStyle name="Normal 74 2 6" xfId="6991"/>
    <cellStyle name="Normal 74 2 6 2" xfId="21101"/>
    <cellStyle name="Normal 74 2 6 3" xfId="15628"/>
    <cellStyle name="Normal 74 2 7" xfId="14868"/>
    <cellStyle name="Normal 74 2 8" xfId="20383"/>
    <cellStyle name="Normal 74 2 9" xfId="10241"/>
    <cellStyle name="Normal 74 3" xfId="5671"/>
    <cellStyle name="Normal 74 4" xfId="5672"/>
    <cellStyle name="Normal 74 4 2" xfId="6328"/>
    <cellStyle name="Normal 74 4 2 2" xfId="8764"/>
    <cellStyle name="Normal 74 4 2 2 2" xfId="22865"/>
    <cellStyle name="Normal 74 4 2 2 3" xfId="17398"/>
    <cellStyle name="Normal 74 4 2 3" xfId="15157"/>
    <cellStyle name="Normal 74 4 2 4" xfId="20651"/>
    <cellStyle name="Normal 74 4 2 5" xfId="12008"/>
    <cellStyle name="Normal 74 4 3" xfId="7174"/>
    <cellStyle name="Normal 74 4 3 2" xfId="21281"/>
    <cellStyle name="Normal 74 4 3 3" xfId="15808"/>
    <cellStyle name="Normal 74 4 4" xfId="14876"/>
    <cellStyle name="Normal 74 4 5" xfId="20391"/>
    <cellStyle name="Normal 74 4 6" xfId="10421"/>
    <cellStyle name="Normal 74 5" xfId="5673"/>
    <cellStyle name="Normal 74 5 2" xfId="7966"/>
    <cellStyle name="Normal 74 5 2 2" xfId="22073"/>
    <cellStyle name="Normal 74 5 2 3" xfId="16600"/>
    <cellStyle name="Normal 74 5 3" xfId="14877"/>
    <cellStyle name="Normal 74 5 4" xfId="20392"/>
    <cellStyle name="Normal 74 5 5" xfId="11213"/>
    <cellStyle name="Normal 75" xfId="2517"/>
    <cellStyle name="Normal 75 2" xfId="5674"/>
    <cellStyle name="Normal 75 2 10" xfId="42118"/>
    <cellStyle name="Normal 75 2 2" xfId="5675"/>
    <cellStyle name="Normal 75 2 2 2" xfId="5676"/>
    <cellStyle name="Normal 75 2 2 2 2" xfId="8321"/>
    <cellStyle name="Normal 75 2 2 2 2 2" xfId="22428"/>
    <cellStyle name="Normal 75 2 2 2 2 3" xfId="16955"/>
    <cellStyle name="Normal 75 2 2 2 3" xfId="14880"/>
    <cellStyle name="Normal 75 2 2 2 4" xfId="20395"/>
    <cellStyle name="Normal 75 2 2 2 5" xfId="11569"/>
    <cellStyle name="Normal 75 2 2 3" xfId="5677"/>
    <cellStyle name="Normal 75 2 2 3 2" xfId="9119"/>
    <cellStyle name="Normal 75 2 2 3 2 2" xfId="23220"/>
    <cellStyle name="Normal 75 2 2 3 2 3" xfId="17753"/>
    <cellStyle name="Normal 75 2 2 3 3" xfId="14881"/>
    <cellStyle name="Normal 75 2 2 3 4" xfId="20396"/>
    <cellStyle name="Normal 75 2 2 3 5" xfId="12364"/>
    <cellStyle name="Normal 75 2 2 4" xfId="7529"/>
    <cellStyle name="Normal 75 2 2 4 2" xfId="21636"/>
    <cellStyle name="Normal 75 2 2 4 3" xfId="16163"/>
    <cellStyle name="Normal 75 2 2 5" xfId="14879"/>
    <cellStyle name="Normal 75 2 2 6" xfId="20394"/>
    <cellStyle name="Normal 75 2 2 7" xfId="10776"/>
    <cellStyle name="Normal 75 2 3" xfId="5678"/>
    <cellStyle name="Normal 75 2 3 2" xfId="5679"/>
    <cellStyle name="Normal 75 2 3 2 2" xfId="8581"/>
    <cellStyle name="Normal 75 2 3 2 2 2" xfId="22688"/>
    <cellStyle name="Normal 75 2 3 2 2 3" xfId="17215"/>
    <cellStyle name="Normal 75 2 3 2 3" xfId="14883"/>
    <cellStyle name="Normal 75 2 3 2 4" xfId="20398"/>
    <cellStyle name="Normal 75 2 3 2 5" xfId="11829"/>
    <cellStyle name="Normal 75 2 3 3" xfId="7789"/>
    <cellStyle name="Normal 75 2 3 3 2" xfId="21896"/>
    <cellStyle name="Normal 75 2 3 3 3" xfId="16423"/>
    <cellStyle name="Normal 75 2 3 4" xfId="14882"/>
    <cellStyle name="Normal 75 2 3 5" xfId="20397"/>
    <cellStyle name="Normal 75 2 3 6" xfId="11036"/>
    <cellStyle name="Normal 75 2 4" xfId="5680"/>
    <cellStyle name="Normal 75 2 4 2" xfId="6507"/>
    <cellStyle name="Normal 75 2 4 2 2" xfId="8943"/>
    <cellStyle name="Normal 75 2 4 2 2 2" xfId="23044"/>
    <cellStyle name="Normal 75 2 4 2 2 3" xfId="17577"/>
    <cellStyle name="Normal 75 2 4 2 3" xfId="15336"/>
    <cellStyle name="Normal 75 2 4 2 4" xfId="20830"/>
    <cellStyle name="Normal 75 2 4 2 5" xfId="12187"/>
    <cellStyle name="Normal 75 2 4 3" xfId="7353"/>
    <cellStyle name="Normal 75 2 4 3 2" xfId="21460"/>
    <cellStyle name="Normal 75 2 4 3 3" xfId="15987"/>
    <cellStyle name="Normal 75 2 4 4" xfId="14884"/>
    <cellStyle name="Normal 75 2 4 5" xfId="20399"/>
    <cellStyle name="Normal 75 2 4 6" xfId="10600"/>
    <cellStyle name="Normal 75 2 5" xfId="5681"/>
    <cellStyle name="Normal 75 2 5 2" xfId="8145"/>
    <cellStyle name="Normal 75 2 5 2 2" xfId="22252"/>
    <cellStyle name="Normal 75 2 5 2 3" xfId="16779"/>
    <cellStyle name="Normal 75 2 5 3" xfId="14885"/>
    <cellStyle name="Normal 75 2 5 4" xfId="20400"/>
    <cellStyle name="Normal 75 2 5 5" xfId="11392"/>
    <cellStyle name="Normal 75 2 6" xfId="6994"/>
    <cellStyle name="Normal 75 2 6 2" xfId="21104"/>
    <cellStyle name="Normal 75 2 6 3" xfId="15631"/>
    <cellStyle name="Normal 75 2 7" xfId="14878"/>
    <cellStyle name="Normal 75 2 8" xfId="20393"/>
    <cellStyle name="Normal 75 2 9" xfId="10244"/>
    <cellStyle name="Normal 75 3" xfId="5682"/>
    <cellStyle name="Normal 75 4" xfId="5683"/>
    <cellStyle name="Normal 75 4 2" xfId="6331"/>
    <cellStyle name="Normal 75 4 2 2" xfId="8767"/>
    <cellStyle name="Normal 75 4 2 2 2" xfId="22868"/>
    <cellStyle name="Normal 75 4 2 2 3" xfId="17401"/>
    <cellStyle name="Normal 75 4 2 3" xfId="15160"/>
    <cellStyle name="Normal 75 4 2 4" xfId="20654"/>
    <cellStyle name="Normal 75 4 2 5" xfId="12011"/>
    <cellStyle name="Normal 75 4 3" xfId="7177"/>
    <cellStyle name="Normal 75 4 3 2" xfId="21284"/>
    <cellStyle name="Normal 75 4 3 3" xfId="15811"/>
    <cellStyle name="Normal 75 4 4" xfId="14886"/>
    <cellStyle name="Normal 75 4 5" xfId="20401"/>
    <cellStyle name="Normal 75 4 6" xfId="10424"/>
    <cellStyle name="Normal 75 5" xfId="5684"/>
    <cellStyle name="Normal 75 5 2" xfId="7969"/>
    <cellStyle name="Normal 75 5 2 2" xfId="22076"/>
    <cellStyle name="Normal 75 5 2 3" xfId="16603"/>
    <cellStyle name="Normal 75 5 3" xfId="14887"/>
    <cellStyle name="Normal 75 5 4" xfId="20402"/>
    <cellStyle name="Normal 75 5 5" xfId="11216"/>
    <cellStyle name="Normal 76" xfId="2515"/>
    <cellStyle name="Normal 76 2" xfId="5685"/>
    <cellStyle name="Normal 76 2 10" xfId="42119"/>
    <cellStyle name="Normal 76 2 2" xfId="5686"/>
    <cellStyle name="Normal 76 2 2 2" xfId="5687"/>
    <cellStyle name="Normal 76 2 2 2 2" xfId="8323"/>
    <cellStyle name="Normal 76 2 2 2 2 2" xfId="22430"/>
    <cellStyle name="Normal 76 2 2 2 2 3" xfId="16957"/>
    <cellStyle name="Normal 76 2 2 2 3" xfId="14890"/>
    <cellStyle name="Normal 76 2 2 2 4" xfId="20405"/>
    <cellStyle name="Normal 76 2 2 2 5" xfId="11571"/>
    <cellStyle name="Normal 76 2 2 3" xfId="5688"/>
    <cellStyle name="Normal 76 2 2 3 2" xfId="9121"/>
    <cellStyle name="Normal 76 2 2 3 2 2" xfId="23222"/>
    <cellStyle name="Normal 76 2 2 3 2 3" xfId="17755"/>
    <cellStyle name="Normal 76 2 2 3 3" xfId="14891"/>
    <cellStyle name="Normal 76 2 2 3 4" xfId="20406"/>
    <cellStyle name="Normal 76 2 2 3 5" xfId="12366"/>
    <cellStyle name="Normal 76 2 2 4" xfId="7531"/>
    <cellStyle name="Normal 76 2 2 4 2" xfId="21638"/>
    <cellStyle name="Normal 76 2 2 4 3" xfId="16165"/>
    <cellStyle name="Normal 76 2 2 5" xfId="14889"/>
    <cellStyle name="Normal 76 2 2 6" xfId="20404"/>
    <cellStyle name="Normal 76 2 2 7" xfId="10778"/>
    <cellStyle name="Normal 76 2 3" xfId="5689"/>
    <cellStyle name="Normal 76 2 3 2" xfId="5690"/>
    <cellStyle name="Normal 76 2 3 2 2" xfId="8583"/>
    <cellStyle name="Normal 76 2 3 2 2 2" xfId="22690"/>
    <cellStyle name="Normal 76 2 3 2 2 3" xfId="17217"/>
    <cellStyle name="Normal 76 2 3 2 3" xfId="14893"/>
    <cellStyle name="Normal 76 2 3 2 4" xfId="20408"/>
    <cellStyle name="Normal 76 2 3 2 5" xfId="11831"/>
    <cellStyle name="Normal 76 2 3 3" xfId="7791"/>
    <cellStyle name="Normal 76 2 3 3 2" xfId="21898"/>
    <cellStyle name="Normal 76 2 3 3 3" xfId="16425"/>
    <cellStyle name="Normal 76 2 3 4" xfId="14892"/>
    <cellStyle name="Normal 76 2 3 5" xfId="20407"/>
    <cellStyle name="Normal 76 2 3 6" xfId="11038"/>
    <cellStyle name="Normal 76 2 4" xfId="5691"/>
    <cellStyle name="Normal 76 2 4 2" xfId="6509"/>
    <cellStyle name="Normal 76 2 4 2 2" xfId="8945"/>
    <cellStyle name="Normal 76 2 4 2 2 2" xfId="23046"/>
    <cellStyle name="Normal 76 2 4 2 2 3" xfId="17579"/>
    <cellStyle name="Normal 76 2 4 2 3" xfId="15338"/>
    <cellStyle name="Normal 76 2 4 2 4" xfId="20832"/>
    <cellStyle name="Normal 76 2 4 2 5" xfId="12189"/>
    <cellStyle name="Normal 76 2 4 3" xfId="7355"/>
    <cellStyle name="Normal 76 2 4 3 2" xfId="21462"/>
    <cellStyle name="Normal 76 2 4 3 3" xfId="15989"/>
    <cellStyle name="Normal 76 2 4 4" xfId="14894"/>
    <cellStyle name="Normal 76 2 4 5" xfId="20409"/>
    <cellStyle name="Normal 76 2 4 6" xfId="10602"/>
    <cellStyle name="Normal 76 2 5" xfId="5692"/>
    <cellStyle name="Normal 76 2 5 2" xfId="8147"/>
    <cellStyle name="Normal 76 2 5 2 2" xfId="22254"/>
    <cellStyle name="Normal 76 2 5 2 3" xfId="16781"/>
    <cellStyle name="Normal 76 2 5 3" xfId="14895"/>
    <cellStyle name="Normal 76 2 5 4" xfId="20410"/>
    <cellStyle name="Normal 76 2 5 5" xfId="11394"/>
    <cellStyle name="Normal 76 2 6" xfId="6996"/>
    <cellStyle name="Normal 76 2 6 2" xfId="21106"/>
    <cellStyle name="Normal 76 2 6 3" xfId="15633"/>
    <cellStyle name="Normal 76 2 7" xfId="14888"/>
    <cellStyle name="Normal 76 2 8" xfId="20403"/>
    <cellStyle name="Normal 76 2 9" xfId="10246"/>
    <cellStyle name="Normal 76 3" xfId="5693"/>
    <cellStyle name="Normal 76 4" xfId="5694"/>
    <cellStyle name="Normal 76 4 2" xfId="6333"/>
    <cellStyle name="Normal 76 4 2 2" xfId="8769"/>
    <cellStyle name="Normal 76 4 2 2 2" xfId="22870"/>
    <cellStyle name="Normal 76 4 2 2 3" xfId="17403"/>
    <cellStyle name="Normal 76 4 2 3" xfId="15162"/>
    <cellStyle name="Normal 76 4 2 4" xfId="20656"/>
    <cellStyle name="Normal 76 4 2 5" xfId="12013"/>
    <cellStyle name="Normal 76 4 3" xfId="7179"/>
    <cellStyle name="Normal 76 4 3 2" xfId="21286"/>
    <cellStyle name="Normal 76 4 3 3" xfId="15813"/>
    <cellStyle name="Normal 76 4 4" xfId="14896"/>
    <cellStyle name="Normal 76 4 5" xfId="20411"/>
    <cellStyle name="Normal 76 4 6" xfId="10426"/>
    <cellStyle name="Normal 76 5" xfId="5695"/>
    <cellStyle name="Normal 76 5 2" xfId="7971"/>
    <cellStyle name="Normal 76 5 2 2" xfId="22078"/>
    <cellStyle name="Normal 76 5 2 3" xfId="16605"/>
    <cellStyle name="Normal 76 5 3" xfId="14897"/>
    <cellStyle name="Normal 76 5 4" xfId="20412"/>
    <cellStyle name="Normal 76 5 5" xfId="11218"/>
    <cellStyle name="Normal 77" xfId="1904"/>
    <cellStyle name="Normal 77 2" xfId="5696"/>
    <cellStyle name="Normal 77 2 10" xfId="42120"/>
    <cellStyle name="Normal 77 2 2" xfId="5697"/>
    <cellStyle name="Normal 77 2 2 2" xfId="5698"/>
    <cellStyle name="Normal 77 2 2 2 2" xfId="8325"/>
    <cellStyle name="Normal 77 2 2 2 2 2" xfId="22432"/>
    <cellStyle name="Normal 77 2 2 2 2 3" xfId="16959"/>
    <cellStyle name="Normal 77 2 2 2 3" xfId="14900"/>
    <cellStyle name="Normal 77 2 2 2 4" xfId="20415"/>
    <cellStyle name="Normal 77 2 2 2 5" xfId="11573"/>
    <cellStyle name="Normal 77 2 2 3" xfId="5699"/>
    <cellStyle name="Normal 77 2 2 3 2" xfId="9123"/>
    <cellStyle name="Normal 77 2 2 3 2 2" xfId="23224"/>
    <cellStyle name="Normal 77 2 2 3 2 3" xfId="17757"/>
    <cellStyle name="Normal 77 2 2 3 3" xfId="14901"/>
    <cellStyle name="Normal 77 2 2 3 4" xfId="20416"/>
    <cellStyle name="Normal 77 2 2 3 5" xfId="12368"/>
    <cellStyle name="Normal 77 2 2 4" xfId="7533"/>
    <cellStyle name="Normal 77 2 2 4 2" xfId="21640"/>
    <cellStyle name="Normal 77 2 2 4 3" xfId="16167"/>
    <cellStyle name="Normal 77 2 2 5" xfId="14899"/>
    <cellStyle name="Normal 77 2 2 6" xfId="20414"/>
    <cellStyle name="Normal 77 2 2 7" xfId="10780"/>
    <cellStyle name="Normal 77 2 3" xfId="5700"/>
    <cellStyle name="Normal 77 2 3 2" xfId="5701"/>
    <cellStyle name="Normal 77 2 3 2 2" xfId="8585"/>
    <cellStyle name="Normal 77 2 3 2 2 2" xfId="22692"/>
    <cellStyle name="Normal 77 2 3 2 2 3" xfId="17219"/>
    <cellStyle name="Normal 77 2 3 2 3" xfId="14903"/>
    <cellStyle name="Normal 77 2 3 2 4" xfId="20418"/>
    <cellStyle name="Normal 77 2 3 2 5" xfId="11833"/>
    <cellStyle name="Normal 77 2 3 3" xfId="7793"/>
    <cellStyle name="Normal 77 2 3 3 2" xfId="21900"/>
    <cellStyle name="Normal 77 2 3 3 3" xfId="16427"/>
    <cellStyle name="Normal 77 2 3 4" xfId="14902"/>
    <cellStyle name="Normal 77 2 3 5" xfId="20417"/>
    <cellStyle name="Normal 77 2 3 6" xfId="11040"/>
    <cellStyle name="Normal 77 2 4" xfId="5702"/>
    <cellStyle name="Normal 77 2 4 2" xfId="6511"/>
    <cellStyle name="Normal 77 2 4 2 2" xfId="8947"/>
    <cellStyle name="Normal 77 2 4 2 2 2" xfId="23048"/>
    <cellStyle name="Normal 77 2 4 2 2 3" xfId="17581"/>
    <cellStyle name="Normal 77 2 4 2 3" xfId="15340"/>
    <cellStyle name="Normal 77 2 4 2 4" xfId="20834"/>
    <cellStyle name="Normal 77 2 4 2 5" xfId="12191"/>
    <cellStyle name="Normal 77 2 4 3" xfId="7357"/>
    <cellStyle name="Normal 77 2 4 3 2" xfId="21464"/>
    <cellStyle name="Normal 77 2 4 3 3" xfId="15991"/>
    <cellStyle name="Normal 77 2 4 4" xfId="14904"/>
    <cellStyle name="Normal 77 2 4 5" xfId="20419"/>
    <cellStyle name="Normal 77 2 4 6" xfId="10604"/>
    <cellStyle name="Normal 77 2 5" xfId="5703"/>
    <cellStyle name="Normal 77 2 5 2" xfId="8149"/>
    <cellStyle name="Normal 77 2 5 2 2" xfId="22256"/>
    <cellStyle name="Normal 77 2 5 2 3" xfId="16783"/>
    <cellStyle name="Normal 77 2 5 3" xfId="14905"/>
    <cellStyle name="Normal 77 2 5 4" xfId="20420"/>
    <cellStyle name="Normal 77 2 5 5" xfId="11396"/>
    <cellStyle name="Normal 77 2 6" xfId="6998"/>
    <cellStyle name="Normal 77 2 6 2" xfId="21108"/>
    <cellStyle name="Normal 77 2 6 3" xfId="15635"/>
    <cellStyle name="Normal 77 2 7" xfId="14898"/>
    <cellStyle name="Normal 77 2 8" xfId="20413"/>
    <cellStyle name="Normal 77 2 9" xfId="10248"/>
    <cellStyle name="Normal 77 3" xfId="5704"/>
    <cellStyle name="Normal 77 4" xfId="5705"/>
    <cellStyle name="Normal 77 4 2" xfId="6335"/>
    <cellStyle name="Normal 77 4 2 2" xfId="8771"/>
    <cellStyle name="Normal 77 4 2 2 2" xfId="22872"/>
    <cellStyle name="Normal 77 4 2 2 3" xfId="17405"/>
    <cellStyle name="Normal 77 4 2 3" xfId="15164"/>
    <cellStyle name="Normal 77 4 2 4" xfId="20658"/>
    <cellStyle name="Normal 77 4 2 5" xfId="12015"/>
    <cellStyle name="Normal 77 4 3" xfId="7181"/>
    <cellStyle name="Normal 77 4 3 2" xfId="21288"/>
    <cellStyle name="Normal 77 4 3 3" xfId="15815"/>
    <cellStyle name="Normal 77 4 4" xfId="14906"/>
    <cellStyle name="Normal 77 4 5" xfId="20421"/>
    <cellStyle name="Normal 77 4 6" xfId="10428"/>
    <cellStyle name="Normal 77 5" xfId="5706"/>
    <cellStyle name="Normal 77 5 2" xfId="7973"/>
    <cellStyle name="Normal 77 5 2 2" xfId="22080"/>
    <cellStyle name="Normal 77 5 2 3" xfId="16607"/>
    <cellStyle name="Normal 77 5 3" xfId="14907"/>
    <cellStyle name="Normal 77 5 4" xfId="20422"/>
    <cellStyle name="Normal 77 5 5" xfId="11220"/>
    <cellStyle name="Normal 78" xfId="2505"/>
    <cellStyle name="Normal 78 2" xfId="5707"/>
    <cellStyle name="Normal 78 2 10" xfId="42121"/>
    <cellStyle name="Normal 78 2 2" xfId="5708"/>
    <cellStyle name="Normal 78 2 2 2" xfId="5709"/>
    <cellStyle name="Normal 78 2 2 2 2" xfId="8327"/>
    <cellStyle name="Normal 78 2 2 2 2 2" xfId="22434"/>
    <cellStyle name="Normal 78 2 2 2 2 3" xfId="16961"/>
    <cellStyle name="Normal 78 2 2 2 3" xfId="14910"/>
    <cellStyle name="Normal 78 2 2 2 4" xfId="20425"/>
    <cellStyle name="Normal 78 2 2 2 5" xfId="11575"/>
    <cellStyle name="Normal 78 2 2 3" xfId="5710"/>
    <cellStyle name="Normal 78 2 2 3 2" xfId="9125"/>
    <cellStyle name="Normal 78 2 2 3 2 2" xfId="23226"/>
    <cellStyle name="Normal 78 2 2 3 2 3" xfId="17759"/>
    <cellStyle name="Normal 78 2 2 3 3" xfId="14911"/>
    <cellStyle name="Normal 78 2 2 3 4" xfId="20426"/>
    <cellStyle name="Normal 78 2 2 3 5" xfId="12370"/>
    <cellStyle name="Normal 78 2 2 4" xfId="7535"/>
    <cellStyle name="Normal 78 2 2 4 2" xfId="21642"/>
    <cellStyle name="Normal 78 2 2 4 3" xfId="16169"/>
    <cellStyle name="Normal 78 2 2 5" xfId="14909"/>
    <cellStyle name="Normal 78 2 2 6" xfId="20424"/>
    <cellStyle name="Normal 78 2 2 7" xfId="10782"/>
    <cellStyle name="Normal 78 2 3" xfId="5711"/>
    <cellStyle name="Normal 78 2 3 2" xfId="5712"/>
    <cellStyle name="Normal 78 2 3 2 2" xfId="8587"/>
    <cellStyle name="Normal 78 2 3 2 2 2" xfId="22694"/>
    <cellStyle name="Normal 78 2 3 2 2 3" xfId="17221"/>
    <cellStyle name="Normal 78 2 3 2 3" xfId="14913"/>
    <cellStyle name="Normal 78 2 3 2 4" xfId="20428"/>
    <cellStyle name="Normal 78 2 3 2 5" xfId="11835"/>
    <cellStyle name="Normal 78 2 3 3" xfId="7795"/>
    <cellStyle name="Normal 78 2 3 3 2" xfId="21902"/>
    <cellStyle name="Normal 78 2 3 3 3" xfId="16429"/>
    <cellStyle name="Normal 78 2 3 4" xfId="14912"/>
    <cellStyle name="Normal 78 2 3 5" xfId="20427"/>
    <cellStyle name="Normal 78 2 3 6" xfId="11042"/>
    <cellStyle name="Normal 78 2 4" xfId="5713"/>
    <cellStyle name="Normal 78 2 4 2" xfId="6513"/>
    <cellStyle name="Normal 78 2 4 2 2" xfId="8949"/>
    <cellStyle name="Normal 78 2 4 2 2 2" xfId="23050"/>
    <cellStyle name="Normal 78 2 4 2 2 3" xfId="17583"/>
    <cellStyle name="Normal 78 2 4 2 3" xfId="15342"/>
    <cellStyle name="Normal 78 2 4 2 4" xfId="20836"/>
    <cellStyle name="Normal 78 2 4 2 5" xfId="12193"/>
    <cellStyle name="Normal 78 2 4 3" xfId="7359"/>
    <cellStyle name="Normal 78 2 4 3 2" xfId="21466"/>
    <cellStyle name="Normal 78 2 4 3 3" xfId="15993"/>
    <cellStyle name="Normal 78 2 4 4" xfId="14914"/>
    <cellStyle name="Normal 78 2 4 5" xfId="20429"/>
    <cellStyle name="Normal 78 2 4 6" xfId="10606"/>
    <cellStyle name="Normal 78 2 5" xfId="5714"/>
    <cellStyle name="Normal 78 2 5 2" xfId="8151"/>
    <cellStyle name="Normal 78 2 5 2 2" xfId="22258"/>
    <cellStyle name="Normal 78 2 5 2 3" xfId="16785"/>
    <cellStyle name="Normal 78 2 5 3" xfId="14915"/>
    <cellStyle name="Normal 78 2 5 4" xfId="20430"/>
    <cellStyle name="Normal 78 2 5 5" xfId="11398"/>
    <cellStyle name="Normal 78 2 6" xfId="7000"/>
    <cellStyle name="Normal 78 2 6 2" xfId="21110"/>
    <cellStyle name="Normal 78 2 6 3" xfId="15637"/>
    <cellStyle name="Normal 78 2 7" xfId="14908"/>
    <cellStyle name="Normal 78 2 8" xfId="20423"/>
    <cellStyle name="Normal 78 2 9" xfId="10250"/>
    <cellStyle name="Normal 78 3" xfId="5715"/>
    <cellStyle name="Normal 78 4" xfId="5716"/>
    <cellStyle name="Normal 78 4 2" xfId="6337"/>
    <cellStyle name="Normal 78 4 2 2" xfId="8773"/>
    <cellStyle name="Normal 78 4 2 2 2" xfId="22874"/>
    <cellStyle name="Normal 78 4 2 2 3" xfId="17407"/>
    <cellStyle name="Normal 78 4 2 3" xfId="15166"/>
    <cellStyle name="Normal 78 4 2 4" xfId="20660"/>
    <cellStyle name="Normal 78 4 2 5" xfId="12017"/>
    <cellStyle name="Normal 78 4 3" xfId="7183"/>
    <cellStyle name="Normal 78 4 3 2" xfId="21290"/>
    <cellStyle name="Normal 78 4 3 3" xfId="15817"/>
    <cellStyle name="Normal 78 4 4" xfId="14916"/>
    <cellStyle name="Normal 78 4 5" xfId="20431"/>
    <cellStyle name="Normal 78 4 6" xfId="10430"/>
    <cellStyle name="Normal 78 5" xfId="5717"/>
    <cellStyle name="Normal 78 5 2" xfId="7975"/>
    <cellStyle name="Normal 78 5 2 2" xfId="22082"/>
    <cellStyle name="Normal 78 5 2 3" xfId="16609"/>
    <cellStyle name="Normal 78 5 3" xfId="14917"/>
    <cellStyle name="Normal 78 5 4" xfId="20432"/>
    <cellStyle name="Normal 78 5 5" xfId="11222"/>
    <cellStyle name="Normal 79" xfId="2495"/>
    <cellStyle name="Normal 79 2" xfId="5718"/>
    <cellStyle name="Normal 79 2 10" xfId="15509"/>
    <cellStyle name="Normal 79 2 11" xfId="42122"/>
    <cellStyle name="Normal 79 2 2" xfId="5719"/>
    <cellStyle name="Normal 79 2 2 2" xfId="5720"/>
    <cellStyle name="Normal 79 2 2 2 2" xfId="8329"/>
    <cellStyle name="Normal 79 2 2 2 2 2" xfId="22436"/>
    <cellStyle name="Normal 79 2 2 2 2 3" xfId="16963"/>
    <cellStyle name="Normal 79 2 2 2 3" xfId="14920"/>
    <cellStyle name="Normal 79 2 2 2 4" xfId="20435"/>
    <cellStyle name="Normal 79 2 2 2 5" xfId="11577"/>
    <cellStyle name="Normal 79 2 2 3" xfId="5721"/>
    <cellStyle name="Normal 79 2 2 3 2" xfId="9127"/>
    <cellStyle name="Normal 79 2 2 3 2 2" xfId="23228"/>
    <cellStyle name="Normal 79 2 2 3 2 3" xfId="17761"/>
    <cellStyle name="Normal 79 2 2 3 3" xfId="14921"/>
    <cellStyle name="Normal 79 2 2 3 4" xfId="20436"/>
    <cellStyle name="Normal 79 2 2 3 5" xfId="12372"/>
    <cellStyle name="Normal 79 2 2 4" xfId="7537"/>
    <cellStyle name="Normal 79 2 2 4 2" xfId="21644"/>
    <cellStyle name="Normal 79 2 2 4 3" xfId="16171"/>
    <cellStyle name="Normal 79 2 2 5" xfId="14919"/>
    <cellStyle name="Normal 79 2 2 6" xfId="20434"/>
    <cellStyle name="Normal 79 2 2 7" xfId="10784"/>
    <cellStyle name="Normal 79 2 3" xfId="5722"/>
    <cellStyle name="Normal 79 2 3 2" xfId="5723"/>
    <cellStyle name="Normal 79 2 3 2 2" xfId="8589"/>
    <cellStyle name="Normal 79 2 3 2 2 2" xfId="22696"/>
    <cellStyle name="Normal 79 2 3 2 2 3" xfId="17223"/>
    <cellStyle name="Normal 79 2 3 2 3" xfId="14923"/>
    <cellStyle name="Normal 79 2 3 2 4" xfId="20438"/>
    <cellStyle name="Normal 79 2 3 2 5" xfId="11837"/>
    <cellStyle name="Normal 79 2 3 3" xfId="7797"/>
    <cellStyle name="Normal 79 2 3 3 2" xfId="21904"/>
    <cellStyle name="Normal 79 2 3 3 3" xfId="16431"/>
    <cellStyle name="Normal 79 2 3 4" xfId="14922"/>
    <cellStyle name="Normal 79 2 3 5" xfId="20437"/>
    <cellStyle name="Normal 79 2 3 6" xfId="11044"/>
    <cellStyle name="Normal 79 2 4" xfId="5724"/>
    <cellStyle name="Normal 79 2 4 2" xfId="6515"/>
    <cellStyle name="Normal 79 2 4 2 2" xfId="8951"/>
    <cellStyle name="Normal 79 2 4 2 2 2" xfId="23052"/>
    <cellStyle name="Normal 79 2 4 2 2 3" xfId="17585"/>
    <cellStyle name="Normal 79 2 4 2 3" xfId="15344"/>
    <cellStyle name="Normal 79 2 4 2 4" xfId="20838"/>
    <cellStyle name="Normal 79 2 4 2 5" xfId="12195"/>
    <cellStyle name="Normal 79 2 4 3" xfId="7361"/>
    <cellStyle name="Normal 79 2 4 3 2" xfId="21468"/>
    <cellStyle name="Normal 79 2 4 3 3" xfId="15995"/>
    <cellStyle name="Normal 79 2 4 4" xfId="14924"/>
    <cellStyle name="Normal 79 2 4 5" xfId="20439"/>
    <cellStyle name="Normal 79 2 4 6" xfId="10608"/>
    <cellStyle name="Normal 79 2 5" xfId="5725"/>
    <cellStyle name="Normal 79 2 5 2" xfId="8153"/>
    <cellStyle name="Normal 79 2 5 2 2" xfId="22260"/>
    <cellStyle name="Normal 79 2 5 2 3" xfId="16787"/>
    <cellStyle name="Normal 79 2 5 3" xfId="14925"/>
    <cellStyle name="Normal 79 2 5 4" xfId="20440"/>
    <cellStyle name="Normal 79 2 5 5" xfId="11400"/>
    <cellStyle name="Normal 79 2 6" xfId="7002"/>
    <cellStyle name="Normal 79 2 6 2" xfId="21112"/>
    <cellStyle name="Normal 79 2 6 3" xfId="15639"/>
    <cellStyle name="Normal 79 2 7" xfId="14918"/>
    <cellStyle name="Normal 79 2 8" xfId="20433"/>
    <cellStyle name="Normal 79 2 9" xfId="10252"/>
    <cellStyle name="Normal 79 3" xfId="5726"/>
    <cellStyle name="Normal 79 4" xfId="5727"/>
    <cellStyle name="Normal 79 4 2" xfId="6339"/>
    <cellStyle name="Normal 79 4 2 2" xfId="8775"/>
    <cellStyle name="Normal 79 4 2 2 2" xfId="22876"/>
    <cellStyle name="Normal 79 4 2 2 3" xfId="17409"/>
    <cellStyle name="Normal 79 4 2 3" xfId="15168"/>
    <cellStyle name="Normal 79 4 2 4" xfId="20662"/>
    <cellStyle name="Normal 79 4 2 5" xfId="12019"/>
    <cellStyle name="Normal 79 4 3" xfId="7185"/>
    <cellStyle name="Normal 79 4 3 2" xfId="21292"/>
    <cellStyle name="Normal 79 4 3 3" xfId="15819"/>
    <cellStyle name="Normal 79 4 4" xfId="14926"/>
    <cellStyle name="Normal 79 4 5" xfId="20441"/>
    <cellStyle name="Normal 79 4 6" xfId="10432"/>
    <cellStyle name="Normal 79 5" xfId="5728"/>
    <cellStyle name="Normal 79 5 2" xfId="7977"/>
    <cellStyle name="Normal 79 5 2 2" xfId="22084"/>
    <cellStyle name="Normal 79 5 2 3" xfId="16611"/>
    <cellStyle name="Normal 79 5 3" xfId="14927"/>
    <cellStyle name="Normal 79 5 4" xfId="20442"/>
    <cellStyle name="Normal 79 5 5" xfId="11224"/>
    <cellStyle name="Normal 8" xfId="147"/>
    <cellStyle name="Normal 8 2" xfId="1406"/>
    <cellStyle name="Normal 8 2 2" xfId="24316"/>
    <cellStyle name="Normal 8 2 2 2" xfId="42123"/>
    <cellStyle name="Normal 8 2 3" xfId="43054"/>
    <cellStyle name="Normal 8 3" xfId="24567"/>
    <cellStyle name="Normal 8 4" xfId="43070"/>
    <cellStyle name="Normal 8 5" xfId="43185"/>
    <cellStyle name="Normal 8 6" xfId="548"/>
    <cellStyle name="Normal 80" xfId="2498"/>
    <cellStyle name="Normal 80 2" xfId="5729"/>
    <cellStyle name="Normal 80 2 10" xfId="24294"/>
    <cellStyle name="Normal 80 2 11" xfId="42124"/>
    <cellStyle name="Normal 80 2 2" xfId="5730"/>
    <cellStyle name="Normal 80 2 2 2" xfId="5731"/>
    <cellStyle name="Normal 80 2 2 2 2" xfId="8331"/>
    <cellStyle name="Normal 80 2 2 2 2 2" xfId="22438"/>
    <cellStyle name="Normal 80 2 2 2 2 3" xfId="16965"/>
    <cellStyle name="Normal 80 2 2 2 3" xfId="14930"/>
    <cellStyle name="Normal 80 2 2 2 4" xfId="20445"/>
    <cellStyle name="Normal 80 2 2 2 5" xfId="11579"/>
    <cellStyle name="Normal 80 2 2 3" xfId="5732"/>
    <cellStyle name="Normal 80 2 2 3 2" xfId="9129"/>
    <cellStyle name="Normal 80 2 2 3 2 2" xfId="23230"/>
    <cellStyle name="Normal 80 2 2 3 2 3" xfId="17763"/>
    <cellStyle name="Normal 80 2 2 3 3" xfId="14931"/>
    <cellStyle name="Normal 80 2 2 3 4" xfId="20446"/>
    <cellStyle name="Normal 80 2 2 3 5" xfId="12374"/>
    <cellStyle name="Normal 80 2 2 4" xfId="7539"/>
    <cellStyle name="Normal 80 2 2 4 2" xfId="21646"/>
    <cellStyle name="Normal 80 2 2 4 3" xfId="16173"/>
    <cellStyle name="Normal 80 2 2 5" xfId="14929"/>
    <cellStyle name="Normal 80 2 2 6" xfId="20444"/>
    <cellStyle name="Normal 80 2 2 7" xfId="10786"/>
    <cellStyle name="Normal 80 2 3" xfId="5733"/>
    <cellStyle name="Normal 80 2 3 2" xfId="5734"/>
    <cellStyle name="Normal 80 2 3 2 2" xfId="8591"/>
    <cellStyle name="Normal 80 2 3 2 2 2" xfId="22698"/>
    <cellStyle name="Normal 80 2 3 2 2 3" xfId="17225"/>
    <cellStyle name="Normal 80 2 3 2 3" xfId="14933"/>
    <cellStyle name="Normal 80 2 3 2 4" xfId="20448"/>
    <cellStyle name="Normal 80 2 3 2 5" xfId="11839"/>
    <cellStyle name="Normal 80 2 3 3" xfId="7799"/>
    <cellStyle name="Normal 80 2 3 3 2" xfId="21906"/>
    <cellStyle name="Normal 80 2 3 3 3" xfId="16433"/>
    <cellStyle name="Normal 80 2 3 4" xfId="14932"/>
    <cellStyle name="Normal 80 2 3 5" xfId="20447"/>
    <cellStyle name="Normal 80 2 3 6" xfId="11046"/>
    <cellStyle name="Normal 80 2 4" xfId="5735"/>
    <cellStyle name="Normal 80 2 4 2" xfId="6517"/>
    <cellStyle name="Normal 80 2 4 2 2" xfId="8953"/>
    <cellStyle name="Normal 80 2 4 2 2 2" xfId="23054"/>
    <cellStyle name="Normal 80 2 4 2 2 3" xfId="17587"/>
    <cellStyle name="Normal 80 2 4 2 3" xfId="15346"/>
    <cellStyle name="Normal 80 2 4 2 4" xfId="20840"/>
    <cellStyle name="Normal 80 2 4 2 5" xfId="12197"/>
    <cellStyle name="Normal 80 2 4 3" xfId="7363"/>
    <cellStyle name="Normal 80 2 4 3 2" xfId="21470"/>
    <cellStyle name="Normal 80 2 4 3 3" xfId="15997"/>
    <cellStyle name="Normal 80 2 4 4" xfId="14934"/>
    <cellStyle name="Normal 80 2 4 5" xfId="20449"/>
    <cellStyle name="Normal 80 2 4 6" xfId="10610"/>
    <cellStyle name="Normal 80 2 5" xfId="5736"/>
    <cellStyle name="Normal 80 2 5 2" xfId="8155"/>
    <cellStyle name="Normal 80 2 5 2 2" xfId="22262"/>
    <cellStyle name="Normal 80 2 5 2 3" xfId="16789"/>
    <cellStyle name="Normal 80 2 5 3" xfId="14935"/>
    <cellStyle name="Normal 80 2 5 4" xfId="20450"/>
    <cellStyle name="Normal 80 2 5 5" xfId="11402"/>
    <cellStyle name="Normal 80 2 6" xfId="7004"/>
    <cellStyle name="Normal 80 2 6 2" xfId="21114"/>
    <cellStyle name="Normal 80 2 6 3" xfId="15641"/>
    <cellStyle name="Normal 80 2 7" xfId="14928"/>
    <cellStyle name="Normal 80 2 8" xfId="20443"/>
    <cellStyle name="Normal 80 2 9" xfId="10254"/>
    <cellStyle name="Normal 80 3" xfId="5737"/>
    <cellStyle name="Normal 80 4" xfId="5738"/>
    <cellStyle name="Normal 80 4 2" xfId="6341"/>
    <cellStyle name="Normal 80 4 2 2" xfId="8777"/>
    <cellStyle name="Normal 80 4 2 2 2" xfId="22878"/>
    <cellStyle name="Normal 80 4 2 2 3" xfId="17411"/>
    <cellStyle name="Normal 80 4 2 3" xfId="15170"/>
    <cellStyle name="Normal 80 4 2 4" xfId="20664"/>
    <cellStyle name="Normal 80 4 2 5" xfId="12021"/>
    <cellStyle name="Normal 80 4 3" xfId="7187"/>
    <cellStyle name="Normal 80 4 3 2" xfId="21294"/>
    <cellStyle name="Normal 80 4 3 3" xfId="15821"/>
    <cellStyle name="Normal 80 4 4" xfId="14936"/>
    <cellStyle name="Normal 80 4 5" xfId="20451"/>
    <cellStyle name="Normal 80 4 6" xfId="10434"/>
    <cellStyle name="Normal 80 5" xfId="5739"/>
    <cellStyle name="Normal 80 5 2" xfId="7979"/>
    <cellStyle name="Normal 80 5 2 2" xfId="22086"/>
    <cellStyle name="Normal 80 5 2 3" xfId="16613"/>
    <cellStyle name="Normal 80 5 3" xfId="14937"/>
    <cellStyle name="Normal 80 5 4" xfId="20452"/>
    <cellStyle name="Normal 80 5 5" xfId="11226"/>
    <cellStyle name="Normal 81" xfId="1902"/>
    <cellStyle name="Normal 81 2" xfId="3195"/>
    <cellStyle name="Normal 81 2 10" xfId="24637"/>
    <cellStyle name="Normal 81 2 11" xfId="42125"/>
    <cellStyle name="Normal 81 2 2" xfId="5740"/>
    <cellStyle name="Normal 81 2 2 2" xfId="5741"/>
    <cellStyle name="Normal 81 2 2 2 2" xfId="8333"/>
    <cellStyle name="Normal 81 2 2 2 2 2" xfId="22440"/>
    <cellStyle name="Normal 81 2 2 2 2 3" xfId="16967"/>
    <cellStyle name="Normal 81 2 2 2 3" xfId="14939"/>
    <cellStyle name="Normal 81 2 2 2 4" xfId="20454"/>
    <cellStyle name="Normal 81 2 2 2 5" xfId="11581"/>
    <cellStyle name="Normal 81 2 2 3" xfId="5742"/>
    <cellStyle name="Normal 81 2 2 3 2" xfId="9131"/>
    <cellStyle name="Normal 81 2 2 3 2 2" xfId="23232"/>
    <cellStyle name="Normal 81 2 2 3 2 3" xfId="17765"/>
    <cellStyle name="Normal 81 2 2 3 3" xfId="14940"/>
    <cellStyle name="Normal 81 2 2 3 4" xfId="20455"/>
    <cellStyle name="Normal 81 2 2 3 5" xfId="12376"/>
    <cellStyle name="Normal 81 2 2 4" xfId="7541"/>
    <cellStyle name="Normal 81 2 2 4 2" xfId="21648"/>
    <cellStyle name="Normal 81 2 2 4 3" xfId="16175"/>
    <cellStyle name="Normal 81 2 2 5" xfId="14938"/>
    <cellStyle name="Normal 81 2 2 6" xfId="20453"/>
    <cellStyle name="Normal 81 2 2 7" xfId="10788"/>
    <cellStyle name="Normal 81 2 3" xfId="5743"/>
    <cellStyle name="Normal 81 2 3 2" xfId="5744"/>
    <cellStyle name="Normal 81 2 3 2 2" xfId="8593"/>
    <cellStyle name="Normal 81 2 3 2 2 2" xfId="22700"/>
    <cellStyle name="Normal 81 2 3 2 2 3" xfId="17227"/>
    <cellStyle name="Normal 81 2 3 2 3" xfId="14942"/>
    <cellStyle name="Normal 81 2 3 2 4" xfId="20457"/>
    <cellStyle name="Normal 81 2 3 2 5" xfId="11841"/>
    <cellStyle name="Normal 81 2 3 3" xfId="7801"/>
    <cellStyle name="Normal 81 2 3 3 2" xfId="21908"/>
    <cellStyle name="Normal 81 2 3 3 3" xfId="16435"/>
    <cellStyle name="Normal 81 2 3 4" xfId="14941"/>
    <cellStyle name="Normal 81 2 3 5" xfId="20456"/>
    <cellStyle name="Normal 81 2 3 6" xfId="11048"/>
    <cellStyle name="Normal 81 2 4" xfId="5745"/>
    <cellStyle name="Normal 81 2 4 2" xfId="6519"/>
    <cellStyle name="Normal 81 2 4 2 2" xfId="8955"/>
    <cellStyle name="Normal 81 2 4 2 2 2" xfId="23056"/>
    <cellStyle name="Normal 81 2 4 2 2 3" xfId="17589"/>
    <cellStyle name="Normal 81 2 4 2 3" xfId="15348"/>
    <cellStyle name="Normal 81 2 4 2 4" xfId="20842"/>
    <cellStyle name="Normal 81 2 4 2 5" xfId="12199"/>
    <cellStyle name="Normal 81 2 4 3" xfId="7365"/>
    <cellStyle name="Normal 81 2 4 3 2" xfId="21472"/>
    <cellStyle name="Normal 81 2 4 3 3" xfId="15999"/>
    <cellStyle name="Normal 81 2 4 4" xfId="14943"/>
    <cellStyle name="Normal 81 2 4 5" xfId="20458"/>
    <cellStyle name="Normal 81 2 4 6" xfId="10612"/>
    <cellStyle name="Normal 81 2 5" xfId="5746"/>
    <cellStyle name="Normal 81 2 5 2" xfId="8157"/>
    <cellStyle name="Normal 81 2 5 2 2" xfId="22264"/>
    <cellStyle name="Normal 81 2 5 2 3" xfId="16791"/>
    <cellStyle name="Normal 81 2 5 3" xfId="14944"/>
    <cellStyle name="Normal 81 2 5 4" xfId="20459"/>
    <cellStyle name="Normal 81 2 5 5" xfId="11404"/>
    <cellStyle name="Normal 81 2 6" xfId="7006"/>
    <cellStyle name="Normal 81 2 6 2" xfId="21116"/>
    <cellStyle name="Normal 81 2 6 3" xfId="15643"/>
    <cellStyle name="Normal 81 2 7" xfId="12987"/>
    <cellStyle name="Normal 81 2 8" xfId="18529"/>
    <cellStyle name="Normal 81 2 9" xfId="10256"/>
    <cellStyle name="Normal 81 3" xfId="5747"/>
    <cellStyle name="Normal 81 4" xfId="5748"/>
    <cellStyle name="Normal 81 4 2" xfId="6343"/>
    <cellStyle name="Normal 81 4 2 2" xfId="8779"/>
    <cellStyle name="Normal 81 4 2 2 2" xfId="22880"/>
    <cellStyle name="Normal 81 4 2 2 3" xfId="17413"/>
    <cellStyle name="Normal 81 4 2 3" xfId="15172"/>
    <cellStyle name="Normal 81 4 2 4" xfId="20666"/>
    <cellStyle name="Normal 81 4 2 5" xfId="12023"/>
    <cellStyle name="Normal 81 4 3" xfId="7189"/>
    <cellStyle name="Normal 81 4 3 2" xfId="21296"/>
    <cellStyle name="Normal 81 4 3 3" xfId="15823"/>
    <cellStyle name="Normal 81 4 4" xfId="14945"/>
    <cellStyle name="Normal 81 4 5" xfId="20460"/>
    <cellStyle name="Normal 81 4 6" xfId="10436"/>
    <cellStyle name="Normal 81 5" xfId="5749"/>
    <cellStyle name="Normal 81 5 2" xfId="7981"/>
    <cellStyle name="Normal 81 5 2 2" xfId="22088"/>
    <cellStyle name="Normal 81 5 2 3" xfId="16615"/>
    <cellStyle name="Normal 81 5 3" xfId="14946"/>
    <cellStyle name="Normal 81 5 4" xfId="20461"/>
    <cellStyle name="Normal 81 5 5" xfId="11228"/>
    <cellStyle name="Normal 82" xfId="2503"/>
    <cellStyle name="Normal 82 2" xfId="5750"/>
    <cellStyle name="Normal 82 2 10" xfId="42126"/>
    <cellStyle name="Normal 82 2 2" xfId="5751"/>
    <cellStyle name="Normal 82 2 2 2" xfId="5752"/>
    <cellStyle name="Normal 82 2 2 2 2" xfId="8335"/>
    <cellStyle name="Normal 82 2 2 2 2 2" xfId="22442"/>
    <cellStyle name="Normal 82 2 2 2 2 3" xfId="16969"/>
    <cellStyle name="Normal 82 2 2 2 3" xfId="14949"/>
    <cellStyle name="Normal 82 2 2 2 4" xfId="20464"/>
    <cellStyle name="Normal 82 2 2 2 5" xfId="11583"/>
    <cellStyle name="Normal 82 2 2 3" xfId="5753"/>
    <cellStyle name="Normal 82 2 2 3 2" xfId="9133"/>
    <cellStyle name="Normal 82 2 2 3 2 2" xfId="23234"/>
    <cellStyle name="Normal 82 2 2 3 2 3" xfId="17767"/>
    <cellStyle name="Normal 82 2 2 3 3" xfId="14950"/>
    <cellStyle name="Normal 82 2 2 3 4" xfId="20465"/>
    <cellStyle name="Normal 82 2 2 3 5" xfId="12378"/>
    <cellStyle name="Normal 82 2 2 4" xfId="7543"/>
    <cellStyle name="Normal 82 2 2 4 2" xfId="21650"/>
    <cellStyle name="Normal 82 2 2 4 3" xfId="16177"/>
    <cellStyle name="Normal 82 2 2 5" xfId="14948"/>
    <cellStyle name="Normal 82 2 2 6" xfId="20463"/>
    <cellStyle name="Normal 82 2 2 7" xfId="10790"/>
    <cellStyle name="Normal 82 2 3" xfId="5754"/>
    <cellStyle name="Normal 82 2 3 2" xfId="5755"/>
    <cellStyle name="Normal 82 2 3 2 2" xfId="8595"/>
    <cellStyle name="Normal 82 2 3 2 2 2" xfId="22702"/>
    <cellStyle name="Normal 82 2 3 2 2 3" xfId="17229"/>
    <cellStyle name="Normal 82 2 3 2 3" xfId="14952"/>
    <cellStyle name="Normal 82 2 3 2 4" xfId="20467"/>
    <cellStyle name="Normal 82 2 3 2 5" xfId="11843"/>
    <cellStyle name="Normal 82 2 3 3" xfId="7803"/>
    <cellStyle name="Normal 82 2 3 3 2" xfId="21910"/>
    <cellStyle name="Normal 82 2 3 3 3" xfId="16437"/>
    <cellStyle name="Normal 82 2 3 4" xfId="14951"/>
    <cellStyle name="Normal 82 2 3 5" xfId="20466"/>
    <cellStyle name="Normal 82 2 3 6" xfId="11050"/>
    <cellStyle name="Normal 82 2 4" xfId="5756"/>
    <cellStyle name="Normal 82 2 4 2" xfId="6521"/>
    <cellStyle name="Normal 82 2 4 2 2" xfId="8957"/>
    <cellStyle name="Normal 82 2 4 2 2 2" xfId="23058"/>
    <cellStyle name="Normal 82 2 4 2 2 3" xfId="17591"/>
    <cellStyle name="Normal 82 2 4 2 3" xfId="15350"/>
    <cellStyle name="Normal 82 2 4 2 4" xfId="20844"/>
    <cellStyle name="Normal 82 2 4 2 5" xfId="12201"/>
    <cellStyle name="Normal 82 2 4 3" xfId="7367"/>
    <cellStyle name="Normal 82 2 4 3 2" xfId="21474"/>
    <cellStyle name="Normal 82 2 4 3 3" xfId="16001"/>
    <cellStyle name="Normal 82 2 4 4" xfId="14953"/>
    <cellStyle name="Normal 82 2 4 5" xfId="20468"/>
    <cellStyle name="Normal 82 2 4 6" xfId="10614"/>
    <cellStyle name="Normal 82 2 5" xfId="5757"/>
    <cellStyle name="Normal 82 2 5 2" xfId="8159"/>
    <cellStyle name="Normal 82 2 5 2 2" xfId="22266"/>
    <cellStyle name="Normal 82 2 5 2 3" xfId="16793"/>
    <cellStyle name="Normal 82 2 5 3" xfId="14954"/>
    <cellStyle name="Normal 82 2 5 4" xfId="20469"/>
    <cellStyle name="Normal 82 2 5 5" xfId="11406"/>
    <cellStyle name="Normal 82 2 6" xfId="7008"/>
    <cellStyle name="Normal 82 2 6 2" xfId="21118"/>
    <cellStyle name="Normal 82 2 6 3" xfId="15645"/>
    <cellStyle name="Normal 82 2 7" xfId="14947"/>
    <cellStyle name="Normal 82 2 8" xfId="20462"/>
    <cellStyle name="Normal 82 2 9" xfId="10258"/>
    <cellStyle name="Normal 82 3" xfId="5758"/>
    <cellStyle name="Normal 82 4" xfId="5759"/>
    <cellStyle name="Normal 82 4 2" xfId="6345"/>
    <cellStyle name="Normal 82 4 2 2" xfId="8781"/>
    <cellStyle name="Normal 82 4 2 2 2" xfId="22882"/>
    <cellStyle name="Normal 82 4 2 2 3" xfId="17415"/>
    <cellStyle name="Normal 82 4 2 3" xfId="15174"/>
    <cellStyle name="Normal 82 4 2 4" xfId="20668"/>
    <cellStyle name="Normal 82 4 2 5" xfId="12025"/>
    <cellStyle name="Normal 82 4 3" xfId="7191"/>
    <cellStyle name="Normal 82 4 3 2" xfId="21298"/>
    <cellStyle name="Normal 82 4 3 3" xfId="15825"/>
    <cellStyle name="Normal 82 4 4" xfId="14955"/>
    <cellStyle name="Normal 82 4 5" xfId="20470"/>
    <cellStyle name="Normal 82 4 6" xfId="10438"/>
    <cellStyle name="Normal 82 5" xfId="5760"/>
    <cellStyle name="Normal 82 5 2" xfId="7983"/>
    <cellStyle name="Normal 82 5 2 2" xfId="22090"/>
    <cellStyle name="Normal 82 5 2 3" xfId="16617"/>
    <cellStyle name="Normal 82 5 3" xfId="14956"/>
    <cellStyle name="Normal 82 5 4" xfId="20471"/>
    <cellStyle name="Normal 82 5 5" xfId="11230"/>
    <cellStyle name="Normal 83" xfId="2497"/>
    <cellStyle name="Normal 83 2" xfId="5761"/>
    <cellStyle name="Normal 83 2 10" xfId="24401"/>
    <cellStyle name="Normal 83 2 11" xfId="42127"/>
    <cellStyle name="Normal 83 2 2" xfId="5762"/>
    <cellStyle name="Normal 83 2 2 2" xfId="5763"/>
    <cellStyle name="Normal 83 2 2 2 2" xfId="8337"/>
    <cellStyle name="Normal 83 2 2 2 2 2" xfId="22444"/>
    <cellStyle name="Normal 83 2 2 2 2 3" xfId="16971"/>
    <cellStyle name="Normal 83 2 2 2 3" xfId="14959"/>
    <cellStyle name="Normal 83 2 2 2 4" xfId="20474"/>
    <cellStyle name="Normal 83 2 2 2 5" xfId="11585"/>
    <cellStyle name="Normal 83 2 2 3" xfId="5764"/>
    <cellStyle name="Normal 83 2 2 3 2" xfId="9135"/>
    <cellStyle name="Normal 83 2 2 3 2 2" xfId="23236"/>
    <cellStyle name="Normal 83 2 2 3 2 3" xfId="17769"/>
    <cellStyle name="Normal 83 2 2 3 3" xfId="14960"/>
    <cellStyle name="Normal 83 2 2 3 4" xfId="20475"/>
    <cellStyle name="Normal 83 2 2 3 5" xfId="12380"/>
    <cellStyle name="Normal 83 2 2 4" xfId="7545"/>
    <cellStyle name="Normal 83 2 2 4 2" xfId="21652"/>
    <cellStyle name="Normal 83 2 2 4 3" xfId="16179"/>
    <cellStyle name="Normal 83 2 2 5" xfId="14958"/>
    <cellStyle name="Normal 83 2 2 6" xfId="20473"/>
    <cellStyle name="Normal 83 2 2 7" xfId="10792"/>
    <cellStyle name="Normal 83 2 3" xfId="5765"/>
    <cellStyle name="Normal 83 2 3 2" xfId="5766"/>
    <cellStyle name="Normal 83 2 3 2 2" xfId="8597"/>
    <cellStyle name="Normal 83 2 3 2 2 2" xfId="22704"/>
    <cellStyle name="Normal 83 2 3 2 2 3" xfId="17231"/>
    <cellStyle name="Normal 83 2 3 2 3" xfId="14962"/>
    <cellStyle name="Normal 83 2 3 2 4" xfId="20477"/>
    <cellStyle name="Normal 83 2 3 2 5" xfId="11845"/>
    <cellStyle name="Normal 83 2 3 3" xfId="7805"/>
    <cellStyle name="Normal 83 2 3 3 2" xfId="21912"/>
    <cellStyle name="Normal 83 2 3 3 3" xfId="16439"/>
    <cellStyle name="Normal 83 2 3 4" xfId="14961"/>
    <cellStyle name="Normal 83 2 3 5" xfId="20476"/>
    <cellStyle name="Normal 83 2 3 6" xfId="11052"/>
    <cellStyle name="Normal 83 2 4" xfId="5767"/>
    <cellStyle name="Normal 83 2 4 2" xfId="6523"/>
    <cellStyle name="Normal 83 2 4 2 2" xfId="8959"/>
    <cellStyle name="Normal 83 2 4 2 2 2" xfId="23060"/>
    <cellStyle name="Normal 83 2 4 2 2 3" xfId="17593"/>
    <cellStyle name="Normal 83 2 4 2 3" xfId="15352"/>
    <cellStyle name="Normal 83 2 4 2 4" xfId="20846"/>
    <cellStyle name="Normal 83 2 4 2 5" xfId="12203"/>
    <cellStyle name="Normal 83 2 4 3" xfId="7369"/>
    <cellStyle name="Normal 83 2 4 3 2" xfId="21476"/>
    <cellStyle name="Normal 83 2 4 3 3" xfId="16003"/>
    <cellStyle name="Normal 83 2 4 4" xfId="14963"/>
    <cellStyle name="Normal 83 2 4 5" xfId="20478"/>
    <cellStyle name="Normal 83 2 4 6" xfId="10616"/>
    <cellStyle name="Normal 83 2 5" xfId="5768"/>
    <cellStyle name="Normal 83 2 5 2" xfId="8161"/>
    <cellStyle name="Normal 83 2 5 2 2" xfId="22268"/>
    <cellStyle name="Normal 83 2 5 2 3" xfId="16795"/>
    <cellStyle name="Normal 83 2 5 3" xfId="14964"/>
    <cellStyle name="Normal 83 2 5 4" xfId="20479"/>
    <cellStyle name="Normal 83 2 5 5" xfId="11408"/>
    <cellStyle name="Normal 83 2 6" xfId="7010"/>
    <cellStyle name="Normal 83 2 6 2" xfId="21120"/>
    <cellStyle name="Normal 83 2 6 3" xfId="15647"/>
    <cellStyle name="Normal 83 2 7" xfId="14957"/>
    <cellStyle name="Normal 83 2 8" xfId="20472"/>
    <cellStyle name="Normal 83 2 9" xfId="10260"/>
    <cellStyle name="Normal 83 3" xfId="5769"/>
    <cellStyle name="Normal 83 4" xfId="5770"/>
    <cellStyle name="Normal 83 4 2" xfId="6347"/>
    <cellStyle name="Normal 83 4 2 2" xfId="8783"/>
    <cellStyle name="Normal 83 4 2 2 2" xfId="22884"/>
    <cellStyle name="Normal 83 4 2 2 3" xfId="17417"/>
    <cellStyle name="Normal 83 4 2 3" xfId="15176"/>
    <cellStyle name="Normal 83 4 2 4" xfId="20670"/>
    <cellStyle name="Normal 83 4 2 5" xfId="12027"/>
    <cellStyle name="Normal 83 4 3" xfId="7193"/>
    <cellStyle name="Normal 83 4 3 2" xfId="21300"/>
    <cellStyle name="Normal 83 4 3 3" xfId="15827"/>
    <cellStyle name="Normal 83 4 4" xfId="14965"/>
    <cellStyle name="Normal 83 4 5" xfId="20480"/>
    <cellStyle name="Normal 83 4 6" xfId="10440"/>
    <cellStyle name="Normal 83 5" xfId="5771"/>
    <cellStyle name="Normal 83 5 2" xfId="7985"/>
    <cellStyle name="Normal 83 5 2 2" xfId="22092"/>
    <cellStyle name="Normal 83 5 2 3" xfId="16619"/>
    <cellStyle name="Normal 83 5 3" xfId="14966"/>
    <cellStyle name="Normal 83 5 4" xfId="20481"/>
    <cellStyle name="Normal 83 5 5" xfId="11232"/>
    <cellStyle name="Normal 84" xfId="1887"/>
    <cellStyle name="Normal 84 2" xfId="5772"/>
    <cellStyle name="Normal 84 2 10" xfId="24325"/>
    <cellStyle name="Normal 84 2 11" xfId="42128"/>
    <cellStyle name="Normal 84 2 2" xfId="5773"/>
    <cellStyle name="Normal 84 2 2 2" xfId="5774"/>
    <cellStyle name="Normal 84 2 2 2 2" xfId="8338"/>
    <cellStyle name="Normal 84 2 2 2 2 2" xfId="22445"/>
    <cellStyle name="Normal 84 2 2 2 2 3" xfId="16972"/>
    <cellStyle name="Normal 84 2 2 2 3" xfId="14969"/>
    <cellStyle name="Normal 84 2 2 2 4" xfId="20484"/>
    <cellStyle name="Normal 84 2 2 2 5" xfId="11586"/>
    <cellStyle name="Normal 84 2 2 3" xfId="5775"/>
    <cellStyle name="Normal 84 2 2 3 2" xfId="9136"/>
    <cellStyle name="Normal 84 2 2 3 2 2" xfId="23237"/>
    <cellStyle name="Normal 84 2 2 3 2 3" xfId="17770"/>
    <cellStyle name="Normal 84 2 2 3 3" xfId="14970"/>
    <cellStyle name="Normal 84 2 2 3 4" xfId="20485"/>
    <cellStyle name="Normal 84 2 2 3 5" xfId="12381"/>
    <cellStyle name="Normal 84 2 2 4" xfId="7546"/>
    <cellStyle name="Normal 84 2 2 4 2" xfId="21653"/>
    <cellStyle name="Normal 84 2 2 4 3" xfId="16180"/>
    <cellStyle name="Normal 84 2 2 5" xfId="14968"/>
    <cellStyle name="Normal 84 2 2 6" xfId="20483"/>
    <cellStyle name="Normal 84 2 2 7" xfId="10793"/>
    <cellStyle name="Normal 84 2 3" xfId="5776"/>
    <cellStyle name="Normal 84 2 3 2" xfId="5777"/>
    <cellStyle name="Normal 84 2 3 2 2" xfId="8598"/>
    <cellStyle name="Normal 84 2 3 2 2 2" xfId="22705"/>
    <cellStyle name="Normal 84 2 3 2 2 3" xfId="17232"/>
    <cellStyle name="Normal 84 2 3 2 3" xfId="14972"/>
    <cellStyle name="Normal 84 2 3 2 4" xfId="20487"/>
    <cellStyle name="Normal 84 2 3 2 5" xfId="11846"/>
    <cellStyle name="Normal 84 2 3 3" xfId="7806"/>
    <cellStyle name="Normal 84 2 3 3 2" xfId="21913"/>
    <cellStyle name="Normal 84 2 3 3 3" xfId="16440"/>
    <cellStyle name="Normal 84 2 3 4" xfId="14971"/>
    <cellStyle name="Normal 84 2 3 5" xfId="20486"/>
    <cellStyle name="Normal 84 2 3 6" xfId="11053"/>
    <cellStyle name="Normal 84 2 4" xfId="5778"/>
    <cellStyle name="Normal 84 2 4 2" xfId="6524"/>
    <cellStyle name="Normal 84 2 4 2 2" xfId="8960"/>
    <cellStyle name="Normal 84 2 4 2 2 2" xfId="23061"/>
    <cellStyle name="Normal 84 2 4 2 2 3" xfId="17594"/>
    <cellStyle name="Normal 84 2 4 2 3" xfId="15353"/>
    <cellStyle name="Normal 84 2 4 2 4" xfId="20847"/>
    <cellStyle name="Normal 84 2 4 2 5" xfId="12204"/>
    <cellStyle name="Normal 84 2 4 3" xfId="7370"/>
    <cellStyle name="Normal 84 2 4 3 2" xfId="21477"/>
    <cellStyle name="Normal 84 2 4 3 3" xfId="16004"/>
    <cellStyle name="Normal 84 2 4 4" xfId="14973"/>
    <cellStyle name="Normal 84 2 4 5" xfId="20488"/>
    <cellStyle name="Normal 84 2 4 6" xfId="10617"/>
    <cellStyle name="Normal 84 2 5" xfId="5779"/>
    <cellStyle name="Normal 84 2 5 2" xfId="8162"/>
    <cellStyle name="Normal 84 2 5 2 2" xfId="22269"/>
    <cellStyle name="Normal 84 2 5 2 3" xfId="16796"/>
    <cellStyle name="Normal 84 2 5 3" xfId="14974"/>
    <cellStyle name="Normal 84 2 5 4" xfId="20489"/>
    <cellStyle name="Normal 84 2 5 5" xfId="11409"/>
    <cellStyle name="Normal 84 2 6" xfId="7011"/>
    <cellStyle name="Normal 84 2 6 2" xfId="21121"/>
    <cellStyle name="Normal 84 2 6 3" xfId="15648"/>
    <cellStyle name="Normal 84 2 7" xfId="14967"/>
    <cellStyle name="Normal 84 2 8" xfId="20482"/>
    <cellStyle name="Normal 84 2 9" xfId="10261"/>
    <cellStyle name="Normal 84 3" xfId="5780"/>
    <cellStyle name="Normal 84 4" xfId="5781"/>
    <cellStyle name="Normal 84 4 2" xfId="6348"/>
    <cellStyle name="Normal 84 4 2 2" xfId="8784"/>
    <cellStyle name="Normal 84 4 2 2 2" xfId="22885"/>
    <cellStyle name="Normal 84 4 2 2 3" xfId="17418"/>
    <cellStyle name="Normal 84 4 2 3" xfId="15177"/>
    <cellStyle name="Normal 84 4 2 4" xfId="20671"/>
    <cellStyle name="Normal 84 4 2 5" xfId="12028"/>
    <cellStyle name="Normal 84 4 3" xfId="7194"/>
    <cellStyle name="Normal 84 4 3 2" xfId="21301"/>
    <cellStyle name="Normal 84 4 3 3" xfId="15828"/>
    <cellStyle name="Normal 84 4 4" xfId="14975"/>
    <cellStyle name="Normal 84 4 5" xfId="20490"/>
    <cellStyle name="Normal 84 4 6" xfId="10441"/>
    <cellStyle name="Normal 84 5" xfId="5782"/>
    <cellStyle name="Normal 84 5 2" xfId="7986"/>
    <cellStyle name="Normal 84 5 2 2" xfId="22093"/>
    <cellStyle name="Normal 84 5 2 3" xfId="16620"/>
    <cellStyle name="Normal 84 5 3" xfId="14976"/>
    <cellStyle name="Normal 84 5 4" xfId="20491"/>
    <cellStyle name="Normal 84 5 5" xfId="11233"/>
    <cellStyle name="Normal 85" xfId="1888"/>
    <cellStyle name="Normal 85 2" xfId="5783"/>
    <cellStyle name="Normal 85 2 10" xfId="42129"/>
    <cellStyle name="Normal 85 2 2" xfId="5784"/>
    <cellStyle name="Normal 85 2 2 2" xfId="5785"/>
    <cellStyle name="Normal 85 2 2 2 2" xfId="8424"/>
    <cellStyle name="Normal 85 2 2 2 2 2" xfId="22531"/>
    <cellStyle name="Normal 85 2 2 2 2 3" xfId="17058"/>
    <cellStyle name="Normal 85 2 2 2 3" xfId="14979"/>
    <cellStyle name="Normal 85 2 2 2 4" xfId="20494"/>
    <cellStyle name="Normal 85 2 2 2 5" xfId="11672"/>
    <cellStyle name="Normal 85 2 2 3" xfId="5786"/>
    <cellStyle name="Normal 85 2 2 3 2" xfId="9222"/>
    <cellStyle name="Normal 85 2 2 3 2 2" xfId="23323"/>
    <cellStyle name="Normal 85 2 2 3 2 3" xfId="17856"/>
    <cellStyle name="Normal 85 2 2 3 3" xfId="14980"/>
    <cellStyle name="Normal 85 2 2 3 4" xfId="20495"/>
    <cellStyle name="Normal 85 2 2 3 5" xfId="12467"/>
    <cellStyle name="Normal 85 2 2 4" xfId="7632"/>
    <cellStyle name="Normal 85 2 2 4 2" xfId="21739"/>
    <cellStyle name="Normal 85 2 2 4 3" xfId="16266"/>
    <cellStyle name="Normal 85 2 2 5" xfId="14978"/>
    <cellStyle name="Normal 85 2 2 6" xfId="20493"/>
    <cellStyle name="Normal 85 2 2 7" xfId="10879"/>
    <cellStyle name="Normal 85 2 3" xfId="5787"/>
    <cellStyle name="Normal 85 2 3 2" xfId="5788"/>
    <cellStyle name="Normal 85 2 3 2 2" xfId="8684"/>
    <cellStyle name="Normal 85 2 3 2 2 2" xfId="22791"/>
    <cellStyle name="Normal 85 2 3 2 2 3" xfId="17318"/>
    <cellStyle name="Normal 85 2 3 2 3" xfId="14982"/>
    <cellStyle name="Normal 85 2 3 2 4" xfId="20497"/>
    <cellStyle name="Normal 85 2 3 2 5" xfId="11932"/>
    <cellStyle name="Normal 85 2 3 3" xfId="7892"/>
    <cellStyle name="Normal 85 2 3 3 2" xfId="21999"/>
    <cellStyle name="Normal 85 2 3 3 3" xfId="16526"/>
    <cellStyle name="Normal 85 2 3 4" xfId="14981"/>
    <cellStyle name="Normal 85 2 3 5" xfId="20496"/>
    <cellStyle name="Normal 85 2 3 6" xfId="11139"/>
    <cellStyle name="Normal 85 2 4" xfId="5789"/>
    <cellStyle name="Normal 85 2 4 2" xfId="6525"/>
    <cellStyle name="Normal 85 2 4 2 2" xfId="8961"/>
    <cellStyle name="Normal 85 2 4 2 2 2" xfId="23062"/>
    <cellStyle name="Normal 85 2 4 2 2 3" xfId="17595"/>
    <cellStyle name="Normal 85 2 4 2 3" xfId="15354"/>
    <cellStyle name="Normal 85 2 4 2 4" xfId="20848"/>
    <cellStyle name="Normal 85 2 4 2 5" xfId="12205"/>
    <cellStyle name="Normal 85 2 4 3" xfId="7371"/>
    <cellStyle name="Normal 85 2 4 3 2" xfId="21478"/>
    <cellStyle name="Normal 85 2 4 3 3" xfId="16005"/>
    <cellStyle name="Normal 85 2 4 4" xfId="14983"/>
    <cellStyle name="Normal 85 2 4 5" xfId="20498"/>
    <cellStyle name="Normal 85 2 4 6" xfId="10618"/>
    <cellStyle name="Normal 85 2 5" xfId="5790"/>
    <cellStyle name="Normal 85 2 5 2" xfId="8163"/>
    <cellStyle name="Normal 85 2 5 2 2" xfId="22270"/>
    <cellStyle name="Normal 85 2 5 2 3" xfId="16797"/>
    <cellStyle name="Normal 85 2 5 3" xfId="14984"/>
    <cellStyle name="Normal 85 2 5 4" xfId="20499"/>
    <cellStyle name="Normal 85 2 5 5" xfId="11410"/>
    <cellStyle name="Normal 85 2 6" xfId="7100"/>
    <cellStyle name="Normal 85 2 6 2" xfId="21207"/>
    <cellStyle name="Normal 85 2 6 3" xfId="15734"/>
    <cellStyle name="Normal 85 2 7" xfId="14977"/>
    <cellStyle name="Normal 85 2 8" xfId="20492"/>
    <cellStyle name="Normal 85 2 9" xfId="10347"/>
    <cellStyle name="Normal 85 3" xfId="5791"/>
    <cellStyle name="Normal 85 3 2" xfId="5792"/>
    <cellStyle name="Normal 85 3 2 2" xfId="8339"/>
    <cellStyle name="Normal 85 3 2 2 2" xfId="22446"/>
    <cellStyle name="Normal 85 3 2 2 3" xfId="16973"/>
    <cellStyle name="Normal 85 3 2 3" xfId="14986"/>
    <cellStyle name="Normal 85 3 2 4" xfId="20501"/>
    <cellStyle name="Normal 85 3 2 5" xfId="11587"/>
    <cellStyle name="Normal 85 3 3" xfId="5793"/>
    <cellStyle name="Normal 85 3 3 2" xfId="9137"/>
    <cellStyle name="Normal 85 3 3 2 2" xfId="23238"/>
    <cellStyle name="Normal 85 3 3 2 3" xfId="17771"/>
    <cellStyle name="Normal 85 3 3 3" xfId="14987"/>
    <cellStyle name="Normal 85 3 3 4" xfId="20502"/>
    <cellStyle name="Normal 85 3 3 5" xfId="12382"/>
    <cellStyle name="Normal 85 3 4" xfId="7547"/>
    <cellStyle name="Normal 85 3 4 2" xfId="21654"/>
    <cellStyle name="Normal 85 3 4 3" xfId="16181"/>
    <cellStyle name="Normal 85 3 5" xfId="14985"/>
    <cellStyle name="Normal 85 3 6" xfId="20500"/>
    <cellStyle name="Normal 85 3 7" xfId="10794"/>
    <cellStyle name="Normal 85 3 8" xfId="42130"/>
    <cellStyle name="Normal 85 4" xfId="5794"/>
    <cellStyle name="Normal 85 4 2" xfId="5795"/>
    <cellStyle name="Normal 85 4 2 2" xfId="8599"/>
    <cellStyle name="Normal 85 4 2 2 2" xfId="22706"/>
    <cellStyle name="Normal 85 4 2 2 3" xfId="17233"/>
    <cellStyle name="Normal 85 4 2 3" xfId="14989"/>
    <cellStyle name="Normal 85 4 2 4" xfId="20504"/>
    <cellStyle name="Normal 85 4 2 5" xfId="11847"/>
    <cellStyle name="Normal 85 4 3" xfId="7807"/>
    <cellStyle name="Normal 85 4 3 2" xfId="21914"/>
    <cellStyle name="Normal 85 4 3 3" xfId="16441"/>
    <cellStyle name="Normal 85 4 4" xfId="14988"/>
    <cellStyle name="Normal 85 4 5" xfId="20503"/>
    <cellStyle name="Normal 85 4 6" xfId="11054"/>
    <cellStyle name="Normal 85 5" xfId="5796"/>
    <cellStyle name="Normal 85 5 2" xfId="6349"/>
    <cellStyle name="Normal 85 5 2 2" xfId="8785"/>
    <cellStyle name="Normal 85 5 2 2 2" xfId="22886"/>
    <cellStyle name="Normal 85 5 2 2 3" xfId="17419"/>
    <cellStyle name="Normal 85 5 2 3" xfId="15178"/>
    <cellStyle name="Normal 85 5 2 4" xfId="20672"/>
    <cellStyle name="Normal 85 5 2 5" xfId="12029"/>
    <cellStyle name="Normal 85 5 3" xfId="7195"/>
    <cellStyle name="Normal 85 5 3 2" xfId="21302"/>
    <cellStyle name="Normal 85 5 3 3" xfId="15829"/>
    <cellStyle name="Normal 85 5 4" xfId="14990"/>
    <cellStyle name="Normal 85 5 5" xfId="20505"/>
    <cellStyle name="Normal 85 5 6" xfId="10442"/>
    <cellStyle name="Normal 85 6" xfId="5797"/>
    <cellStyle name="Normal 85 6 2" xfId="7987"/>
    <cellStyle name="Normal 85 6 2 2" xfId="22094"/>
    <cellStyle name="Normal 85 6 2 3" xfId="16621"/>
    <cellStyle name="Normal 85 6 3" xfId="14991"/>
    <cellStyle name="Normal 85 6 4" xfId="20506"/>
    <cellStyle name="Normal 85 6 5" xfId="11234"/>
    <cellStyle name="Normal 85 7" xfId="5798"/>
    <cellStyle name="Normal 85 8" xfId="7012"/>
    <cellStyle name="Normal 85 8 2" xfId="21122"/>
    <cellStyle name="Normal 85 8 3" xfId="15649"/>
    <cellStyle name="Normal 85 9" xfId="10262"/>
    <cellStyle name="Normal 86" xfId="1980"/>
    <cellStyle name="Normal 86 2" xfId="3156"/>
    <cellStyle name="Normal 86 2 2" xfId="6757"/>
    <cellStyle name="Normal 86 2 2 2" xfId="42132"/>
    <cellStyle name="Normal 86 2 3" xfId="12954"/>
    <cellStyle name="Normal 86 2 4" xfId="24321"/>
    <cellStyle name="Normal 86 2 5" xfId="42131"/>
    <cellStyle name="Normal 86 3" xfId="42133"/>
    <cellStyle name="Normal 87" xfId="1885"/>
    <cellStyle name="Normal 87 2" xfId="3157"/>
    <cellStyle name="Normal 87 2 2" xfId="6755"/>
    <cellStyle name="Normal 87 2 3" xfId="12955"/>
    <cellStyle name="Normal 87 2 4" xfId="42134"/>
    <cellStyle name="Normal 87 3" xfId="42135"/>
    <cellStyle name="Normal 88" xfId="2519"/>
    <cellStyle name="Normal 88 2" xfId="5799"/>
    <cellStyle name="Normal 88 2 2" xfId="42136"/>
    <cellStyle name="Normal 88 3" xfId="6155"/>
    <cellStyle name="Normal 88 3 2" xfId="42137"/>
    <cellStyle name="Normal 89" xfId="2525"/>
    <cellStyle name="Normal 89 2" xfId="5800"/>
    <cellStyle name="Normal 89 2 2" xfId="42138"/>
    <cellStyle name="Normal 89 3" xfId="6156"/>
    <cellStyle name="Normal 89 3 2" xfId="42139"/>
    <cellStyle name="Normal 9" xfId="549"/>
    <cellStyle name="Normal 9 2" xfId="1407"/>
    <cellStyle name="Normal 9 3" xfId="6076"/>
    <cellStyle name="Normal 9 3 2" xfId="24400"/>
    <cellStyle name="Normal 9 3 3" xfId="42140"/>
    <cellStyle name="Normal 9 4" xfId="43227"/>
    <cellStyle name="Normal 90" xfId="2496"/>
    <cellStyle name="Normal 90 10" xfId="10265"/>
    <cellStyle name="Normal 90 2" xfId="5801"/>
    <cellStyle name="Normal 90 2 10" xfId="42141"/>
    <cellStyle name="Normal 90 2 2" xfId="5802"/>
    <cellStyle name="Normal 90 2 2 2" xfId="5803"/>
    <cellStyle name="Normal 90 2 2 2 2" xfId="8426"/>
    <cellStyle name="Normal 90 2 2 2 2 2" xfId="22533"/>
    <cellStyle name="Normal 90 2 2 2 2 3" xfId="17060"/>
    <cellStyle name="Normal 90 2 2 2 3" xfId="14994"/>
    <cellStyle name="Normal 90 2 2 2 4" xfId="20509"/>
    <cellStyle name="Normal 90 2 2 2 5" xfId="11674"/>
    <cellStyle name="Normal 90 2 2 3" xfId="5804"/>
    <cellStyle name="Normal 90 2 2 3 2" xfId="9224"/>
    <cellStyle name="Normal 90 2 2 3 2 2" xfId="23325"/>
    <cellStyle name="Normal 90 2 2 3 2 3" xfId="17858"/>
    <cellStyle name="Normal 90 2 2 3 3" xfId="14995"/>
    <cellStyle name="Normal 90 2 2 3 4" xfId="20510"/>
    <cellStyle name="Normal 90 2 2 3 5" xfId="12469"/>
    <cellStyle name="Normal 90 2 2 4" xfId="7634"/>
    <cellStyle name="Normal 90 2 2 4 2" xfId="21741"/>
    <cellStyle name="Normal 90 2 2 4 3" xfId="16268"/>
    <cellStyle name="Normal 90 2 2 5" xfId="14993"/>
    <cellStyle name="Normal 90 2 2 6" xfId="20508"/>
    <cellStyle name="Normal 90 2 2 7" xfId="10881"/>
    <cellStyle name="Normal 90 2 3" xfId="5805"/>
    <cellStyle name="Normal 90 2 3 2" xfId="5806"/>
    <cellStyle name="Normal 90 2 3 2 2" xfId="8686"/>
    <cellStyle name="Normal 90 2 3 2 2 2" xfId="22793"/>
    <cellStyle name="Normal 90 2 3 2 2 3" xfId="17320"/>
    <cellStyle name="Normal 90 2 3 2 3" xfId="14997"/>
    <cellStyle name="Normal 90 2 3 2 4" xfId="20512"/>
    <cellStyle name="Normal 90 2 3 2 5" xfId="11934"/>
    <cellStyle name="Normal 90 2 3 3" xfId="7894"/>
    <cellStyle name="Normal 90 2 3 3 2" xfId="22001"/>
    <cellStyle name="Normal 90 2 3 3 3" xfId="16528"/>
    <cellStyle name="Normal 90 2 3 4" xfId="14996"/>
    <cellStyle name="Normal 90 2 3 5" xfId="20511"/>
    <cellStyle name="Normal 90 2 3 6" xfId="11141"/>
    <cellStyle name="Normal 90 2 4" xfId="5807"/>
    <cellStyle name="Normal 90 2 4 2" xfId="6528"/>
    <cellStyle name="Normal 90 2 4 2 2" xfId="8964"/>
    <cellStyle name="Normal 90 2 4 2 2 2" xfId="23065"/>
    <cellStyle name="Normal 90 2 4 2 2 3" xfId="17598"/>
    <cellStyle name="Normal 90 2 4 2 3" xfId="15357"/>
    <cellStyle name="Normal 90 2 4 2 4" xfId="20851"/>
    <cellStyle name="Normal 90 2 4 2 5" xfId="12208"/>
    <cellStyle name="Normal 90 2 4 3" xfId="7374"/>
    <cellStyle name="Normal 90 2 4 3 2" xfId="21481"/>
    <cellStyle name="Normal 90 2 4 3 3" xfId="16008"/>
    <cellStyle name="Normal 90 2 4 4" xfId="14998"/>
    <cellStyle name="Normal 90 2 4 5" xfId="20513"/>
    <cellStyle name="Normal 90 2 4 6" xfId="10621"/>
    <cellStyle name="Normal 90 2 5" xfId="5808"/>
    <cellStyle name="Normal 90 2 5 2" xfId="8166"/>
    <cellStyle name="Normal 90 2 5 2 2" xfId="22273"/>
    <cellStyle name="Normal 90 2 5 2 3" xfId="16800"/>
    <cellStyle name="Normal 90 2 5 3" xfId="14999"/>
    <cellStyle name="Normal 90 2 5 4" xfId="20514"/>
    <cellStyle name="Normal 90 2 5 5" xfId="11413"/>
    <cellStyle name="Normal 90 2 6" xfId="7102"/>
    <cellStyle name="Normal 90 2 6 2" xfId="21209"/>
    <cellStyle name="Normal 90 2 6 3" xfId="15736"/>
    <cellStyle name="Normal 90 2 7" xfId="14992"/>
    <cellStyle name="Normal 90 2 8" xfId="20507"/>
    <cellStyle name="Normal 90 2 9" xfId="10349"/>
    <cellStyle name="Normal 90 3" xfId="5809"/>
    <cellStyle name="Normal 90 3 2" xfId="5810"/>
    <cellStyle name="Normal 90 3 2 2" xfId="8342"/>
    <cellStyle name="Normal 90 3 2 2 2" xfId="22449"/>
    <cellStyle name="Normal 90 3 2 2 3" xfId="16976"/>
    <cellStyle name="Normal 90 3 2 3" xfId="15001"/>
    <cellStyle name="Normal 90 3 2 4" xfId="20516"/>
    <cellStyle name="Normal 90 3 2 5" xfId="11590"/>
    <cellStyle name="Normal 90 3 3" xfId="5811"/>
    <cellStyle name="Normal 90 3 3 2" xfId="9140"/>
    <cellStyle name="Normal 90 3 3 2 2" xfId="23241"/>
    <cellStyle name="Normal 90 3 3 2 3" xfId="17774"/>
    <cellStyle name="Normal 90 3 3 3" xfId="15002"/>
    <cellStyle name="Normal 90 3 3 4" xfId="20517"/>
    <cellStyle name="Normal 90 3 3 5" xfId="12385"/>
    <cellStyle name="Normal 90 3 4" xfId="7550"/>
    <cellStyle name="Normal 90 3 4 2" xfId="21657"/>
    <cellStyle name="Normal 90 3 4 3" xfId="16184"/>
    <cellStyle name="Normal 90 3 5" xfId="15000"/>
    <cellStyle name="Normal 90 3 6" xfId="20515"/>
    <cellStyle name="Normal 90 3 7" xfId="10797"/>
    <cellStyle name="Normal 90 3 8" xfId="42142"/>
    <cellStyle name="Normal 90 4" xfId="5812"/>
    <cellStyle name="Normal 90 4 2" xfId="5813"/>
    <cellStyle name="Normal 90 4 2 2" xfId="8602"/>
    <cellStyle name="Normal 90 4 2 2 2" xfId="22709"/>
    <cellStyle name="Normal 90 4 2 2 3" xfId="17236"/>
    <cellStyle name="Normal 90 4 2 3" xfId="15004"/>
    <cellStyle name="Normal 90 4 2 4" xfId="20519"/>
    <cellStyle name="Normal 90 4 2 5" xfId="11850"/>
    <cellStyle name="Normal 90 4 3" xfId="7810"/>
    <cellStyle name="Normal 90 4 3 2" xfId="21917"/>
    <cellStyle name="Normal 90 4 3 3" xfId="16444"/>
    <cellStyle name="Normal 90 4 4" xfId="15003"/>
    <cellStyle name="Normal 90 4 5" xfId="20518"/>
    <cellStyle name="Normal 90 4 6" xfId="11057"/>
    <cellStyle name="Normal 90 5" xfId="5814"/>
    <cellStyle name="Normal 90 5 2" xfId="6352"/>
    <cellStyle name="Normal 90 5 2 2" xfId="8788"/>
    <cellStyle name="Normal 90 5 2 2 2" xfId="22889"/>
    <cellStyle name="Normal 90 5 2 2 3" xfId="17422"/>
    <cellStyle name="Normal 90 5 2 3" xfId="15181"/>
    <cellStyle name="Normal 90 5 2 4" xfId="20675"/>
    <cellStyle name="Normal 90 5 2 5" xfId="12032"/>
    <cellStyle name="Normal 90 5 3" xfId="7198"/>
    <cellStyle name="Normal 90 5 3 2" xfId="21305"/>
    <cellStyle name="Normal 90 5 3 3" xfId="15832"/>
    <cellStyle name="Normal 90 5 4" xfId="15005"/>
    <cellStyle name="Normal 90 5 5" xfId="20520"/>
    <cellStyle name="Normal 90 5 6" xfId="10445"/>
    <cellStyle name="Normal 90 6" xfId="5815"/>
    <cellStyle name="Normal 90 6 2" xfId="7990"/>
    <cellStyle name="Normal 90 6 2 2" xfId="22097"/>
    <cellStyle name="Normal 90 6 2 3" xfId="16624"/>
    <cellStyle name="Normal 90 6 3" xfId="15006"/>
    <cellStyle name="Normal 90 6 4" xfId="20521"/>
    <cellStyle name="Normal 90 6 5" xfId="11237"/>
    <cellStyle name="Normal 90 7" xfId="5816"/>
    <cellStyle name="Normal 90 8" xfId="5817"/>
    <cellStyle name="Normal 90 9" xfId="7015"/>
    <cellStyle name="Normal 90 9 2" xfId="21125"/>
    <cellStyle name="Normal 90 9 3" xfId="15652"/>
    <cellStyle name="Normal 91" xfId="2534"/>
    <cellStyle name="Normal 91 10" xfId="10266"/>
    <cellStyle name="Normal 91 2" xfId="5818"/>
    <cellStyle name="Normal 91 2 10" xfId="42143"/>
    <cellStyle name="Normal 91 2 2" xfId="5819"/>
    <cellStyle name="Normal 91 2 2 2" xfId="5820"/>
    <cellStyle name="Normal 91 2 2 2 2" xfId="8427"/>
    <cellStyle name="Normal 91 2 2 2 2 2" xfId="22534"/>
    <cellStyle name="Normal 91 2 2 2 2 3" xfId="17061"/>
    <cellStyle name="Normal 91 2 2 2 3" xfId="15009"/>
    <cellStyle name="Normal 91 2 2 2 4" xfId="20524"/>
    <cellStyle name="Normal 91 2 2 2 5" xfId="11675"/>
    <cellStyle name="Normal 91 2 2 3" xfId="5821"/>
    <cellStyle name="Normal 91 2 2 3 2" xfId="9225"/>
    <cellStyle name="Normal 91 2 2 3 2 2" xfId="23326"/>
    <cellStyle name="Normal 91 2 2 3 2 3" xfId="17859"/>
    <cellStyle name="Normal 91 2 2 3 3" xfId="15010"/>
    <cellStyle name="Normal 91 2 2 3 4" xfId="20525"/>
    <cellStyle name="Normal 91 2 2 3 5" xfId="12470"/>
    <cellStyle name="Normal 91 2 2 4" xfId="7635"/>
    <cellStyle name="Normal 91 2 2 4 2" xfId="21742"/>
    <cellStyle name="Normal 91 2 2 4 3" xfId="16269"/>
    <cellStyle name="Normal 91 2 2 5" xfId="15008"/>
    <cellStyle name="Normal 91 2 2 6" xfId="20523"/>
    <cellStyle name="Normal 91 2 2 7" xfId="10882"/>
    <cellStyle name="Normal 91 2 3" xfId="5822"/>
    <cellStyle name="Normal 91 2 3 2" xfId="5823"/>
    <cellStyle name="Normal 91 2 3 2 2" xfId="8687"/>
    <cellStyle name="Normal 91 2 3 2 2 2" xfId="22794"/>
    <cellStyle name="Normal 91 2 3 2 2 3" xfId="17321"/>
    <cellStyle name="Normal 91 2 3 2 3" xfId="15012"/>
    <cellStyle name="Normal 91 2 3 2 4" xfId="20527"/>
    <cellStyle name="Normal 91 2 3 2 5" xfId="11935"/>
    <cellStyle name="Normal 91 2 3 3" xfId="7895"/>
    <cellStyle name="Normal 91 2 3 3 2" xfId="22002"/>
    <cellStyle name="Normal 91 2 3 3 3" xfId="16529"/>
    <cellStyle name="Normal 91 2 3 4" xfId="15011"/>
    <cellStyle name="Normal 91 2 3 5" xfId="20526"/>
    <cellStyle name="Normal 91 2 3 6" xfId="11142"/>
    <cellStyle name="Normal 91 2 4" xfId="5824"/>
    <cellStyle name="Normal 91 2 4 2" xfId="6529"/>
    <cellStyle name="Normal 91 2 4 2 2" xfId="8965"/>
    <cellStyle name="Normal 91 2 4 2 2 2" xfId="23066"/>
    <cellStyle name="Normal 91 2 4 2 2 3" xfId="17599"/>
    <cellStyle name="Normal 91 2 4 2 3" xfId="15358"/>
    <cellStyle name="Normal 91 2 4 2 4" xfId="20852"/>
    <cellStyle name="Normal 91 2 4 2 5" xfId="12209"/>
    <cellStyle name="Normal 91 2 4 3" xfId="7375"/>
    <cellStyle name="Normal 91 2 4 3 2" xfId="21482"/>
    <cellStyle name="Normal 91 2 4 3 3" xfId="16009"/>
    <cellStyle name="Normal 91 2 4 4" xfId="15013"/>
    <cellStyle name="Normal 91 2 4 5" xfId="20528"/>
    <cellStyle name="Normal 91 2 4 6" xfId="10622"/>
    <cellStyle name="Normal 91 2 5" xfId="5825"/>
    <cellStyle name="Normal 91 2 5 2" xfId="8167"/>
    <cellStyle name="Normal 91 2 5 2 2" xfId="22274"/>
    <cellStyle name="Normal 91 2 5 2 3" xfId="16801"/>
    <cellStyle name="Normal 91 2 5 3" xfId="15014"/>
    <cellStyle name="Normal 91 2 5 4" xfId="20529"/>
    <cellStyle name="Normal 91 2 5 5" xfId="11414"/>
    <cellStyle name="Normal 91 2 6" xfId="7103"/>
    <cellStyle name="Normal 91 2 6 2" xfId="21210"/>
    <cellStyle name="Normal 91 2 6 3" xfId="15737"/>
    <cellStyle name="Normal 91 2 7" xfId="15007"/>
    <cellStyle name="Normal 91 2 8" xfId="20522"/>
    <cellStyle name="Normal 91 2 9" xfId="10350"/>
    <cellStyle name="Normal 91 3" xfId="5826"/>
    <cellStyle name="Normal 91 3 2" xfId="5827"/>
    <cellStyle name="Normal 91 3 2 2" xfId="8343"/>
    <cellStyle name="Normal 91 3 2 2 2" xfId="22450"/>
    <cellStyle name="Normal 91 3 2 2 3" xfId="16977"/>
    <cellStyle name="Normal 91 3 2 3" xfId="15016"/>
    <cellStyle name="Normal 91 3 2 4" xfId="20531"/>
    <cellStyle name="Normal 91 3 2 5" xfId="11591"/>
    <cellStyle name="Normal 91 3 3" xfId="5828"/>
    <cellStyle name="Normal 91 3 3 2" xfId="9141"/>
    <cellStyle name="Normal 91 3 3 2 2" xfId="23242"/>
    <cellStyle name="Normal 91 3 3 2 3" xfId="17775"/>
    <cellStyle name="Normal 91 3 3 3" xfId="15017"/>
    <cellStyle name="Normal 91 3 3 4" xfId="20532"/>
    <cellStyle name="Normal 91 3 3 5" xfId="12386"/>
    <cellStyle name="Normal 91 3 4" xfId="7551"/>
    <cellStyle name="Normal 91 3 4 2" xfId="21658"/>
    <cellStyle name="Normal 91 3 4 3" xfId="16185"/>
    <cellStyle name="Normal 91 3 5" xfId="15015"/>
    <cellStyle name="Normal 91 3 6" xfId="20530"/>
    <cellStyle name="Normal 91 3 7" xfId="10798"/>
    <cellStyle name="Normal 91 3 8" xfId="42144"/>
    <cellStyle name="Normal 91 4" xfId="5829"/>
    <cellStyle name="Normal 91 4 2" xfId="5830"/>
    <cellStyle name="Normal 91 4 2 2" xfId="8603"/>
    <cellStyle name="Normal 91 4 2 2 2" xfId="22710"/>
    <cellStyle name="Normal 91 4 2 2 3" xfId="17237"/>
    <cellStyle name="Normal 91 4 2 3" xfId="15019"/>
    <cellStyle name="Normal 91 4 2 4" xfId="20534"/>
    <cellStyle name="Normal 91 4 2 5" xfId="11851"/>
    <cellStyle name="Normal 91 4 3" xfId="7811"/>
    <cellStyle name="Normal 91 4 3 2" xfId="21918"/>
    <cellStyle name="Normal 91 4 3 3" xfId="16445"/>
    <cellStyle name="Normal 91 4 4" xfId="15018"/>
    <cellStyle name="Normal 91 4 5" xfId="20533"/>
    <cellStyle name="Normal 91 4 6" xfId="11058"/>
    <cellStyle name="Normal 91 5" xfId="5831"/>
    <cellStyle name="Normal 91 5 2" xfId="6353"/>
    <cellStyle name="Normal 91 5 2 2" xfId="8789"/>
    <cellStyle name="Normal 91 5 2 2 2" xfId="22890"/>
    <cellStyle name="Normal 91 5 2 2 3" xfId="17423"/>
    <cellStyle name="Normal 91 5 2 3" xfId="15182"/>
    <cellStyle name="Normal 91 5 2 4" xfId="20676"/>
    <cellStyle name="Normal 91 5 2 5" xfId="12033"/>
    <cellStyle name="Normal 91 5 3" xfId="7199"/>
    <cellStyle name="Normal 91 5 3 2" xfId="21306"/>
    <cellStyle name="Normal 91 5 3 3" xfId="15833"/>
    <cellStyle name="Normal 91 5 4" xfId="15020"/>
    <cellStyle name="Normal 91 5 5" xfId="20535"/>
    <cellStyle name="Normal 91 5 6" xfId="10446"/>
    <cellStyle name="Normal 91 6" xfId="5832"/>
    <cellStyle name="Normal 91 6 2" xfId="7991"/>
    <cellStyle name="Normal 91 6 2 2" xfId="22098"/>
    <cellStyle name="Normal 91 6 2 3" xfId="16625"/>
    <cellStyle name="Normal 91 6 3" xfId="15021"/>
    <cellStyle name="Normal 91 6 4" xfId="20536"/>
    <cellStyle name="Normal 91 6 5" xfId="11238"/>
    <cellStyle name="Normal 91 7" xfId="5833"/>
    <cellStyle name="Normal 91 8" xfId="5834"/>
    <cellStyle name="Normal 91 9" xfId="7016"/>
    <cellStyle name="Normal 91 9 2" xfId="21126"/>
    <cellStyle name="Normal 91 9 3" xfId="15653"/>
    <cellStyle name="Normal 92" xfId="1891"/>
    <cellStyle name="Normal 92 2" xfId="5835"/>
    <cellStyle name="Normal 92 2 2" xfId="42145"/>
    <cellStyle name="Normal 92 3" xfId="5836"/>
    <cellStyle name="Normal 92 4" xfId="6162"/>
    <cellStyle name="Normal 93" xfId="2551"/>
    <cellStyle name="Normal 93 2" xfId="5837"/>
    <cellStyle name="Normal 93 2 2" xfId="42146"/>
    <cellStyle name="Normal 93 3" xfId="5838"/>
    <cellStyle name="Normal 93 4" xfId="6164"/>
    <cellStyle name="Normal 94" xfId="2531"/>
    <cellStyle name="Normal 94 2" xfId="5839"/>
    <cellStyle name="Normal 94 2 2" xfId="42147"/>
    <cellStyle name="Normal 94 3" xfId="5840"/>
    <cellStyle name="Normal 94 4" xfId="6166"/>
    <cellStyle name="Normal 95" xfId="2530"/>
    <cellStyle name="Normal 95 2" xfId="5841"/>
    <cellStyle name="Normal 95 2 2" xfId="42148"/>
    <cellStyle name="Normal 95 3" xfId="5842"/>
    <cellStyle name="Normal 95 4" xfId="6167"/>
    <cellStyle name="Normal 96" xfId="2523"/>
    <cellStyle name="Normal 96 2" xfId="5843"/>
    <cellStyle name="Normal 96 2 2" xfId="42149"/>
    <cellStyle name="Normal 96 3" xfId="5844"/>
    <cellStyle name="Normal 96 3 2" xfId="5845"/>
    <cellStyle name="Normal 96 3 3" xfId="5846"/>
    <cellStyle name="Normal 96 3 3 2" xfId="6561"/>
    <cellStyle name="Normal 96 3 4" xfId="42150"/>
    <cellStyle name="Normal 96 4" xfId="5847"/>
    <cellStyle name="Normal 96 4 2" xfId="6244"/>
    <cellStyle name="Normal 96 5" xfId="5848"/>
    <cellStyle name="Normal 97" xfId="1878"/>
    <cellStyle name="Normal 97 2" xfId="5849"/>
    <cellStyle name="Normal 97 2 2" xfId="42151"/>
    <cellStyle name="Normal 97 3" xfId="5850"/>
    <cellStyle name="Normal 97 3 2" xfId="5851"/>
    <cellStyle name="Normal 97 3 3" xfId="5852"/>
    <cellStyle name="Normal 97 3 3 2" xfId="6566"/>
    <cellStyle name="Normal 97 3 4" xfId="42152"/>
    <cellStyle name="Normal 97 4" xfId="5853"/>
    <cellStyle name="Normal 97 4 2" xfId="6249"/>
    <cellStyle name="Normal 97 5" xfId="5854"/>
    <cellStyle name="Normal 98" xfId="2549"/>
    <cellStyle name="Normal 98 2" xfId="5855"/>
    <cellStyle name="Normal 98 2 2" xfId="42153"/>
    <cellStyle name="Normal 98 3" xfId="5856"/>
    <cellStyle name="Normal 98 3 2" xfId="5857"/>
    <cellStyle name="Normal 98 3 3" xfId="5858"/>
    <cellStyle name="Normal 98 3 3 2" xfId="6563"/>
    <cellStyle name="Normal 98 3 4" xfId="42154"/>
    <cellStyle name="Normal 98 4" xfId="5859"/>
    <cellStyle name="Normal 98 4 2" xfId="6246"/>
    <cellStyle name="Normal 98 5" xfId="5860"/>
    <cellStyle name="Normal 99" xfId="1889"/>
    <cellStyle name="Normal 99 2" xfId="5861"/>
    <cellStyle name="Normal 99 2 2" xfId="42155"/>
    <cellStyle name="Normal 99 3" xfId="5862"/>
    <cellStyle name="Normal 99 3 2" xfId="5863"/>
    <cellStyle name="Normal 99 3 3" xfId="5864"/>
    <cellStyle name="Normal 99 3 3 2" xfId="6568"/>
    <cellStyle name="Normal 99 3 4" xfId="42156"/>
    <cellStyle name="Normal 99 4" xfId="5865"/>
    <cellStyle name="Normal 99 4 2" xfId="6251"/>
    <cellStyle name="Normal 99 5" xfId="586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xfId="42157"/>
    <cellStyle name="Note 10 2" xfId="43388"/>
    <cellStyle name="Note 10 3" xfId="43287"/>
    <cellStyle name="Note 10 4" xfId="43911"/>
    <cellStyle name="Note 2" xfId="95"/>
    <cellStyle name="Note 2 2" xfId="733"/>
    <cellStyle name="Note 2 2 10" xfId="44071"/>
    <cellStyle name="Note 2 2 11" xfId="44245"/>
    <cellStyle name="Note 2 2 2" xfId="1004"/>
    <cellStyle name="Note 2 2 2 2" xfId="1459"/>
    <cellStyle name="Note 2 2 2 2 2" xfId="6862"/>
    <cellStyle name="Note 2 2 2 2 2 10" xfId="1769"/>
    <cellStyle name="Note 2 2 2 2 2 10 2" xfId="32577"/>
    <cellStyle name="Note 2 2 2 2 2 11" xfId="28427"/>
    <cellStyle name="Note 2 2 2 2 2 11 2" xfId="37184"/>
    <cellStyle name="Note 2 2 2 2 2 12" xfId="32775"/>
    <cellStyle name="Note 2 2 2 2 2 13" xfId="42161"/>
    <cellStyle name="Note 2 2 2 2 2 2" xfId="18256"/>
    <cellStyle name="Note 2 2 2 2 2 2 10" xfId="28521"/>
    <cellStyle name="Note 2 2 2 2 2 2 10 2" xfId="37277"/>
    <cellStyle name="Note 2 2 2 2 2 2 11" xfId="28624"/>
    <cellStyle name="Note 2 2 2 2 2 2 11 2" xfId="37380"/>
    <cellStyle name="Note 2 2 2 2 2 2 12" xfId="33000"/>
    <cellStyle name="Note 2 2 2 2 2 2 2" xfId="24526"/>
    <cellStyle name="Note 2 2 2 2 2 2 2 10" xfId="32279"/>
    <cellStyle name="Note 2 2 2 2 2 2 2 10 2" xfId="41033"/>
    <cellStyle name="Note 2 2 2 2 2 2 2 11" xfId="33354"/>
    <cellStyle name="Note 2 2 2 2 2 2 2 2" xfId="29134"/>
    <cellStyle name="Note 2 2 2 2 2 2 2 2 2" xfId="37888"/>
    <cellStyle name="Note 2 2 2 2 2 2 2 3" xfId="29547"/>
    <cellStyle name="Note 2 2 2 2 2 2 2 3 2" xfId="38301"/>
    <cellStyle name="Note 2 2 2 2 2 2 2 4" xfId="29967"/>
    <cellStyle name="Note 2 2 2 2 2 2 2 4 2" xfId="38721"/>
    <cellStyle name="Note 2 2 2 2 2 2 2 5" xfId="30386"/>
    <cellStyle name="Note 2 2 2 2 2 2 2 5 2" xfId="39140"/>
    <cellStyle name="Note 2 2 2 2 2 2 2 6" xfId="30787"/>
    <cellStyle name="Note 2 2 2 2 2 2 2 6 2" xfId="39541"/>
    <cellStyle name="Note 2 2 2 2 2 2 2 7" xfId="31173"/>
    <cellStyle name="Note 2 2 2 2 2 2 2 7 2" xfId="39927"/>
    <cellStyle name="Note 2 2 2 2 2 2 2 8" xfId="31551"/>
    <cellStyle name="Note 2 2 2 2 2 2 2 8 2" xfId="40305"/>
    <cellStyle name="Note 2 2 2 2 2 2 2 9" xfId="31917"/>
    <cellStyle name="Note 2 2 2 2 2 2 2 9 2" xfId="40671"/>
    <cellStyle name="Note 2 2 2 2 2 2 3" xfId="27746"/>
    <cellStyle name="Note 2 2 2 2 2 2 3 2" xfId="36506"/>
    <cellStyle name="Note 2 2 2 2 2 2 4" xfId="25179"/>
    <cellStyle name="Note 2 2 2 2 2 2 4 2" xfId="33950"/>
    <cellStyle name="Note 2 2 2 2 2 2 5" xfId="29021"/>
    <cellStyle name="Note 2 2 2 2 2 2 5 2" xfId="37775"/>
    <cellStyle name="Note 2 2 2 2 2 2 6" xfId="28017"/>
    <cellStyle name="Note 2 2 2 2 2 2 6 2" xfId="36776"/>
    <cellStyle name="Note 2 2 2 2 2 2 7" xfId="26908"/>
    <cellStyle name="Note 2 2 2 2 2 2 7 2" xfId="35668"/>
    <cellStyle name="Note 2 2 2 2 2 2 8" xfId="28905"/>
    <cellStyle name="Note 2 2 2 2 2 2 8 2" xfId="37661"/>
    <cellStyle name="Note 2 2 2 2 2 2 9" xfId="27016"/>
    <cellStyle name="Note 2 2 2 2 2 2 9 2" xfId="35776"/>
    <cellStyle name="Note 2 2 2 2 2 3" xfId="23667"/>
    <cellStyle name="Note 2 2 2 2 2 3 10" xfId="27864"/>
    <cellStyle name="Note 2 2 2 2 2 3 10 2" xfId="36624"/>
    <cellStyle name="Note 2 2 2 2 2 3 11" xfId="27517"/>
    <cellStyle name="Note 2 2 2 2 2 3 11 2" xfId="36277"/>
    <cellStyle name="Note 2 2 2 2 2 3 12" xfId="33137"/>
    <cellStyle name="Note 2 2 2 2 2 3 2" xfId="24722"/>
    <cellStyle name="Note 2 2 2 2 2 3 2 10" xfId="32423"/>
    <cellStyle name="Note 2 2 2 2 2 3 2 10 2" xfId="41177"/>
    <cellStyle name="Note 2 2 2 2 2 3 2 11" xfId="33498"/>
    <cellStyle name="Note 2 2 2 2 2 3 2 2" xfId="29287"/>
    <cellStyle name="Note 2 2 2 2 2 3 2 2 2" xfId="38041"/>
    <cellStyle name="Note 2 2 2 2 2 3 2 3" xfId="29697"/>
    <cellStyle name="Note 2 2 2 2 2 3 2 3 2" xfId="38451"/>
    <cellStyle name="Note 2 2 2 2 2 3 2 4" xfId="30117"/>
    <cellStyle name="Note 2 2 2 2 2 3 2 4 2" xfId="38871"/>
    <cellStyle name="Note 2 2 2 2 2 3 2 5" xfId="30533"/>
    <cellStyle name="Note 2 2 2 2 2 3 2 5 2" xfId="39287"/>
    <cellStyle name="Note 2 2 2 2 2 3 2 6" xfId="30934"/>
    <cellStyle name="Note 2 2 2 2 2 3 2 6 2" xfId="39688"/>
    <cellStyle name="Note 2 2 2 2 2 3 2 7" xfId="31320"/>
    <cellStyle name="Note 2 2 2 2 2 3 2 7 2" xfId="40074"/>
    <cellStyle name="Note 2 2 2 2 2 3 2 8" xfId="31696"/>
    <cellStyle name="Note 2 2 2 2 2 3 2 8 2" xfId="40450"/>
    <cellStyle name="Note 2 2 2 2 2 3 2 9" xfId="32062"/>
    <cellStyle name="Note 2 2 2 2 2 3 2 9 2" xfId="40816"/>
    <cellStyle name="Note 2 2 2 2 2 3 3" xfId="28783"/>
    <cellStyle name="Note 2 2 2 2 2 3 3 2" xfId="37539"/>
    <cellStyle name="Note 2 2 2 2 2 3 4" xfId="24792"/>
    <cellStyle name="Note 2 2 2 2 2 3 4 2" xfId="33568"/>
    <cellStyle name="Note 2 2 2 2 2 3 5" xfId="26406"/>
    <cellStyle name="Note 2 2 2 2 2 3 5 2" xfId="35172"/>
    <cellStyle name="Note 2 2 2 2 2 3 6" xfId="27993"/>
    <cellStyle name="Note 2 2 2 2 2 3 6 2" xfId="36753"/>
    <cellStyle name="Note 2 2 2 2 2 3 7" xfId="25620"/>
    <cellStyle name="Note 2 2 2 2 2 3 7 2" xfId="34387"/>
    <cellStyle name="Note 2 2 2 2 2 3 8" xfId="27986"/>
    <cellStyle name="Note 2 2 2 2 2 3 8 2" xfId="36746"/>
    <cellStyle name="Note 2 2 2 2 2 3 9" xfId="27073"/>
    <cellStyle name="Note 2 2 2 2 2 3 9 2" xfId="35833"/>
    <cellStyle name="Note 2 2 2 2 2 4" xfId="27402"/>
    <cellStyle name="Note 2 2 2 2 2 4 2" xfId="36162"/>
    <cellStyle name="Note 2 2 2 2 2 5" xfId="26755"/>
    <cellStyle name="Note 2 2 2 2 2 5 2" xfId="35517"/>
    <cellStyle name="Note 2 2 2 2 2 6" xfId="26434"/>
    <cellStyle name="Note 2 2 2 2 2 6 2" xfId="35199"/>
    <cellStyle name="Note 2 2 2 2 2 7" xfId="25225"/>
    <cellStyle name="Note 2 2 2 2 2 7 2" xfId="33996"/>
    <cellStyle name="Note 2 2 2 2 2 8" xfId="28370"/>
    <cellStyle name="Note 2 2 2 2 2 8 2" xfId="37128"/>
    <cellStyle name="Note 2 2 2 2 2 9" xfId="27038"/>
    <cellStyle name="Note 2 2 2 2 2 9 2" xfId="35798"/>
    <cellStyle name="Note 2 2 2 2 3" xfId="42160"/>
    <cellStyle name="Note 2 2 2 3" xfId="1978"/>
    <cellStyle name="Note 2 2 2 3 2" xfId="9365"/>
    <cellStyle name="Note 2 2 2 3 2 10" xfId="30852"/>
    <cellStyle name="Note 2 2 2 3 2 10 2" xfId="39606"/>
    <cellStyle name="Note 2 2 2 3 2 11" xfId="31238"/>
    <cellStyle name="Note 2 2 2 3 2 11 2" xfId="39992"/>
    <cellStyle name="Note 2 2 2 3 2 12" xfId="32787"/>
    <cellStyle name="Note 2 2 2 3 2 13" xfId="42163"/>
    <cellStyle name="Note 2 2 2 3 2 14" xfId="43391"/>
    <cellStyle name="Note 2 2 2 3 2 15" xfId="43683"/>
    <cellStyle name="Note 2 2 2 3 2 16" xfId="44076"/>
    <cellStyle name="Note 2 2 2 3 2 2" xfId="18268"/>
    <cellStyle name="Note 2 2 2 3 2 2 10" xfId="25034"/>
    <cellStyle name="Note 2 2 2 3 2 2 10 2" xfId="33808"/>
    <cellStyle name="Note 2 2 2 3 2 2 11" xfId="27037"/>
    <cellStyle name="Note 2 2 2 3 2 2 11 2" xfId="35797"/>
    <cellStyle name="Note 2 2 2 3 2 2 12" xfId="33012"/>
    <cellStyle name="Note 2 2 2 3 2 2 2" xfId="24538"/>
    <cellStyle name="Note 2 2 2 3 2 2 2 10" xfId="32291"/>
    <cellStyle name="Note 2 2 2 3 2 2 2 10 2" xfId="41045"/>
    <cellStyle name="Note 2 2 2 3 2 2 2 11" xfId="33366"/>
    <cellStyle name="Note 2 2 2 3 2 2 2 2" xfId="29146"/>
    <cellStyle name="Note 2 2 2 3 2 2 2 2 2" xfId="37900"/>
    <cellStyle name="Note 2 2 2 3 2 2 2 3" xfId="29559"/>
    <cellStyle name="Note 2 2 2 3 2 2 2 3 2" xfId="38313"/>
    <cellStyle name="Note 2 2 2 3 2 2 2 4" xfId="29979"/>
    <cellStyle name="Note 2 2 2 3 2 2 2 4 2" xfId="38733"/>
    <cellStyle name="Note 2 2 2 3 2 2 2 5" xfId="30398"/>
    <cellStyle name="Note 2 2 2 3 2 2 2 5 2" xfId="39152"/>
    <cellStyle name="Note 2 2 2 3 2 2 2 6" xfId="30799"/>
    <cellStyle name="Note 2 2 2 3 2 2 2 6 2" xfId="39553"/>
    <cellStyle name="Note 2 2 2 3 2 2 2 7" xfId="31185"/>
    <cellStyle name="Note 2 2 2 3 2 2 2 7 2" xfId="39939"/>
    <cellStyle name="Note 2 2 2 3 2 2 2 8" xfId="31563"/>
    <cellStyle name="Note 2 2 2 3 2 2 2 8 2" xfId="40317"/>
    <cellStyle name="Note 2 2 2 3 2 2 2 9" xfId="31929"/>
    <cellStyle name="Note 2 2 2 3 2 2 2 9 2" xfId="40683"/>
    <cellStyle name="Note 2 2 2 3 2 2 3" xfId="27758"/>
    <cellStyle name="Note 2 2 2 3 2 2 3 2" xfId="36518"/>
    <cellStyle name="Note 2 2 2 3 2 2 4" xfId="26054"/>
    <cellStyle name="Note 2 2 2 3 2 2 4 2" xfId="34820"/>
    <cellStyle name="Note 2 2 2 3 2 2 5" xfId="26742"/>
    <cellStyle name="Note 2 2 2 3 2 2 5 2" xfId="35504"/>
    <cellStyle name="Note 2 2 2 3 2 2 6" xfId="28831"/>
    <cellStyle name="Note 2 2 2 3 2 2 6 2" xfId="37587"/>
    <cellStyle name="Note 2 2 2 3 2 2 7" xfId="25317"/>
    <cellStyle name="Note 2 2 2 3 2 2 7 2" xfId="34086"/>
    <cellStyle name="Note 2 2 2 3 2 2 8" xfId="27952"/>
    <cellStyle name="Note 2 2 2 3 2 2 8 2" xfId="36712"/>
    <cellStyle name="Note 2 2 2 3 2 2 9" xfId="26198"/>
    <cellStyle name="Note 2 2 2 3 2 2 9 2" xfId="34964"/>
    <cellStyle name="Note 2 2 2 3 2 3" xfId="23679"/>
    <cellStyle name="Note 2 2 2 3 2 3 10" xfId="25679"/>
    <cellStyle name="Note 2 2 2 3 2 3 10 2" xfId="34446"/>
    <cellStyle name="Note 2 2 2 3 2 3 11" xfId="28485"/>
    <cellStyle name="Note 2 2 2 3 2 3 11 2" xfId="37241"/>
    <cellStyle name="Note 2 2 2 3 2 3 12" xfId="33149"/>
    <cellStyle name="Note 2 2 2 3 2 3 2" xfId="24734"/>
    <cellStyle name="Note 2 2 2 3 2 3 2 10" xfId="32435"/>
    <cellStyle name="Note 2 2 2 3 2 3 2 10 2" xfId="41189"/>
    <cellStyle name="Note 2 2 2 3 2 3 2 11" xfId="33510"/>
    <cellStyle name="Note 2 2 2 3 2 3 2 2" xfId="29299"/>
    <cellStyle name="Note 2 2 2 3 2 3 2 2 2" xfId="38053"/>
    <cellStyle name="Note 2 2 2 3 2 3 2 3" xfId="29709"/>
    <cellStyle name="Note 2 2 2 3 2 3 2 3 2" xfId="38463"/>
    <cellStyle name="Note 2 2 2 3 2 3 2 4" xfId="30129"/>
    <cellStyle name="Note 2 2 2 3 2 3 2 4 2" xfId="38883"/>
    <cellStyle name="Note 2 2 2 3 2 3 2 5" xfId="30545"/>
    <cellStyle name="Note 2 2 2 3 2 3 2 5 2" xfId="39299"/>
    <cellStyle name="Note 2 2 2 3 2 3 2 6" xfId="30946"/>
    <cellStyle name="Note 2 2 2 3 2 3 2 6 2" xfId="39700"/>
    <cellStyle name="Note 2 2 2 3 2 3 2 7" xfId="31332"/>
    <cellStyle name="Note 2 2 2 3 2 3 2 7 2" xfId="40086"/>
    <cellStyle name="Note 2 2 2 3 2 3 2 8" xfId="31708"/>
    <cellStyle name="Note 2 2 2 3 2 3 2 8 2" xfId="40462"/>
    <cellStyle name="Note 2 2 2 3 2 3 2 9" xfId="32074"/>
    <cellStyle name="Note 2 2 2 3 2 3 2 9 2" xfId="40828"/>
    <cellStyle name="Note 2 2 2 3 2 3 3" xfId="28795"/>
    <cellStyle name="Note 2 2 2 3 2 3 3 2" xfId="37551"/>
    <cellStyle name="Note 2 2 2 3 2 3 4" xfId="1772"/>
    <cellStyle name="Note 2 2 2 3 2 3 4 2" xfId="32580"/>
    <cellStyle name="Note 2 2 2 3 2 3 5" xfId="27086"/>
    <cellStyle name="Note 2 2 2 3 2 3 5 2" xfId="35846"/>
    <cellStyle name="Note 2 2 2 3 2 3 6" xfId="28942"/>
    <cellStyle name="Note 2 2 2 3 2 3 6 2" xfId="37697"/>
    <cellStyle name="Note 2 2 2 3 2 3 7" xfId="28444"/>
    <cellStyle name="Note 2 2 2 3 2 3 7 2" xfId="37201"/>
    <cellStyle name="Note 2 2 2 3 2 3 8" xfId="26457"/>
    <cellStyle name="Note 2 2 2 3 2 3 8 2" xfId="35222"/>
    <cellStyle name="Note 2 2 2 3 2 3 9" xfId="29357"/>
    <cellStyle name="Note 2 2 2 3 2 3 9 2" xfId="38111"/>
    <cellStyle name="Note 2 2 2 3 2 4" xfId="27158"/>
    <cellStyle name="Note 2 2 2 3 2 4 2" xfId="35918"/>
    <cellStyle name="Note 2 2 2 3 2 5" xfId="27232"/>
    <cellStyle name="Note 2 2 2 3 2 5 2" xfId="35992"/>
    <cellStyle name="Note 2 2 2 3 2 6" xfId="25272"/>
    <cellStyle name="Note 2 2 2 3 2 6 2" xfId="34042"/>
    <cellStyle name="Note 2 2 2 3 2 7" xfId="26863"/>
    <cellStyle name="Note 2 2 2 3 2 7 2" xfId="35624"/>
    <cellStyle name="Note 2 2 2 3 2 8" xfId="1728"/>
    <cellStyle name="Note 2 2 2 3 2 8 2" xfId="32539"/>
    <cellStyle name="Note 2 2 2 3 2 9" xfId="30451"/>
    <cellStyle name="Note 2 2 2 3 2 9 2" xfId="39205"/>
    <cellStyle name="Note 2 2 2 3 3" xfId="42162"/>
    <cellStyle name="Note 2 2 2 3 4" xfId="43390"/>
    <cellStyle name="Note 2 2 2 3 5" xfId="43691"/>
    <cellStyle name="Note 2 2 2 3 6" xfId="44065"/>
    <cellStyle name="Note 2 2 2 4" xfId="6079"/>
    <cellStyle name="Note 2 2 2 4 10" xfId="28164"/>
    <cellStyle name="Note 2 2 2 4 10 2" xfId="36923"/>
    <cellStyle name="Note 2 2 2 4 11" xfId="25419"/>
    <cellStyle name="Note 2 2 2 4 11 2" xfId="34188"/>
    <cellStyle name="Note 2 2 2 4 12" xfId="32741"/>
    <cellStyle name="Note 2 2 2 4 13" xfId="42164"/>
    <cellStyle name="Note 2 2 2 4 2" xfId="18201"/>
    <cellStyle name="Note 2 2 2 4 2 10" xfId="28652"/>
    <cellStyle name="Note 2 2 2 4 2 10 2" xfId="37408"/>
    <cellStyle name="Note 2 2 2 4 2 11" xfId="2574"/>
    <cellStyle name="Note 2 2 2 4 2 11 2" xfId="32651"/>
    <cellStyle name="Note 2 2 2 4 2 12" xfId="32945"/>
    <cellStyle name="Note 2 2 2 4 2 2" xfId="24471"/>
    <cellStyle name="Note 2 2 2 4 2 2 10" xfId="32224"/>
    <cellStyle name="Note 2 2 2 4 2 2 10 2" xfId="40978"/>
    <cellStyle name="Note 2 2 2 4 2 2 11" xfId="33299"/>
    <cellStyle name="Note 2 2 2 4 2 2 2" xfId="29079"/>
    <cellStyle name="Note 2 2 2 4 2 2 2 2" xfId="37833"/>
    <cellStyle name="Note 2 2 2 4 2 2 3" xfId="29492"/>
    <cellStyle name="Note 2 2 2 4 2 2 3 2" xfId="38246"/>
    <cellStyle name="Note 2 2 2 4 2 2 4" xfId="29912"/>
    <cellStyle name="Note 2 2 2 4 2 2 4 2" xfId="38666"/>
    <cellStyle name="Note 2 2 2 4 2 2 5" xfId="30331"/>
    <cellStyle name="Note 2 2 2 4 2 2 5 2" xfId="39085"/>
    <cellStyle name="Note 2 2 2 4 2 2 6" xfId="30732"/>
    <cellStyle name="Note 2 2 2 4 2 2 6 2" xfId="39486"/>
    <cellStyle name="Note 2 2 2 4 2 2 7" xfId="31118"/>
    <cellStyle name="Note 2 2 2 4 2 2 7 2" xfId="39872"/>
    <cellStyle name="Note 2 2 2 4 2 2 8" xfId="31496"/>
    <cellStyle name="Note 2 2 2 4 2 2 8 2" xfId="40250"/>
    <cellStyle name="Note 2 2 2 4 2 2 9" xfId="31862"/>
    <cellStyle name="Note 2 2 2 4 2 2 9 2" xfId="40616"/>
    <cellStyle name="Note 2 2 2 4 2 3" xfId="27691"/>
    <cellStyle name="Note 2 2 2 4 2 3 2" xfId="36451"/>
    <cellStyle name="Note 2 2 2 4 2 4" xfId="26551"/>
    <cellStyle name="Note 2 2 2 4 2 4 2" xfId="35316"/>
    <cellStyle name="Note 2 2 2 4 2 5" xfId="27401"/>
    <cellStyle name="Note 2 2 2 4 2 5 2" xfId="36161"/>
    <cellStyle name="Note 2 2 2 4 2 6" xfId="25091"/>
    <cellStyle name="Note 2 2 2 4 2 6 2" xfId="33863"/>
    <cellStyle name="Note 2 2 2 4 2 7" xfId="25287"/>
    <cellStyle name="Note 2 2 2 4 2 7 2" xfId="34057"/>
    <cellStyle name="Note 2 2 2 4 2 8" xfId="25319"/>
    <cellStyle name="Note 2 2 2 4 2 8 2" xfId="34088"/>
    <cellStyle name="Note 2 2 2 4 2 9" xfId="27628"/>
    <cellStyle name="Note 2 2 2 4 2 9 2" xfId="36388"/>
    <cellStyle name="Note 2 2 2 4 3" xfId="23643"/>
    <cellStyle name="Note 2 2 2 4 3 10" xfId="26872"/>
    <cellStyle name="Note 2 2 2 4 3 10 2" xfId="35632"/>
    <cellStyle name="Note 2 2 2 4 3 11" xfId="25017"/>
    <cellStyle name="Note 2 2 2 4 3 11 2" xfId="33791"/>
    <cellStyle name="Note 2 2 2 4 3 12" xfId="33113"/>
    <cellStyle name="Note 2 2 2 4 3 2" xfId="24698"/>
    <cellStyle name="Note 2 2 2 4 3 2 10" xfId="32399"/>
    <cellStyle name="Note 2 2 2 4 3 2 10 2" xfId="41153"/>
    <cellStyle name="Note 2 2 2 4 3 2 11" xfId="33474"/>
    <cellStyle name="Note 2 2 2 4 3 2 2" xfId="29263"/>
    <cellStyle name="Note 2 2 2 4 3 2 2 2" xfId="38017"/>
    <cellStyle name="Note 2 2 2 4 3 2 3" xfId="29673"/>
    <cellStyle name="Note 2 2 2 4 3 2 3 2" xfId="38427"/>
    <cellStyle name="Note 2 2 2 4 3 2 4" xfId="30093"/>
    <cellStyle name="Note 2 2 2 4 3 2 4 2" xfId="38847"/>
    <cellStyle name="Note 2 2 2 4 3 2 5" xfId="30509"/>
    <cellStyle name="Note 2 2 2 4 3 2 5 2" xfId="39263"/>
    <cellStyle name="Note 2 2 2 4 3 2 6" xfId="30910"/>
    <cellStyle name="Note 2 2 2 4 3 2 6 2" xfId="39664"/>
    <cellStyle name="Note 2 2 2 4 3 2 7" xfId="31296"/>
    <cellStyle name="Note 2 2 2 4 3 2 7 2" xfId="40050"/>
    <cellStyle name="Note 2 2 2 4 3 2 8" xfId="31672"/>
    <cellStyle name="Note 2 2 2 4 3 2 8 2" xfId="40426"/>
    <cellStyle name="Note 2 2 2 4 3 2 9" xfId="32038"/>
    <cellStyle name="Note 2 2 2 4 3 2 9 2" xfId="40792"/>
    <cellStyle name="Note 2 2 2 4 3 3" xfId="28759"/>
    <cellStyle name="Note 2 2 2 4 3 3 2" xfId="37515"/>
    <cellStyle name="Note 2 2 2 4 3 4" xfId="1684"/>
    <cellStyle name="Note 2 2 2 4 3 4 2" xfId="32497"/>
    <cellStyle name="Note 2 2 2 4 3 5" xfId="28159"/>
    <cellStyle name="Note 2 2 2 4 3 5 2" xfId="36918"/>
    <cellStyle name="Note 2 2 2 4 3 6" xfId="26464"/>
    <cellStyle name="Note 2 2 2 4 3 6 2" xfId="35229"/>
    <cellStyle name="Note 2 2 2 4 3 7" xfId="28278"/>
    <cellStyle name="Note 2 2 2 4 3 7 2" xfId="37037"/>
    <cellStyle name="Note 2 2 2 4 3 8" xfId="25150"/>
    <cellStyle name="Note 2 2 2 4 3 8 2" xfId="33921"/>
    <cellStyle name="Note 2 2 2 4 3 9" xfId="1666"/>
    <cellStyle name="Note 2 2 2 4 3 9 2" xfId="32479"/>
    <cellStyle name="Note 2 2 2 4 4" xfId="25435"/>
    <cellStyle name="Note 2 2 2 4 4 2" xfId="34204"/>
    <cellStyle name="Note 2 2 2 4 5" xfId="25115"/>
    <cellStyle name="Note 2 2 2 4 5 2" xfId="33887"/>
    <cellStyle name="Note 2 2 2 4 6" xfId="25833"/>
    <cellStyle name="Note 2 2 2 4 6 2" xfId="34599"/>
    <cellStyle name="Note 2 2 2 4 7" xfId="28433"/>
    <cellStyle name="Note 2 2 2 4 7 2" xfId="37190"/>
    <cellStyle name="Note 2 2 2 4 8" xfId="29428"/>
    <cellStyle name="Note 2 2 2 4 8 2" xfId="38182"/>
    <cellStyle name="Note 2 2 2 4 9" xfId="24947"/>
    <cellStyle name="Note 2 2 2 4 9 2" xfId="33721"/>
    <cellStyle name="Note 2 2 2 5" xfId="42159"/>
    <cellStyle name="Note 2 2 3" xfId="915"/>
    <cellStyle name="Note 2 2 3 2" xfId="1409"/>
    <cellStyle name="Note 2 2 3 2 2" xfId="9467"/>
    <cellStyle name="Note 2 2 3 2 2 10" xfId="25664"/>
    <cellStyle name="Note 2 2 3 2 2 10 2" xfId="34431"/>
    <cellStyle name="Note 2 2 3 2 2 11" xfId="28701"/>
    <cellStyle name="Note 2 2 3 2 2 11 2" xfId="37457"/>
    <cellStyle name="Note 2 2 3 2 2 12" xfId="32809"/>
    <cellStyle name="Note 2 2 3 2 2 13" xfId="42167"/>
    <cellStyle name="Note 2 2 3 2 2 2" xfId="18290"/>
    <cellStyle name="Note 2 2 3 2 2 2 10" xfId="26664"/>
    <cellStyle name="Note 2 2 3 2 2 2 10 2" xfId="35428"/>
    <cellStyle name="Note 2 2 3 2 2 2 11" xfId="26321"/>
    <cellStyle name="Note 2 2 3 2 2 2 11 2" xfId="35087"/>
    <cellStyle name="Note 2 2 3 2 2 2 12" xfId="33034"/>
    <cellStyle name="Note 2 2 3 2 2 2 2" xfId="24560"/>
    <cellStyle name="Note 2 2 3 2 2 2 2 10" xfId="32313"/>
    <cellStyle name="Note 2 2 3 2 2 2 2 10 2" xfId="41067"/>
    <cellStyle name="Note 2 2 3 2 2 2 2 11" xfId="33388"/>
    <cellStyle name="Note 2 2 3 2 2 2 2 2" xfId="29168"/>
    <cellStyle name="Note 2 2 3 2 2 2 2 2 2" xfId="37922"/>
    <cellStyle name="Note 2 2 3 2 2 2 2 3" xfId="29581"/>
    <cellStyle name="Note 2 2 3 2 2 2 2 3 2" xfId="38335"/>
    <cellStyle name="Note 2 2 3 2 2 2 2 4" xfId="30001"/>
    <cellStyle name="Note 2 2 3 2 2 2 2 4 2" xfId="38755"/>
    <cellStyle name="Note 2 2 3 2 2 2 2 5" xfId="30420"/>
    <cellStyle name="Note 2 2 3 2 2 2 2 5 2" xfId="39174"/>
    <cellStyle name="Note 2 2 3 2 2 2 2 6" xfId="30821"/>
    <cellStyle name="Note 2 2 3 2 2 2 2 6 2" xfId="39575"/>
    <cellStyle name="Note 2 2 3 2 2 2 2 7" xfId="31207"/>
    <cellStyle name="Note 2 2 3 2 2 2 2 7 2" xfId="39961"/>
    <cellStyle name="Note 2 2 3 2 2 2 2 8" xfId="31585"/>
    <cellStyle name="Note 2 2 3 2 2 2 2 8 2" xfId="40339"/>
    <cellStyle name="Note 2 2 3 2 2 2 2 9" xfId="31951"/>
    <cellStyle name="Note 2 2 3 2 2 2 2 9 2" xfId="40705"/>
    <cellStyle name="Note 2 2 3 2 2 2 3" xfId="27780"/>
    <cellStyle name="Note 2 2 3 2 2 2 3 2" xfId="36540"/>
    <cellStyle name="Note 2 2 3 2 2 2 4" xfId="25175"/>
    <cellStyle name="Note 2 2 3 2 2 2 4 2" xfId="33946"/>
    <cellStyle name="Note 2 2 3 2 2 2 5" xfId="27616"/>
    <cellStyle name="Note 2 2 3 2 2 2 5 2" xfId="36376"/>
    <cellStyle name="Note 2 2 3 2 2 2 6" xfId="28032"/>
    <cellStyle name="Note 2 2 3 2 2 2 6 2" xfId="36791"/>
    <cellStyle name="Note 2 2 3 2 2 2 7" xfId="26844"/>
    <cellStyle name="Note 2 2 3 2 2 2 7 2" xfId="35605"/>
    <cellStyle name="Note 2 2 3 2 2 2 8" xfId="27512"/>
    <cellStyle name="Note 2 2 3 2 2 2 8 2" xfId="36272"/>
    <cellStyle name="Note 2 2 3 2 2 2 9" xfId="28236"/>
    <cellStyle name="Note 2 2 3 2 2 2 9 2" xfId="36995"/>
    <cellStyle name="Note 2 2 3 2 2 3" xfId="23700"/>
    <cellStyle name="Note 2 2 3 2 2 3 10" xfId="28634"/>
    <cellStyle name="Note 2 2 3 2 2 3 10 2" xfId="37390"/>
    <cellStyle name="Note 2 2 3 2 2 3 11" xfId="28526"/>
    <cellStyle name="Note 2 2 3 2 2 3 11 2" xfId="37282"/>
    <cellStyle name="Note 2 2 3 2 2 3 12" xfId="33170"/>
    <cellStyle name="Note 2 2 3 2 2 3 2" xfId="24755"/>
    <cellStyle name="Note 2 2 3 2 2 3 2 10" xfId="32456"/>
    <cellStyle name="Note 2 2 3 2 2 3 2 10 2" xfId="41210"/>
    <cellStyle name="Note 2 2 3 2 2 3 2 11" xfId="33531"/>
    <cellStyle name="Note 2 2 3 2 2 3 2 2" xfId="29320"/>
    <cellStyle name="Note 2 2 3 2 2 3 2 2 2" xfId="38074"/>
    <cellStyle name="Note 2 2 3 2 2 3 2 3" xfId="29730"/>
    <cellStyle name="Note 2 2 3 2 2 3 2 3 2" xfId="38484"/>
    <cellStyle name="Note 2 2 3 2 2 3 2 4" xfId="30150"/>
    <cellStyle name="Note 2 2 3 2 2 3 2 4 2" xfId="38904"/>
    <cellStyle name="Note 2 2 3 2 2 3 2 5" xfId="30566"/>
    <cellStyle name="Note 2 2 3 2 2 3 2 5 2" xfId="39320"/>
    <cellStyle name="Note 2 2 3 2 2 3 2 6" xfId="30967"/>
    <cellStyle name="Note 2 2 3 2 2 3 2 6 2" xfId="39721"/>
    <cellStyle name="Note 2 2 3 2 2 3 2 7" xfId="31353"/>
    <cellStyle name="Note 2 2 3 2 2 3 2 7 2" xfId="40107"/>
    <cellStyle name="Note 2 2 3 2 2 3 2 8" xfId="31729"/>
    <cellStyle name="Note 2 2 3 2 2 3 2 8 2" xfId="40483"/>
    <cellStyle name="Note 2 2 3 2 2 3 2 9" xfId="32095"/>
    <cellStyle name="Note 2 2 3 2 2 3 2 9 2" xfId="40849"/>
    <cellStyle name="Note 2 2 3 2 2 3 3" xfId="28816"/>
    <cellStyle name="Note 2 2 3 2 2 3 3 2" xfId="37572"/>
    <cellStyle name="Note 2 2 3 2 2 3 4" xfId="25011"/>
    <cellStyle name="Note 2 2 3 2 2 3 4 2" xfId="33785"/>
    <cellStyle name="Note 2 2 3 2 2 3 5" xfId="28842"/>
    <cellStyle name="Note 2 2 3 2 2 3 5 2" xfId="37598"/>
    <cellStyle name="Note 2 2 3 2 2 3 6" xfId="24784"/>
    <cellStyle name="Note 2 2 3 2 2 3 6 2" xfId="33560"/>
    <cellStyle name="Note 2 2 3 2 2 3 7" xfId="25594"/>
    <cellStyle name="Note 2 2 3 2 2 3 7 2" xfId="34361"/>
    <cellStyle name="Note 2 2 3 2 2 3 8" xfId="25439"/>
    <cellStyle name="Note 2 2 3 2 2 3 8 2" xfId="34208"/>
    <cellStyle name="Note 2 2 3 2 2 3 9" xfId="27501"/>
    <cellStyle name="Note 2 2 3 2 2 3 9 2" xfId="36261"/>
    <cellStyle name="Note 2 2 3 2 2 4" xfId="28507"/>
    <cellStyle name="Note 2 2 3 2 2 4 2" xfId="37263"/>
    <cellStyle name="Note 2 2 3 2 2 5" xfId="24878"/>
    <cellStyle name="Note 2 2 3 2 2 5 2" xfId="33652"/>
    <cellStyle name="Note 2 2 3 2 2 6" xfId="25498"/>
    <cellStyle name="Note 2 2 3 2 2 6 2" xfId="34267"/>
    <cellStyle name="Note 2 2 3 2 2 7" xfId="28462"/>
    <cellStyle name="Note 2 2 3 2 2 7 2" xfId="37219"/>
    <cellStyle name="Note 2 2 3 2 2 8" xfId="28343"/>
    <cellStyle name="Note 2 2 3 2 2 8 2" xfId="37102"/>
    <cellStyle name="Note 2 2 3 2 2 9" xfId="25087"/>
    <cellStyle name="Note 2 2 3 2 2 9 2" xfId="33859"/>
    <cellStyle name="Note 2 2 3 2 3" xfId="42166"/>
    <cellStyle name="Note 2 2 3 3" xfId="2810"/>
    <cellStyle name="Note 2 2 3 3 2" xfId="9448"/>
    <cellStyle name="Note 2 2 3 3 2 10" xfId="26599"/>
    <cellStyle name="Note 2 2 3 3 2 10 2" xfId="35364"/>
    <cellStyle name="Note 2 2 3 3 2 11" xfId="26039"/>
    <cellStyle name="Note 2 2 3 3 2 11 2" xfId="34805"/>
    <cellStyle name="Note 2 2 3 3 2 12" xfId="32799"/>
    <cellStyle name="Note 2 2 3 3 2 13" xfId="42169"/>
    <cellStyle name="Note 2 2 3 3 2 14" xfId="43393"/>
    <cellStyle name="Note 2 2 3 3 2 15" xfId="43692"/>
    <cellStyle name="Note 2 2 3 3 2 16" xfId="44057"/>
    <cellStyle name="Note 2 2 3 3 2 2" xfId="18280"/>
    <cellStyle name="Note 2 2 3 3 2 2 10" xfId="28081"/>
    <cellStyle name="Note 2 2 3 3 2 2 10 2" xfId="36840"/>
    <cellStyle name="Note 2 2 3 3 2 2 11" xfId="26779"/>
    <cellStyle name="Note 2 2 3 3 2 2 11 2" xfId="35541"/>
    <cellStyle name="Note 2 2 3 3 2 2 12" xfId="33024"/>
    <cellStyle name="Note 2 2 3 3 2 2 2" xfId="24550"/>
    <cellStyle name="Note 2 2 3 3 2 2 2 10" xfId="32303"/>
    <cellStyle name="Note 2 2 3 3 2 2 2 10 2" xfId="41057"/>
    <cellStyle name="Note 2 2 3 3 2 2 2 11" xfId="33378"/>
    <cellStyle name="Note 2 2 3 3 2 2 2 2" xfId="29158"/>
    <cellStyle name="Note 2 2 3 3 2 2 2 2 2" xfId="37912"/>
    <cellStyle name="Note 2 2 3 3 2 2 2 3" xfId="29571"/>
    <cellStyle name="Note 2 2 3 3 2 2 2 3 2" xfId="38325"/>
    <cellStyle name="Note 2 2 3 3 2 2 2 4" xfId="29991"/>
    <cellStyle name="Note 2 2 3 3 2 2 2 4 2" xfId="38745"/>
    <cellStyle name="Note 2 2 3 3 2 2 2 5" xfId="30410"/>
    <cellStyle name="Note 2 2 3 3 2 2 2 5 2" xfId="39164"/>
    <cellStyle name="Note 2 2 3 3 2 2 2 6" xfId="30811"/>
    <cellStyle name="Note 2 2 3 3 2 2 2 6 2" xfId="39565"/>
    <cellStyle name="Note 2 2 3 3 2 2 2 7" xfId="31197"/>
    <cellStyle name="Note 2 2 3 3 2 2 2 7 2" xfId="39951"/>
    <cellStyle name="Note 2 2 3 3 2 2 2 8" xfId="31575"/>
    <cellStyle name="Note 2 2 3 3 2 2 2 8 2" xfId="40329"/>
    <cellStyle name="Note 2 2 3 3 2 2 2 9" xfId="31941"/>
    <cellStyle name="Note 2 2 3 3 2 2 2 9 2" xfId="40695"/>
    <cellStyle name="Note 2 2 3 3 2 2 3" xfId="27770"/>
    <cellStyle name="Note 2 2 3 3 2 2 3 2" xfId="36530"/>
    <cellStyle name="Note 2 2 3 3 2 2 4" xfId="26812"/>
    <cellStyle name="Note 2 2 3 3 2 2 4 2" xfId="35573"/>
    <cellStyle name="Note 2 2 3 3 2 2 5" xfId="25205"/>
    <cellStyle name="Note 2 2 3 3 2 2 5 2" xfId="33976"/>
    <cellStyle name="Note 2 2 3 3 2 2 6" xfId="26939"/>
    <cellStyle name="Note 2 2 3 3 2 2 6 2" xfId="35699"/>
    <cellStyle name="Note 2 2 3 3 2 2 7" xfId="28401"/>
    <cellStyle name="Note 2 2 3 3 2 2 7 2" xfId="37158"/>
    <cellStyle name="Note 2 2 3 3 2 2 8" xfId="28063"/>
    <cellStyle name="Note 2 2 3 3 2 2 8 2" xfId="36822"/>
    <cellStyle name="Note 2 2 3 3 2 2 9" xfId="26784"/>
    <cellStyle name="Note 2 2 3 3 2 2 9 2" xfId="35546"/>
    <cellStyle name="Note 2 2 3 3 2 3" xfId="23691"/>
    <cellStyle name="Note 2 2 3 3 2 3 10" xfId="26523"/>
    <cellStyle name="Note 2 2 3 3 2 3 10 2" xfId="35288"/>
    <cellStyle name="Note 2 2 3 3 2 3 11" xfId="28846"/>
    <cellStyle name="Note 2 2 3 3 2 3 11 2" xfId="37602"/>
    <cellStyle name="Note 2 2 3 3 2 3 12" xfId="33161"/>
    <cellStyle name="Note 2 2 3 3 2 3 2" xfId="24746"/>
    <cellStyle name="Note 2 2 3 3 2 3 2 10" xfId="32447"/>
    <cellStyle name="Note 2 2 3 3 2 3 2 10 2" xfId="41201"/>
    <cellStyle name="Note 2 2 3 3 2 3 2 11" xfId="33522"/>
    <cellStyle name="Note 2 2 3 3 2 3 2 2" xfId="29311"/>
    <cellStyle name="Note 2 2 3 3 2 3 2 2 2" xfId="38065"/>
    <cellStyle name="Note 2 2 3 3 2 3 2 3" xfId="29721"/>
    <cellStyle name="Note 2 2 3 3 2 3 2 3 2" xfId="38475"/>
    <cellStyle name="Note 2 2 3 3 2 3 2 4" xfId="30141"/>
    <cellStyle name="Note 2 2 3 3 2 3 2 4 2" xfId="38895"/>
    <cellStyle name="Note 2 2 3 3 2 3 2 5" xfId="30557"/>
    <cellStyle name="Note 2 2 3 3 2 3 2 5 2" xfId="39311"/>
    <cellStyle name="Note 2 2 3 3 2 3 2 6" xfId="30958"/>
    <cellStyle name="Note 2 2 3 3 2 3 2 6 2" xfId="39712"/>
    <cellStyle name="Note 2 2 3 3 2 3 2 7" xfId="31344"/>
    <cellStyle name="Note 2 2 3 3 2 3 2 7 2" xfId="40098"/>
    <cellStyle name="Note 2 2 3 3 2 3 2 8" xfId="31720"/>
    <cellStyle name="Note 2 2 3 3 2 3 2 8 2" xfId="40474"/>
    <cellStyle name="Note 2 2 3 3 2 3 2 9" xfId="32086"/>
    <cellStyle name="Note 2 2 3 3 2 3 2 9 2" xfId="40840"/>
    <cellStyle name="Note 2 2 3 3 2 3 3" xfId="28807"/>
    <cellStyle name="Note 2 2 3 3 2 3 3 2" xfId="37563"/>
    <cellStyle name="Note 2 2 3 3 2 3 4" xfId="25055"/>
    <cellStyle name="Note 2 2 3 3 2 3 4 2" xfId="33829"/>
    <cellStyle name="Note 2 2 3 3 2 3 5" xfId="28616"/>
    <cellStyle name="Note 2 2 3 3 2 3 5 2" xfId="37372"/>
    <cellStyle name="Note 2 2 3 3 2 3 6" xfId="24994"/>
    <cellStyle name="Note 2 2 3 3 2 3 6 2" xfId="33768"/>
    <cellStyle name="Note 2 2 3 3 2 3 7" xfId="26628"/>
    <cellStyle name="Note 2 2 3 3 2 3 7 2" xfId="35393"/>
    <cellStyle name="Note 2 2 3 3 2 3 8" xfId="28308"/>
    <cellStyle name="Note 2 2 3 3 2 3 8 2" xfId="37067"/>
    <cellStyle name="Note 2 2 3 3 2 3 9" xfId="1716"/>
    <cellStyle name="Note 2 2 3 3 2 3 9 2" xfId="32527"/>
    <cellStyle name="Note 2 2 3 3 2 4" xfId="25354"/>
    <cellStyle name="Note 2 2 3 3 2 4 2" xfId="34123"/>
    <cellStyle name="Note 2 2 3 3 2 5" xfId="25901"/>
    <cellStyle name="Note 2 2 3 3 2 5 2" xfId="34667"/>
    <cellStyle name="Note 2 2 3 3 2 6" xfId="27497"/>
    <cellStyle name="Note 2 2 3 3 2 6 2" xfId="36257"/>
    <cellStyle name="Note 2 2 3 3 2 7" xfId="25754"/>
    <cellStyle name="Note 2 2 3 3 2 7 2" xfId="34521"/>
    <cellStyle name="Note 2 2 3 3 2 8" xfId="26286"/>
    <cellStyle name="Note 2 2 3 3 2 8 2" xfId="35052"/>
    <cellStyle name="Note 2 2 3 3 2 9" xfId="26633"/>
    <cellStyle name="Note 2 2 3 3 2 9 2" xfId="35398"/>
    <cellStyle name="Note 2 2 3 3 3" xfId="42168"/>
    <cellStyle name="Note 2 2 3 3 4" xfId="43392"/>
    <cellStyle name="Note 2 2 3 3 5" xfId="43688"/>
    <cellStyle name="Note 2 2 3 3 6" xfId="44061"/>
    <cellStyle name="Note 2 2 3 4" xfId="6860"/>
    <cellStyle name="Note 2 2 3 4 10" xfId="27241"/>
    <cellStyle name="Note 2 2 3 4 10 2" xfId="36001"/>
    <cellStyle name="Note 2 2 3 4 11" xfId="25983"/>
    <cellStyle name="Note 2 2 3 4 11 2" xfId="34749"/>
    <cellStyle name="Note 2 2 3 4 12" xfId="32773"/>
    <cellStyle name="Note 2 2 3 4 13" xfId="42170"/>
    <cellStyle name="Note 2 2 3 4 2" xfId="18254"/>
    <cellStyle name="Note 2 2 3 4 2 10" xfId="28443"/>
    <cellStyle name="Note 2 2 3 4 2 10 2" xfId="37200"/>
    <cellStyle name="Note 2 2 3 4 2 11" xfId="28350"/>
    <cellStyle name="Note 2 2 3 4 2 11 2" xfId="37109"/>
    <cellStyle name="Note 2 2 3 4 2 12" xfId="32998"/>
    <cellStyle name="Note 2 2 3 4 2 2" xfId="24524"/>
    <cellStyle name="Note 2 2 3 4 2 2 10" xfId="32277"/>
    <cellStyle name="Note 2 2 3 4 2 2 10 2" xfId="41031"/>
    <cellStyle name="Note 2 2 3 4 2 2 11" xfId="33352"/>
    <cellStyle name="Note 2 2 3 4 2 2 2" xfId="29132"/>
    <cellStyle name="Note 2 2 3 4 2 2 2 2" xfId="37886"/>
    <cellStyle name="Note 2 2 3 4 2 2 3" xfId="29545"/>
    <cellStyle name="Note 2 2 3 4 2 2 3 2" xfId="38299"/>
    <cellStyle name="Note 2 2 3 4 2 2 4" xfId="29965"/>
    <cellStyle name="Note 2 2 3 4 2 2 4 2" xfId="38719"/>
    <cellStyle name="Note 2 2 3 4 2 2 5" xfId="30384"/>
    <cellStyle name="Note 2 2 3 4 2 2 5 2" xfId="39138"/>
    <cellStyle name="Note 2 2 3 4 2 2 6" xfId="30785"/>
    <cellStyle name="Note 2 2 3 4 2 2 6 2" xfId="39539"/>
    <cellStyle name="Note 2 2 3 4 2 2 7" xfId="31171"/>
    <cellStyle name="Note 2 2 3 4 2 2 7 2" xfId="39925"/>
    <cellStyle name="Note 2 2 3 4 2 2 8" xfId="31549"/>
    <cellStyle name="Note 2 2 3 4 2 2 8 2" xfId="40303"/>
    <cellStyle name="Note 2 2 3 4 2 2 9" xfId="31915"/>
    <cellStyle name="Note 2 2 3 4 2 2 9 2" xfId="40669"/>
    <cellStyle name="Note 2 2 3 4 2 3" xfId="27744"/>
    <cellStyle name="Note 2 2 3 4 2 3 2" xfId="36504"/>
    <cellStyle name="Note 2 2 3 4 2 4" xfId="25970"/>
    <cellStyle name="Note 2 2 3 4 2 4 2" xfId="34736"/>
    <cellStyle name="Note 2 2 3 4 2 5" xfId="25238"/>
    <cellStyle name="Note 2 2 3 4 2 5 2" xfId="34008"/>
    <cellStyle name="Note 2 2 3 4 2 6" xfId="26372"/>
    <cellStyle name="Note 2 2 3 4 2 6 2" xfId="35138"/>
    <cellStyle name="Note 2 2 3 4 2 7" xfId="27381"/>
    <cellStyle name="Note 2 2 3 4 2 7 2" xfId="36141"/>
    <cellStyle name="Note 2 2 3 4 2 8" xfId="25809"/>
    <cellStyle name="Note 2 2 3 4 2 8 2" xfId="34576"/>
    <cellStyle name="Note 2 2 3 4 2 9" xfId="27222"/>
    <cellStyle name="Note 2 2 3 4 2 9 2" xfId="35982"/>
    <cellStyle name="Note 2 2 3 4 3" xfId="23665"/>
    <cellStyle name="Note 2 2 3 4 3 10" xfId="27605"/>
    <cellStyle name="Note 2 2 3 4 3 10 2" xfId="36365"/>
    <cellStyle name="Note 2 2 3 4 3 11" xfId="28661"/>
    <cellStyle name="Note 2 2 3 4 3 11 2" xfId="37417"/>
    <cellStyle name="Note 2 2 3 4 3 12" xfId="33135"/>
    <cellStyle name="Note 2 2 3 4 3 2" xfId="24720"/>
    <cellStyle name="Note 2 2 3 4 3 2 10" xfId="32421"/>
    <cellStyle name="Note 2 2 3 4 3 2 10 2" xfId="41175"/>
    <cellStyle name="Note 2 2 3 4 3 2 11" xfId="33496"/>
    <cellStyle name="Note 2 2 3 4 3 2 2" xfId="29285"/>
    <cellStyle name="Note 2 2 3 4 3 2 2 2" xfId="38039"/>
    <cellStyle name="Note 2 2 3 4 3 2 3" xfId="29695"/>
    <cellStyle name="Note 2 2 3 4 3 2 3 2" xfId="38449"/>
    <cellStyle name="Note 2 2 3 4 3 2 4" xfId="30115"/>
    <cellStyle name="Note 2 2 3 4 3 2 4 2" xfId="38869"/>
    <cellStyle name="Note 2 2 3 4 3 2 5" xfId="30531"/>
    <cellStyle name="Note 2 2 3 4 3 2 5 2" xfId="39285"/>
    <cellStyle name="Note 2 2 3 4 3 2 6" xfId="30932"/>
    <cellStyle name="Note 2 2 3 4 3 2 6 2" xfId="39686"/>
    <cellStyle name="Note 2 2 3 4 3 2 7" xfId="31318"/>
    <cellStyle name="Note 2 2 3 4 3 2 7 2" xfId="40072"/>
    <cellStyle name="Note 2 2 3 4 3 2 8" xfId="31694"/>
    <cellStyle name="Note 2 2 3 4 3 2 8 2" xfId="40448"/>
    <cellStyle name="Note 2 2 3 4 3 2 9" xfId="32060"/>
    <cellStyle name="Note 2 2 3 4 3 2 9 2" xfId="40814"/>
    <cellStyle name="Note 2 2 3 4 3 3" xfId="28781"/>
    <cellStyle name="Note 2 2 3 4 3 3 2" xfId="37537"/>
    <cellStyle name="Note 2 2 3 4 3 4" xfId="28853"/>
    <cellStyle name="Note 2 2 3 4 3 4 2" xfId="37609"/>
    <cellStyle name="Note 2 2 3 4 3 5" xfId="27487"/>
    <cellStyle name="Note 2 2 3 4 3 5 2" xfId="36247"/>
    <cellStyle name="Note 2 2 3 4 3 6" xfId="28329"/>
    <cellStyle name="Note 2 2 3 4 3 6 2" xfId="37088"/>
    <cellStyle name="Note 2 2 3 4 3 7" xfId="28546"/>
    <cellStyle name="Note 2 2 3 4 3 7 2" xfId="37302"/>
    <cellStyle name="Note 2 2 3 4 3 8" xfId="26375"/>
    <cellStyle name="Note 2 2 3 4 3 8 2" xfId="35141"/>
    <cellStyle name="Note 2 2 3 4 3 9" xfId="26880"/>
    <cellStyle name="Note 2 2 3 4 3 9 2" xfId="35640"/>
    <cellStyle name="Note 2 2 3 4 4" xfId="28102"/>
    <cellStyle name="Note 2 2 3 4 4 2" xfId="36861"/>
    <cellStyle name="Note 2 2 3 4 5" xfId="26601"/>
    <cellStyle name="Note 2 2 3 4 5 2" xfId="35366"/>
    <cellStyle name="Note 2 2 3 4 6" xfId="25202"/>
    <cellStyle name="Note 2 2 3 4 6 2" xfId="33973"/>
    <cellStyle name="Note 2 2 3 4 7" xfId="26756"/>
    <cellStyle name="Note 2 2 3 4 7 2" xfId="35518"/>
    <cellStyle name="Note 2 2 3 4 8" xfId="28859"/>
    <cellStyle name="Note 2 2 3 4 8 2" xfId="37615"/>
    <cellStyle name="Note 2 2 3 4 9" xfId="26458"/>
    <cellStyle name="Note 2 2 3 4 9 2" xfId="35223"/>
    <cellStyle name="Note 2 2 3 5" xfId="42165"/>
    <cellStyle name="Note 2 2 4" xfId="2199"/>
    <cellStyle name="Note 2 2 4 2" xfId="2795"/>
    <cellStyle name="Note 2 2 4 2 2" xfId="9445"/>
    <cellStyle name="Note 2 2 4 2 2 10" xfId="27908"/>
    <cellStyle name="Note 2 2 4 2 2 10 2" xfId="36668"/>
    <cellStyle name="Note 2 2 4 2 2 11" xfId="28613"/>
    <cellStyle name="Note 2 2 4 2 2 11 2" xfId="37369"/>
    <cellStyle name="Note 2 2 4 2 2 12" xfId="32796"/>
    <cellStyle name="Note 2 2 4 2 2 13" xfId="42173"/>
    <cellStyle name="Note 2 2 4 2 2 2" xfId="18277"/>
    <cellStyle name="Note 2 2 4 2 2 2 10" xfId="26966"/>
    <cellStyle name="Note 2 2 4 2 2 2 10 2" xfId="35726"/>
    <cellStyle name="Note 2 2 4 2 2 2 11" xfId="27077"/>
    <cellStyle name="Note 2 2 4 2 2 2 11 2" xfId="35837"/>
    <cellStyle name="Note 2 2 4 2 2 2 12" xfId="33021"/>
    <cellStyle name="Note 2 2 4 2 2 2 2" xfId="24547"/>
    <cellStyle name="Note 2 2 4 2 2 2 2 10" xfId="32300"/>
    <cellStyle name="Note 2 2 4 2 2 2 2 10 2" xfId="41054"/>
    <cellStyle name="Note 2 2 4 2 2 2 2 11" xfId="33375"/>
    <cellStyle name="Note 2 2 4 2 2 2 2 2" xfId="29155"/>
    <cellStyle name="Note 2 2 4 2 2 2 2 2 2" xfId="37909"/>
    <cellStyle name="Note 2 2 4 2 2 2 2 3" xfId="29568"/>
    <cellStyle name="Note 2 2 4 2 2 2 2 3 2" xfId="38322"/>
    <cellStyle name="Note 2 2 4 2 2 2 2 4" xfId="29988"/>
    <cellStyle name="Note 2 2 4 2 2 2 2 4 2" xfId="38742"/>
    <cellStyle name="Note 2 2 4 2 2 2 2 5" xfId="30407"/>
    <cellStyle name="Note 2 2 4 2 2 2 2 5 2" xfId="39161"/>
    <cellStyle name="Note 2 2 4 2 2 2 2 6" xfId="30808"/>
    <cellStyle name="Note 2 2 4 2 2 2 2 6 2" xfId="39562"/>
    <cellStyle name="Note 2 2 4 2 2 2 2 7" xfId="31194"/>
    <cellStyle name="Note 2 2 4 2 2 2 2 7 2" xfId="39948"/>
    <cellStyle name="Note 2 2 4 2 2 2 2 8" xfId="31572"/>
    <cellStyle name="Note 2 2 4 2 2 2 2 8 2" xfId="40326"/>
    <cellStyle name="Note 2 2 4 2 2 2 2 9" xfId="31938"/>
    <cellStyle name="Note 2 2 4 2 2 2 2 9 2" xfId="40692"/>
    <cellStyle name="Note 2 2 4 2 2 2 3" xfId="27767"/>
    <cellStyle name="Note 2 2 4 2 2 2 3 2" xfId="36527"/>
    <cellStyle name="Note 2 2 4 2 2 2 4" xfId="25176"/>
    <cellStyle name="Note 2 2 4 2 2 2 4 2" xfId="33947"/>
    <cellStyle name="Note 2 2 4 2 2 2 5" xfId="25040"/>
    <cellStyle name="Note 2 2 4 2 2 2 5 2" xfId="33814"/>
    <cellStyle name="Note 2 2 4 2 2 2 6" xfId="1668"/>
    <cellStyle name="Note 2 2 4 2 2 2 6 2" xfId="32481"/>
    <cellStyle name="Note 2 2 4 2 2 2 7" xfId="27356"/>
    <cellStyle name="Note 2 2 4 2 2 2 7 2" xfId="36116"/>
    <cellStyle name="Note 2 2 4 2 2 2 8" xfId="28662"/>
    <cellStyle name="Note 2 2 4 2 2 2 8 2" xfId="37418"/>
    <cellStyle name="Note 2 2 4 2 2 2 9" xfId="28929"/>
    <cellStyle name="Note 2 2 4 2 2 2 9 2" xfId="37684"/>
    <cellStyle name="Note 2 2 4 2 2 3" xfId="23688"/>
    <cellStyle name="Note 2 2 4 2 2 3 10" xfId="28022"/>
    <cellStyle name="Note 2 2 4 2 2 3 10 2" xfId="36781"/>
    <cellStyle name="Note 2 2 4 2 2 3 11" xfId="29740"/>
    <cellStyle name="Note 2 2 4 2 2 3 11 2" xfId="38494"/>
    <cellStyle name="Note 2 2 4 2 2 3 12" xfId="33158"/>
    <cellStyle name="Note 2 2 4 2 2 3 2" xfId="24743"/>
    <cellStyle name="Note 2 2 4 2 2 3 2 10" xfId="32444"/>
    <cellStyle name="Note 2 2 4 2 2 3 2 10 2" xfId="41198"/>
    <cellStyle name="Note 2 2 4 2 2 3 2 11" xfId="33519"/>
    <cellStyle name="Note 2 2 4 2 2 3 2 2" xfId="29308"/>
    <cellStyle name="Note 2 2 4 2 2 3 2 2 2" xfId="38062"/>
    <cellStyle name="Note 2 2 4 2 2 3 2 3" xfId="29718"/>
    <cellStyle name="Note 2 2 4 2 2 3 2 3 2" xfId="38472"/>
    <cellStyle name="Note 2 2 4 2 2 3 2 4" xfId="30138"/>
    <cellStyle name="Note 2 2 4 2 2 3 2 4 2" xfId="38892"/>
    <cellStyle name="Note 2 2 4 2 2 3 2 5" xfId="30554"/>
    <cellStyle name="Note 2 2 4 2 2 3 2 5 2" xfId="39308"/>
    <cellStyle name="Note 2 2 4 2 2 3 2 6" xfId="30955"/>
    <cellStyle name="Note 2 2 4 2 2 3 2 6 2" xfId="39709"/>
    <cellStyle name="Note 2 2 4 2 2 3 2 7" xfId="31341"/>
    <cellStyle name="Note 2 2 4 2 2 3 2 7 2" xfId="40095"/>
    <cellStyle name="Note 2 2 4 2 2 3 2 8" xfId="31717"/>
    <cellStyle name="Note 2 2 4 2 2 3 2 8 2" xfId="40471"/>
    <cellStyle name="Note 2 2 4 2 2 3 2 9" xfId="32083"/>
    <cellStyle name="Note 2 2 4 2 2 3 2 9 2" xfId="40837"/>
    <cellStyle name="Note 2 2 4 2 2 3 3" xfId="28804"/>
    <cellStyle name="Note 2 2 4 2 2 3 3 2" xfId="37560"/>
    <cellStyle name="Note 2 2 4 2 2 3 4" xfId="1697"/>
    <cellStyle name="Note 2 2 4 2 2 3 4 2" xfId="32510"/>
    <cellStyle name="Note 2 2 4 2 2 3 5" xfId="24851"/>
    <cellStyle name="Note 2 2 4 2 2 3 5 2" xfId="33625"/>
    <cellStyle name="Note 2 2 4 2 2 3 6" xfId="27100"/>
    <cellStyle name="Note 2 2 4 2 2 3 6 2" xfId="35860"/>
    <cellStyle name="Note 2 2 4 2 2 3 7" xfId="28459"/>
    <cellStyle name="Note 2 2 4 2 2 3 7 2" xfId="37216"/>
    <cellStyle name="Note 2 2 4 2 2 3 8" xfId="28202"/>
    <cellStyle name="Note 2 2 4 2 2 3 8 2" xfId="36961"/>
    <cellStyle name="Note 2 2 4 2 2 3 9" xfId="25449"/>
    <cellStyle name="Note 2 2 4 2 2 3 9 2" xfId="34218"/>
    <cellStyle name="Note 2 2 4 2 2 4" xfId="27480"/>
    <cellStyle name="Note 2 2 4 2 2 4 2" xfId="36240"/>
    <cellStyle name="Note 2 2 4 2 2 5" xfId="27405"/>
    <cellStyle name="Note 2 2 4 2 2 5 2" xfId="36165"/>
    <cellStyle name="Note 2 2 4 2 2 6" xfId="26786"/>
    <cellStyle name="Note 2 2 4 2 2 6 2" xfId="35548"/>
    <cellStyle name="Note 2 2 4 2 2 7" xfId="2872"/>
    <cellStyle name="Note 2 2 4 2 2 7 2" xfId="32667"/>
    <cellStyle name="Note 2 2 4 2 2 8" xfId="25127"/>
    <cellStyle name="Note 2 2 4 2 2 8 2" xfId="33899"/>
    <cellStyle name="Note 2 2 4 2 2 9" xfId="26943"/>
    <cellStyle name="Note 2 2 4 2 2 9 2" xfId="35703"/>
    <cellStyle name="Note 2 2 4 2 3" xfId="42172"/>
    <cellStyle name="Note 2 2 4 3" xfId="6857"/>
    <cellStyle name="Note 2 2 4 3 10" xfId="25388"/>
    <cellStyle name="Note 2 2 4 3 10 2" xfId="34157"/>
    <cellStyle name="Note 2 2 4 3 11" xfId="26346"/>
    <cellStyle name="Note 2 2 4 3 11 2" xfId="35112"/>
    <cellStyle name="Note 2 2 4 3 12" xfId="32771"/>
    <cellStyle name="Note 2 2 4 3 13" xfId="42174"/>
    <cellStyle name="Note 2 2 4 3 2" xfId="18252"/>
    <cellStyle name="Note 2 2 4 3 2 10" xfId="30188"/>
    <cellStyle name="Note 2 2 4 3 2 10 2" xfId="38942"/>
    <cellStyle name="Note 2 2 4 3 2 11" xfId="30591"/>
    <cellStyle name="Note 2 2 4 3 2 11 2" xfId="39345"/>
    <cellStyle name="Note 2 2 4 3 2 12" xfId="32996"/>
    <cellStyle name="Note 2 2 4 3 2 2" xfId="24522"/>
    <cellStyle name="Note 2 2 4 3 2 2 10" xfId="32275"/>
    <cellStyle name="Note 2 2 4 3 2 2 10 2" xfId="41029"/>
    <cellStyle name="Note 2 2 4 3 2 2 11" xfId="33350"/>
    <cellStyle name="Note 2 2 4 3 2 2 2" xfId="29130"/>
    <cellStyle name="Note 2 2 4 3 2 2 2 2" xfId="37884"/>
    <cellStyle name="Note 2 2 4 3 2 2 3" xfId="29543"/>
    <cellStyle name="Note 2 2 4 3 2 2 3 2" xfId="38297"/>
    <cellStyle name="Note 2 2 4 3 2 2 4" xfId="29963"/>
    <cellStyle name="Note 2 2 4 3 2 2 4 2" xfId="38717"/>
    <cellStyle name="Note 2 2 4 3 2 2 5" xfId="30382"/>
    <cellStyle name="Note 2 2 4 3 2 2 5 2" xfId="39136"/>
    <cellStyle name="Note 2 2 4 3 2 2 6" xfId="30783"/>
    <cellStyle name="Note 2 2 4 3 2 2 6 2" xfId="39537"/>
    <cellStyle name="Note 2 2 4 3 2 2 7" xfId="31169"/>
    <cellStyle name="Note 2 2 4 3 2 2 7 2" xfId="39923"/>
    <cellStyle name="Note 2 2 4 3 2 2 8" xfId="31547"/>
    <cellStyle name="Note 2 2 4 3 2 2 8 2" xfId="40301"/>
    <cellStyle name="Note 2 2 4 3 2 2 9" xfId="31913"/>
    <cellStyle name="Note 2 2 4 3 2 2 9 2" xfId="40667"/>
    <cellStyle name="Note 2 2 4 3 2 3" xfId="27742"/>
    <cellStyle name="Note 2 2 4 3 2 3 2" xfId="36502"/>
    <cellStyle name="Note 2 2 4 3 2 4" xfId="27464"/>
    <cellStyle name="Note 2 2 4 3 2 4 2" xfId="36224"/>
    <cellStyle name="Note 2 2 4 3 2 5" xfId="2263"/>
    <cellStyle name="Note 2 2 4 3 2 5 2" xfId="32634"/>
    <cellStyle name="Note 2 2 4 3 2 6" xfId="24981"/>
    <cellStyle name="Note 2 2 4 3 2 6 2" xfId="33755"/>
    <cellStyle name="Note 2 2 4 3 2 7" xfId="27615"/>
    <cellStyle name="Note 2 2 4 3 2 7 2" xfId="36375"/>
    <cellStyle name="Note 2 2 4 3 2 8" xfId="27603"/>
    <cellStyle name="Note 2 2 4 3 2 8 2" xfId="36363"/>
    <cellStyle name="Note 2 2 4 3 2 9" xfId="27306"/>
    <cellStyle name="Note 2 2 4 3 2 9 2" xfId="36066"/>
    <cellStyle name="Note 2 2 4 3 3" xfId="23663"/>
    <cellStyle name="Note 2 2 4 3 3 10" xfId="28591"/>
    <cellStyle name="Note 2 2 4 3 3 10 2" xfId="37347"/>
    <cellStyle name="Note 2 2 4 3 3 11" xfId="26781"/>
    <cellStyle name="Note 2 2 4 3 3 11 2" xfId="35543"/>
    <cellStyle name="Note 2 2 4 3 3 12" xfId="33133"/>
    <cellStyle name="Note 2 2 4 3 3 2" xfId="24718"/>
    <cellStyle name="Note 2 2 4 3 3 2 10" xfId="32419"/>
    <cellStyle name="Note 2 2 4 3 3 2 10 2" xfId="41173"/>
    <cellStyle name="Note 2 2 4 3 3 2 11" xfId="33494"/>
    <cellStyle name="Note 2 2 4 3 3 2 2" xfId="29283"/>
    <cellStyle name="Note 2 2 4 3 3 2 2 2" xfId="38037"/>
    <cellStyle name="Note 2 2 4 3 3 2 3" xfId="29693"/>
    <cellStyle name="Note 2 2 4 3 3 2 3 2" xfId="38447"/>
    <cellStyle name="Note 2 2 4 3 3 2 4" xfId="30113"/>
    <cellStyle name="Note 2 2 4 3 3 2 4 2" xfId="38867"/>
    <cellStyle name="Note 2 2 4 3 3 2 5" xfId="30529"/>
    <cellStyle name="Note 2 2 4 3 3 2 5 2" xfId="39283"/>
    <cellStyle name="Note 2 2 4 3 3 2 6" xfId="30930"/>
    <cellStyle name="Note 2 2 4 3 3 2 6 2" xfId="39684"/>
    <cellStyle name="Note 2 2 4 3 3 2 7" xfId="31316"/>
    <cellStyle name="Note 2 2 4 3 3 2 7 2" xfId="40070"/>
    <cellStyle name="Note 2 2 4 3 3 2 8" xfId="31692"/>
    <cellStyle name="Note 2 2 4 3 3 2 8 2" xfId="40446"/>
    <cellStyle name="Note 2 2 4 3 3 2 9" xfId="32058"/>
    <cellStyle name="Note 2 2 4 3 3 2 9 2" xfId="40812"/>
    <cellStyle name="Note 2 2 4 3 3 3" xfId="28779"/>
    <cellStyle name="Note 2 2 4 3 3 3 2" xfId="37535"/>
    <cellStyle name="Note 2 2 4 3 3 4" xfId="25060"/>
    <cellStyle name="Note 2 2 4 3 3 4 2" xfId="33834"/>
    <cellStyle name="Note 2 2 4 3 3 5" xfId="25509"/>
    <cellStyle name="Note 2 2 4 3 3 5 2" xfId="34278"/>
    <cellStyle name="Note 2 2 4 3 3 6" xfId="26651"/>
    <cellStyle name="Note 2 2 4 3 3 6 2" xfId="35416"/>
    <cellStyle name="Note 2 2 4 3 3 7" xfId="25095"/>
    <cellStyle name="Note 2 2 4 3 3 7 2" xfId="33867"/>
    <cellStyle name="Note 2 2 4 3 3 8" xfId="28824"/>
    <cellStyle name="Note 2 2 4 3 3 8 2" xfId="37580"/>
    <cellStyle name="Note 2 2 4 3 3 9" xfId="26034"/>
    <cellStyle name="Note 2 2 4 3 3 9 2" xfId="34800"/>
    <cellStyle name="Note 2 2 4 3 4" xfId="26116"/>
    <cellStyle name="Note 2 2 4 3 4 2" xfId="34882"/>
    <cellStyle name="Note 2 2 4 3 5" xfId="27531"/>
    <cellStyle name="Note 2 2 4 3 5 2" xfId="36291"/>
    <cellStyle name="Note 2 2 4 3 6" xfId="28128"/>
    <cellStyle name="Note 2 2 4 3 6 2" xfId="36887"/>
    <cellStyle name="Note 2 2 4 3 7" xfId="28448"/>
    <cellStyle name="Note 2 2 4 3 7 2" xfId="37205"/>
    <cellStyle name="Note 2 2 4 3 8" xfId="1694"/>
    <cellStyle name="Note 2 2 4 3 8 2" xfId="32507"/>
    <cellStyle name="Note 2 2 4 3 9" xfId="26080"/>
    <cellStyle name="Note 2 2 4 3 9 2" xfId="34846"/>
    <cellStyle name="Note 2 2 4 4" xfId="42171"/>
    <cellStyle name="Note 2 2 5" xfId="5867"/>
    <cellStyle name="Note 2 2 5 10" xfId="25870"/>
    <cellStyle name="Note 2 2 5 10 2" xfId="34636"/>
    <cellStyle name="Note 2 2 5 11" xfId="29347"/>
    <cellStyle name="Note 2 2 5 11 2" xfId="38101"/>
    <cellStyle name="Note 2 2 5 12" xfId="28703"/>
    <cellStyle name="Note 2 2 5 12 2" xfId="37459"/>
    <cellStyle name="Note 2 2 5 13" xfId="25024"/>
    <cellStyle name="Note 2 2 5 13 2" xfId="33798"/>
    <cellStyle name="Note 2 2 5 14" xfId="32704"/>
    <cellStyle name="Note 2 2 5 15" xfId="42175"/>
    <cellStyle name="Note 2 2 5 16" xfId="43394"/>
    <cellStyle name="Note 2 2 5 17" xfId="43696"/>
    <cellStyle name="Note 2 2 5 18" xfId="44064"/>
    <cellStyle name="Note 2 2 5 2" xfId="6747"/>
    <cellStyle name="Note 2 2 5 2 10" xfId="26371"/>
    <cellStyle name="Note 2 2 5 2 10 2" xfId="35137"/>
    <cellStyle name="Note 2 2 5 2 11" xfId="25311"/>
    <cellStyle name="Note 2 2 5 2 11 2" xfId="34080"/>
    <cellStyle name="Note 2 2 5 2 12" xfId="24899"/>
    <cellStyle name="Note 2 2 5 2 12 2" xfId="33673"/>
    <cellStyle name="Note 2 2 5 2 13" xfId="28145"/>
    <cellStyle name="Note 2 2 5 2 13 2" xfId="36904"/>
    <cellStyle name="Note 2 2 5 2 14" xfId="32759"/>
    <cellStyle name="Note 2 2 5 2 15" xfId="42176"/>
    <cellStyle name="Note 2 2 5 2 16" xfId="43395"/>
    <cellStyle name="Note 2 2 5 2 17" xfId="43687"/>
    <cellStyle name="Note 2 2 5 2 18" xfId="44075"/>
    <cellStyle name="Note 2 2 5 2 2" xfId="18238"/>
    <cellStyle name="Note 2 2 5 2 2 10" xfId="27571"/>
    <cellStyle name="Note 2 2 5 2 2 10 2" xfId="36331"/>
    <cellStyle name="Note 2 2 5 2 2 11" xfId="27938"/>
    <cellStyle name="Note 2 2 5 2 2 11 2" xfId="36698"/>
    <cellStyle name="Note 2 2 5 2 2 12" xfId="32982"/>
    <cellStyle name="Note 2 2 5 2 2 2" xfId="24508"/>
    <cellStyle name="Note 2 2 5 2 2 2 10" xfId="32261"/>
    <cellStyle name="Note 2 2 5 2 2 2 10 2" xfId="41015"/>
    <cellStyle name="Note 2 2 5 2 2 2 11" xfId="33336"/>
    <cellStyle name="Note 2 2 5 2 2 2 2" xfId="29116"/>
    <cellStyle name="Note 2 2 5 2 2 2 2 2" xfId="37870"/>
    <cellStyle name="Note 2 2 5 2 2 2 3" xfId="29529"/>
    <cellStyle name="Note 2 2 5 2 2 2 3 2" xfId="38283"/>
    <cellStyle name="Note 2 2 5 2 2 2 4" xfId="29949"/>
    <cellStyle name="Note 2 2 5 2 2 2 4 2" xfId="38703"/>
    <cellStyle name="Note 2 2 5 2 2 2 5" xfId="30368"/>
    <cellStyle name="Note 2 2 5 2 2 2 5 2" xfId="39122"/>
    <cellStyle name="Note 2 2 5 2 2 2 6" xfId="30769"/>
    <cellStyle name="Note 2 2 5 2 2 2 6 2" xfId="39523"/>
    <cellStyle name="Note 2 2 5 2 2 2 7" xfId="31155"/>
    <cellStyle name="Note 2 2 5 2 2 2 7 2" xfId="39909"/>
    <cellStyle name="Note 2 2 5 2 2 2 8" xfId="31533"/>
    <cellStyle name="Note 2 2 5 2 2 2 8 2" xfId="40287"/>
    <cellStyle name="Note 2 2 5 2 2 2 9" xfId="31899"/>
    <cellStyle name="Note 2 2 5 2 2 2 9 2" xfId="40653"/>
    <cellStyle name="Note 2 2 5 2 2 3" xfId="27728"/>
    <cellStyle name="Note 2 2 5 2 2 3 2" xfId="36488"/>
    <cellStyle name="Note 2 2 5 2 2 4" xfId="27513"/>
    <cellStyle name="Note 2 2 5 2 2 4 2" xfId="36273"/>
    <cellStyle name="Note 2 2 5 2 2 5" xfId="26483"/>
    <cellStyle name="Note 2 2 5 2 2 5 2" xfId="35248"/>
    <cellStyle name="Note 2 2 5 2 2 6" xfId="27817"/>
    <cellStyle name="Note 2 2 5 2 2 6 2" xfId="36577"/>
    <cellStyle name="Note 2 2 5 2 2 7" xfId="27050"/>
    <cellStyle name="Note 2 2 5 2 2 7 2" xfId="35810"/>
    <cellStyle name="Note 2 2 5 2 2 8" xfId="28666"/>
    <cellStyle name="Note 2 2 5 2 2 8 2" xfId="37422"/>
    <cellStyle name="Note 2 2 5 2 2 9" xfId="25158"/>
    <cellStyle name="Note 2 2 5 2 2 9 2" xfId="33929"/>
    <cellStyle name="Note 2 2 5 2 3" xfId="15433"/>
    <cellStyle name="Note 2 2 5 2 3 10" xfId="26381"/>
    <cellStyle name="Note 2 2 5 2 3 10 2" xfId="35147"/>
    <cellStyle name="Note 2 2 5 2 3 11" xfId="32883"/>
    <cellStyle name="Note 2 2 5 2 3 2" xfId="27198"/>
    <cellStyle name="Note 2 2 5 2 3 2 2" xfId="35958"/>
    <cellStyle name="Note 2 2 5 2 3 3" xfId="26253"/>
    <cellStyle name="Note 2 2 5 2 3 3 2" xfId="35019"/>
    <cellStyle name="Note 2 2 5 2 3 4" xfId="25120"/>
    <cellStyle name="Note 2 2 5 2 3 4 2" xfId="33892"/>
    <cellStyle name="Note 2 2 5 2 3 5" xfId="26290"/>
    <cellStyle name="Note 2 2 5 2 3 5 2" xfId="35056"/>
    <cellStyle name="Note 2 2 5 2 3 6" xfId="25002"/>
    <cellStyle name="Note 2 2 5 2 3 6 2" xfId="33776"/>
    <cellStyle name="Note 2 2 5 2 3 7" xfId="24941"/>
    <cellStyle name="Note 2 2 5 2 3 7 2" xfId="33715"/>
    <cellStyle name="Note 2 2 5 2 3 8" xfId="25471"/>
    <cellStyle name="Note 2 2 5 2 3 8 2" xfId="34240"/>
    <cellStyle name="Note 2 2 5 2 3 9" xfId="27028"/>
    <cellStyle name="Note 2 2 5 2 3 9 2" xfId="35788"/>
    <cellStyle name="Note 2 2 5 2 4" xfId="24379"/>
    <cellStyle name="Note 2 2 5 2 4 10" xfId="32158"/>
    <cellStyle name="Note 2 2 5 2 4 10 2" xfId="40912"/>
    <cellStyle name="Note 2 2 5 2 4 11" xfId="33233"/>
    <cellStyle name="Note 2 2 5 2 4 2" xfId="29010"/>
    <cellStyle name="Note 2 2 5 2 4 2 2" xfId="37764"/>
    <cellStyle name="Note 2 2 5 2 4 3" xfId="29423"/>
    <cellStyle name="Note 2 2 5 2 4 3 2" xfId="38177"/>
    <cellStyle name="Note 2 2 5 2 4 4" xfId="29846"/>
    <cellStyle name="Note 2 2 5 2 4 4 2" xfId="38600"/>
    <cellStyle name="Note 2 2 5 2 4 5" xfId="30261"/>
    <cellStyle name="Note 2 2 5 2 4 5 2" xfId="39015"/>
    <cellStyle name="Note 2 2 5 2 4 6" xfId="30662"/>
    <cellStyle name="Note 2 2 5 2 4 6 2" xfId="39416"/>
    <cellStyle name="Note 2 2 5 2 4 7" xfId="31049"/>
    <cellStyle name="Note 2 2 5 2 4 7 2" xfId="39803"/>
    <cellStyle name="Note 2 2 5 2 4 8" xfId="31428"/>
    <cellStyle name="Note 2 2 5 2 4 8 2" xfId="40182"/>
    <cellStyle name="Note 2 2 5 2 4 9" xfId="31796"/>
    <cellStyle name="Note 2 2 5 2 4 9 2" xfId="40550"/>
    <cellStyle name="Note 2 2 5 2 5" xfId="25684"/>
    <cellStyle name="Note 2 2 5 2 5 2" xfId="34451"/>
    <cellStyle name="Note 2 2 5 2 6" xfId="27019"/>
    <cellStyle name="Note 2 2 5 2 6 2" xfId="35779"/>
    <cellStyle name="Note 2 2 5 2 7" xfId="24762"/>
    <cellStyle name="Note 2 2 5 2 7 2" xfId="33538"/>
    <cellStyle name="Note 2 2 5 2 8" xfId="26499"/>
    <cellStyle name="Note 2 2 5 2 8 2" xfId="35264"/>
    <cellStyle name="Note 2 2 5 2 9" xfId="28296"/>
    <cellStyle name="Note 2 2 5 2 9 2" xfId="37055"/>
    <cellStyle name="Note 2 2 5 3" xfId="15022"/>
    <cellStyle name="Note 2 2 5 3 10" xfId="25381"/>
    <cellStyle name="Note 2 2 5 3 10 2" xfId="34150"/>
    <cellStyle name="Note 2 2 5 3 11" xfId="25073"/>
    <cellStyle name="Note 2 2 5 3 11 2" xfId="33847"/>
    <cellStyle name="Note 2 2 5 3 12" xfId="32848"/>
    <cellStyle name="Note 2 2 5 3 2" xfId="24338"/>
    <cellStyle name="Note 2 2 5 3 2 10" xfId="32122"/>
    <cellStyle name="Note 2 2 5 3 2 10 2" xfId="40876"/>
    <cellStyle name="Note 2 2 5 3 2 11" xfId="33197"/>
    <cellStyle name="Note 2 2 5 3 2 2" xfId="28973"/>
    <cellStyle name="Note 2 2 5 3 2 2 2" xfId="37727"/>
    <cellStyle name="Note 2 2 5 3 2 3" xfId="29386"/>
    <cellStyle name="Note 2 2 5 3 2 3 2" xfId="38140"/>
    <cellStyle name="Note 2 2 5 3 2 4" xfId="29810"/>
    <cellStyle name="Note 2 2 5 3 2 4 2" xfId="38564"/>
    <cellStyle name="Note 2 2 5 3 2 5" xfId="30225"/>
    <cellStyle name="Note 2 2 5 3 2 5 2" xfId="38979"/>
    <cellStyle name="Note 2 2 5 3 2 6" xfId="30626"/>
    <cellStyle name="Note 2 2 5 3 2 6 2" xfId="39380"/>
    <cellStyle name="Note 2 2 5 3 2 7" xfId="31013"/>
    <cellStyle name="Note 2 2 5 3 2 7 2" xfId="39767"/>
    <cellStyle name="Note 2 2 5 3 2 8" xfId="31392"/>
    <cellStyle name="Note 2 2 5 3 2 8 2" xfId="40146"/>
    <cellStyle name="Note 2 2 5 3 2 9" xfId="31760"/>
    <cellStyle name="Note 2 2 5 3 2 9 2" xfId="40514"/>
    <cellStyle name="Note 2 2 5 3 3" xfId="27103"/>
    <cellStyle name="Note 2 2 5 3 3 2" xfId="35863"/>
    <cellStyle name="Note 2 2 5 3 4" xfId="26886"/>
    <cellStyle name="Note 2 2 5 3 4 2" xfId="35646"/>
    <cellStyle name="Note 2 2 5 3 5" xfId="25912"/>
    <cellStyle name="Note 2 2 5 3 5 2" xfId="34678"/>
    <cellStyle name="Note 2 2 5 3 6" xfId="25200"/>
    <cellStyle name="Note 2 2 5 3 6 2" xfId="33971"/>
    <cellStyle name="Note 2 2 5 3 7" xfId="29754"/>
    <cellStyle name="Note 2 2 5 3 7 2" xfId="38508"/>
    <cellStyle name="Note 2 2 5 3 8" xfId="27528"/>
    <cellStyle name="Note 2 2 5 3 8 2" xfId="36288"/>
    <cellStyle name="Note 2 2 5 3 9" xfId="28704"/>
    <cellStyle name="Note 2 2 5 3 9 2" xfId="37460"/>
    <cellStyle name="Note 2 2 5 4" xfId="18164"/>
    <cellStyle name="Note 2 2 5 4 10" xfId="26718"/>
    <cellStyle name="Note 2 2 5 4 10 2" xfId="35481"/>
    <cellStyle name="Note 2 2 5 4 11" xfId="27206"/>
    <cellStyle name="Note 2 2 5 4 11 2" xfId="35966"/>
    <cellStyle name="Note 2 2 5 4 12" xfId="32908"/>
    <cellStyle name="Note 2 2 5 4 2" xfId="24434"/>
    <cellStyle name="Note 2 2 5 4 2 10" xfId="32187"/>
    <cellStyle name="Note 2 2 5 4 2 10 2" xfId="40941"/>
    <cellStyle name="Note 2 2 5 4 2 11" xfId="33262"/>
    <cellStyle name="Note 2 2 5 4 2 2" xfId="29042"/>
    <cellStyle name="Note 2 2 5 4 2 2 2" xfId="37796"/>
    <cellStyle name="Note 2 2 5 4 2 3" xfId="29455"/>
    <cellStyle name="Note 2 2 5 4 2 3 2" xfId="38209"/>
    <cellStyle name="Note 2 2 5 4 2 4" xfId="29875"/>
    <cellStyle name="Note 2 2 5 4 2 4 2" xfId="38629"/>
    <cellStyle name="Note 2 2 5 4 2 5" xfId="30294"/>
    <cellStyle name="Note 2 2 5 4 2 5 2" xfId="39048"/>
    <cellStyle name="Note 2 2 5 4 2 6" xfId="30695"/>
    <cellStyle name="Note 2 2 5 4 2 6 2" xfId="39449"/>
    <cellStyle name="Note 2 2 5 4 2 7" xfId="31081"/>
    <cellStyle name="Note 2 2 5 4 2 7 2" xfId="39835"/>
    <cellStyle name="Note 2 2 5 4 2 8" xfId="31459"/>
    <cellStyle name="Note 2 2 5 4 2 8 2" xfId="40213"/>
    <cellStyle name="Note 2 2 5 4 2 9" xfId="31825"/>
    <cellStyle name="Note 2 2 5 4 2 9 2" xfId="40579"/>
    <cellStyle name="Note 2 2 5 4 3" xfId="27654"/>
    <cellStyle name="Note 2 2 5 4 3 2" xfId="36414"/>
    <cellStyle name="Note 2 2 5 4 4" xfId="28304"/>
    <cellStyle name="Note 2 2 5 4 4 2" xfId="37063"/>
    <cellStyle name="Note 2 2 5 4 5" xfId="25494"/>
    <cellStyle name="Note 2 2 5 4 5 2" xfId="34263"/>
    <cellStyle name="Note 2 2 5 4 6" xfId="1715"/>
    <cellStyle name="Note 2 2 5 4 6 2" xfId="32526"/>
    <cellStyle name="Note 2 2 5 4 7" xfId="26648"/>
    <cellStyle name="Note 2 2 5 4 7 2" xfId="35413"/>
    <cellStyle name="Note 2 2 5 4 8" xfId="26240"/>
    <cellStyle name="Note 2 2 5 4 8 2" xfId="35006"/>
    <cellStyle name="Note 2 2 5 4 9" xfId="28626"/>
    <cellStyle name="Note 2 2 5 4 9 2" xfId="37382"/>
    <cellStyle name="Note 2 2 5 5" xfId="23606"/>
    <cellStyle name="Note 2 2 5 5 10" xfId="26515"/>
    <cellStyle name="Note 2 2 5 5 10 2" xfId="35280"/>
    <cellStyle name="Note 2 2 5 5 11" xfId="27596"/>
    <cellStyle name="Note 2 2 5 5 11 2" xfId="36356"/>
    <cellStyle name="Note 2 2 5 5 12" xfId="33076"/>
    <cellStyle name="Note 2 2 5 5 2" xfId="24661"/>
    <cellStyle name="Note 2 2 5 5 2 10" xfId="32362"/>
    <cellStyle name="Note 2 2 5 5 2 10 2" xfId="41116"/>
    <cellStyle name="Note 2 2 5 5 2 11" xfId="33437"/>
    <cellStyle name="Note 2 2 5 5 2 2" xfId="29226"/>
    <cellStyle name="Note 2 2 5 5 2 2 2" xfId="37980"/>
    <cellStyle name="Note 2 2 5 5 2 3" xfId="29636"/>
    <cellStyle name="Note 2 2 5 5 2 3 2" xfId="38390"/>
    <cellStyle name="Note 2 2 5 5 2 4" xfId="30056"/>
    <cellStyle name="Note 2 2 5 5 2 4 2" xfId="38810"/>
    <cellStyle name="Note 2 2 5 5 2 5" xfId="30472"/>
    <cellStyle name="Note 2 2 5 5 2 5 2" xfId="39226"/>
    <cellStyle name="Note 2 2 5 5 2 6" xfId="30873"/>
    <cellStyle name="Note 2 2 5 5 2 6 2" xfId="39627"/>
    <cellStyle name="Note 2 2 5 5 2 7" xfId="31259"/>
    <cellStyle name="Note 2 2 5 5 2 7 2" xfId="40013"/>
    <cellStyle name="Note 2 2 5 5 2 8" xfId="31635"/>
    <cellStyle name="Note 2 2 5 5 2 8 2" xfId="40389"/>
    <cellStyle name="Note 2 2 5 5 2 9" xfId="32001"/>
    <cellStyle name="Note 2 2 5 5 2 9 2" xfId="40755"/>
    <cellStyle name="Note 2 2 5 5 3" xfId="28722"/>
    <cellStyle name="Note 2 2 5 5 3 2" xfId="37478"/>
    <cellStyle name="Note 2 2 5 5 4" xfId="28886"/>
    <cellStyle name="Note 2 2 5 5 4 2" xfId="37642"/>
    <cellStyle name="Note 2 2 5 5 5" xfId="28162"/>
    <cellStyle name="Note 2 2 5 5 5 2" xfId="36921"/>
    <cellStyle name="Note 2 2 5 5 6" xfId="28109"/>
    <cellStyle name="Note 2 2 5 5 6 2" xfId="36868"/>
    <cellStyle name="Note 2 2 5 5 7" xfId="26179"/>
    <cellStyle name="Note 2 2 5 5 7 2" xfId="34945"/>
    <cellStyle name="Note 2 2 5 5 8" xfId="27220"/>
    <cellStyle name="Note 2 2 5 5 8 2" xfId="35980"/>
    <cellStyle name="Note 2 2 5 5 9" xfId="25126"/>
    <cellStyle name="Note 2 2 5 5 9 2" xfId="33898"/>
    <cellStyle name="Note 2 2 5 6" xfId="25440"/>
    <cellStyle name="Note 2 2 5 6 2" xfId="34209"/>
    <cellStyle name="Note 2 2 5 7" xfId="25585"/>
    <cellStyle name="Note 2 2 5 7 2" xfId="34352"/>
    <cellStyle name="Note 2 2 5 8" xfId="27369"/>
    <cellStyle name="Note 2 2 5 8 2" xfId="36129"/>
    <cellStyle name="Note 2 2 5 9" xfId="27963"/>
    <cellStyle name="Note 2 2 5 9 2" xfId="36723"/>
    <cellStyle name="Note 2 2 6" xfId="6078"/>
    <cellStyle name="Note 2 2 6 10" xfId="28384"/>
    <cellStyle name="Note 2 2 6 10 2" xfId="37142"/>
    <cellStyle name="Note 2 2 6 11" xfId="25749"/>
    <cellStyle name="Note 2 2 6 11 2" xfId="34516"/>
    <cellStyle name="Note 2 2 6 12" xfId="32740"/>
    <cellStyle name="Note 2 2 6 13" xfId="43210"/>
    <cellStyle name="Note 2 2 6 2" xfId="18200"/>
    <cellStyle name="Note 2 2 6 2 10" xfId="30984"/>
    <cellStyle name="Note 2 2 6 2 10 2" xfId="39738"/>
    <cellStyle name="Note 2 2 6 2 11" xfId="31365"/>
    <cellStyle name="Note 2 2 6 2 11 2" xfId="40119"/>
    <cellStyle name="Note 2 2 6 2 12" xfId="32944"/>
    <cellStyle name="Note 2 2 6 2 2" xfId="24470"/>
    <cellStyle name="Note 2 2 6 2 2 10" xfId="32223"/>
    <cellStyle name="Note 2 2 6 2 2 10 2" xfId="40977"/>
    <cellStyle name="Note 2 2 6 2 2 11" xfId="33298"/>
    <cellStyle name="Note 2 2 6 2 2 2" xfId="29078"/>
    <cellStyle name="Note 2 2 6 2 2 2 2" xfId="37832"/>
    <cellStyle name="Note 2 2 6 2 2 3" xfId="29491"/>
    <cellStyle name="Note 2 2 6 2 2 3 2" xfId="38245"/>
    <cellStyle name="Note 2 2 6 2 2 4" xfId="29911"/>
    <cellStyle name="Note 2 2 6 2 2 4 2" xfId="38665"/>
    <cellStyle name="Note 2 2 6 2 2 5" xfId="30330"/>
    <cellStyle name="Note 2 2 6 2 2 5 2" xfId="39084"/>
    <cellStyle name="Note 2 2 6 2 2 6" xfId="30731"/>
    <cellStyle name="Note 2 2 6 2 2 6 2" xfId="39485"/>
    <cellStyle name="Note 2 2 6 2 2 7" xfId="31117"/>
    <cellStyle name="Note 2 2 6 2 2 7 2" xfId="39871"/>
    <cellStyle name="Note 2 2 6 2 2 8" xfId="31495"/>
    <cellStyle name="Note 2 2 6 2 2 8 2" xfId="40249"/>
    <cellStyle name="Note 2 2 6 2 2 9" xfId="31861"/>
    <cellStyle name="Note 2 2 6 2 2 9 2" xfId="40615"/>
    <cellStyle name="Note 2 2 6 2 3" xfId="27690"/>
    <cellStyle name="Note 2 2 6 2 3 2" xfId="36450"/>
    <cellStyle name="Note 2 2 6 2 4" xfId="25867"/>
    <cellStyle name="Note 2 2 6 2 4 2" xfId="34633"/>
    <cellStyle name="Note 2 2 6 2 5" xfId="26449"/>
    <cellStyle name="Note 2 2 6 2 5 2" xfId="35214"/>
    <cellStyle name="Note 2 2 6 2 6" xfId="25109"/>
    <cellStyle name="Note 2 2 6 2 6 2" xfId="33881"/>
    <cellStyle name="Note 2 2 6 2 7" xfId="25224"/>
    <cellStyle name="Note 2 2 6 2 7 2" xfId="33995"/>
    <cellStyle name="Note 2 2 6 2 8" xfId="30192"/>
    <cellStyle name="Note 2 2 6 2 8 2" xfId="38946"/>
    <cellStyle name="Note 2 2 6 2 9" xfId="30595"/>
    <cellStyle name="Note 2 2 6 2 9 2" xfId="39349"/>
    <cellStyle name="Note 2 2 6 3" xfId="23642"/>
    <cellStyle name="Note 2 2 6 3 10" xfId="28139"/>
    <cellStyle name="Note 2 2 6 3 10 2" xfId="36898"/>
    <cellStyle name="Note 2 2 6 3 11" xfId="25930"/>
    <cellStyle name="Note 2 2 6 3 11 2" xfId="34696"/>
    <cellStyle name="Note 2 2 6 3 12" xfId="33112"/>
    <cellStyle name="Note 2 2 6 3 2" xfId="24697"/>
    <cellStyle name="Note 2 2 6 3 2 10" xfId="32398"/>
    <cellStyle name="Note 2 2 6 3 2 10 2" xfId="41152"/>
    <cellStyle name="Note 2 2 6 3 2 11" xfId="33473"/>
    <cellStyle name="Note 2 2 6 3 2 2" xfId="29262"/>
    <cellStyle name="Note 2 2 6 3 2 2 2" xfId="38016"/>
    <cellStyle name="Note 2 2 6 3 2 3" xfId="29672"/>
    <cellStyle name="Note 2 2 6 3 2 3 2" xfId="38426"/>
    <cellStyle name="Note 2 2 6 3 2 4" xfId="30092"/>
    <cellStyle name="Note 2 2 6 3 2 4 2" xfId="38846"/>
    <cellStyle name="Note 2 2 6 3 2 5" xfId="30508"/>
    <cellStyle name="Note 2 2 6 3 2 5 2" xfId="39262"/>
    <cellStyle name="Note 2 2 6 3 2 6" xfId="30909"/>
    <cellStyle name="Note 2 2 6 3 2 6 2" xfId="39663"/>
    <cellStyle name="Note 2 2 6 3 2 7" xfId="31295"/>
    <cellStyle name="Note 2 2 6 3 2 7 2" xfId="40049"/>
    <cellStyle name="Note 2 2 6 3 2 8" xfId="31671"/>
    <cellStyle name="Note 2 2 6 3 2 8 2" xfId="40425"/>
    <cellStyle name="Note 2 2 6 3 2 9" xfId="32037"/>
    <cellStyle name="Note 2 2 6 3 2 9 2" xfId="40791"/>
    <cellStyle name="Note 2 2 6 3 3" xfId="28758"/>
    <cellStyle name="Note 2 2 6 3 3 2" xfId="37514"/>
    <cellStyle name="Note 2 2 6 3 4" xfId="1671"/>
    <cellStyle name="Note 2 2 6 3 4 2" xfId="32484"/>
    <cellStyle name="Note 2 2 6 3 5" xfId="28705"/>
    <cellStyle name="Note 2 2 6 3 5 2" xfId="37461"/>
    <cellStyle name="Note 2 2 6 3 6" xfId="25411"/>
    <cellStyle name="Note 2 2 6 3 6 2" xfId="34180"/>
    <cellStyle name="Note 2 2 6 3 7" xfId="25137"/>
    <cellStyle name="Note 2 2 6 3 7 2" xfId="33908"/>
    <cellStyle name="Note 2 2 6 3 8" xfId="28839"/>
    <cellStyle name="Note 2 2 6 3 8 2" xfId="37595"/>
    <cellStyle name="Note 2 2 6 3 9" xfId="25790"/>
    <cellStyle name="Note 2 2 6 3 9 2" xfId="34557"/>
    <cellStyle name="Note 2 2 6 4" xfId="25628"/>
    <cellStyle name="Note 2 2 6 4 2" xfId="34395"/>
    <cellStyle name="Note 2 2 6 5" xfId="25854"/>
    <cellStyle name="Note 2 2 6 5 2" xfId="34620"/>
    <cellStyle name="Note 2 2 6 6" xfId="1670"/>
    <cellStyle name="Note 2 2 6 6 2" xfId="32483"/>
    <cellStyle name="Note 2 2 6 7" xfId="25914"/>
    <cellStyle name="Note 2 2 6 7 2" xfId="34680"/>
    <cellStyle name="Note 2 2 6 8" xfId="25342"/>
    <cellStyle name="Note 2 2 6 8 2" xfId="34111"/>
    <cellStyle name="Note 2 2 6 9" xfId="27994"/>
    <cellStyle name="Note 2 2 6 9 2" xfId="36754"/>
    <cellStyle name="Note 2 2 7" xfId="42158"/>
    <cellStyle name="Note 2 2 8" xfId="43389"/>
    <cellStyle name="Note 2 2 9" xfId="43286"/>
    <cellStyle name="Note 2 3" xfId="732"/>
    <cellStyle name="Note 2 3 2" xfId="6080"/>
    <cellStyle name="Note 2 3 2 10" xfId="26690"/>
    <cellStyle name="Note 2 3 2 10 2" xfId="35454"/>
    <cellStyle name="Note 2 3 2 11" xfId="27547"/>
    <cellStyle name="Note 2 3 2 11 2" xfId="36307"/>
    <cellStyle name="Note 2 3 2 12" xfId="32742"/>
    <cellStyle name="Note 2 3 2 13" xfId="42178"/>
    <cellStyle name="Note 2 3 2 2" xfId="18202"/>
    <cellStyle name="Note 2 3 2 2 10" xfId="29744"/>
    <cellStyle name="Note 2 3 2 2 10 2" xfId="38498"/>
    <cellStyle name="Note 2 3 2 2 11" xfId="30159"/>
    <cellStyle name="Note 2 3 2 2 11 2" xfId="38913"/>
    <cellStyle name="Note 2 3 2 2 12" xfId="32946"/>
    <cellStyle name="Note 2 3 2 2 2" xfId="24472"/>
    <cellStyle name="Note 2 3 2 2 2 10" xfId="32225"/>
    <cellStyle name="Note 2 3 2 2 2 10 2" xfId="40979"/>
    <cellStyle name="Note 2 3 2 2 2 11" xfId="33300"/>
    <cellStyle name="Note 2 3 2 2 2 2" xfId="29080"/>
    <cellStyle name="Note 2 3 2 2 2 2 2" xfId="37834"/>
    <cellStyle name="Note 2 3 2 2 2 3" xfId="29493"/>
    <cellStyle name="Note 2 3 2 2 2 3 2" xfId="38247"/>
    <cellStyle name="Note 2 3 2 2 2 4" xfId="29913"/>
    <cellStyle name="Note 2 3 2 2 2 4 2" xfId="38667"/>
    <cellStyle name="Note 2 3 2 2 2 5" xfId="30332"/>
    <cellStyle name="Note 2 3 2 2 2 5 2" xfId="39086"/>
    <cellStyle name="Note 2 3 2 2 2 6" xfId="30733"/>
    <cellStyle name="Note 2 3 2 2 2 6 2" xfId="39487"/>
    <cellStyle name="Note 2 3 2 2 2 7" xfId="31119"/>
    <cellStyle name="Note 2 3 2 2 2 7 2" xfId="39873"/>
    <cellStyle name="Note 2 3 2 2 2 8" xfId="31497"/>
    <cellStyle name="Note 2 3 2 2 2 8 2" xfId="40251"/>
    <cellStyle name="Note 2 3 2 2 2 9" xfId="31863"/>
    <cellStyle name="Note 2 3 2 2 2 9 2" xfId="40617"/>
    <cellStyle name="Note 2 3 2 2 3" xfId="27692"/>
    <cellStyle name="Note 2 3 2 2 3 2" xfId="36452"/>
    <cellStyle name="Note 2 3 2 2 4" xfId="27929"/>
    <cellStyle name="Note 2 3 2 2 4 2" xfId="36689"/>
    <cellStyle name="Note 2 3 2 2 5" xfId="25619"/>
    <cellStyle name="Note 2 3 2 2 5 2" xfId="34386"/>
    <cellStyle name="Note 2 3 2 2 6" xfId="25762"/>
    <cellStyle name="Note 2 3 2 2 6 2" xfId="34529"/>
    <cellStyle name="Note 2 3 2 2 7" xfId="25676"/>
    <cellStyle name="Note 2 3 2 2 7 2" xfId="34443"/>
    <cellStyle name="Note 2 3 2 2 8" xfId="1766"/>
    <cellStyle name="Note 2 3 2 2 8 2" xfId="32574"/>
    <cellStyle name="Note 2 3 2 2 9" xfId="26118"/>
    <cellStyle name="Note 2 3 2 2 9 2" xfId="34884"/>
    <cellStyle name="Note 2 3 2 3" xfId="23644"/>
    <cellStyle name="Note 2 3 2 3 10" xfId="27376"/>
    <cellStyle name="Note 2 3 2 3 10 2" xfId="36136"/>
    <cellStyle name="Note 2 3 2 3 11" xfId="28335"/>
    <cellStyle name="Note 2 3 2 3 11 2" xfId="37094"/>
    <cellStyle name="Note 2 3 2 3 12" xfId="33114"/>
    <cellStyle name="Note 2 3 2 3 2" xfId="24699"/>
    <cellStyle name="Note 2 3 2 3 2 10" xfId="32400"/>
    <cellStyle name="Note 2 3 2 3 2 10 2" xfId="41154"/>
    <cellStyle name="Note 2 3 2 3 2 11" xfId="33475"/>
    <cellStyle name="Note 2 3 2 3 2 2" xfId="29264"/>
    <cellStyle name="Note 2 3 2 3 2 2 2" xfId="38018"/>
    <cellStyle name="Note 2 3 2 3 2 3" xfId="29674"/>
    <cellStyle name="Note 2 3 2 3 2 3 2" xfId="38428"/>
    <cellStyle name="Note 2 3 2 3 2 4" xfId="30094"/>
    <cellStyle name="Note 2 3 2 3 2 4 2" xfId="38848"/>
    <cellStyle name="Note 2 3 2 3 2 5" xfId="30510"/>
    <cellStyle name="Note 2 3 2 3 2 5 2" xfId="39264"/>
    <cellStyle name="Note 2 3 2 3 2 6" xfId="30911"/>
    <cellStyle name="Note 2 3 2 3 2 6 2" xfId="39665"/>
    <cellStyle name="Note 2 3 2 3 2 7" xfId="31297"/>
    <cellStyle name="Note 2 3 2 3 2 7 2" xfId="40051"/>
    <cellStyle name="Note 2 3 2 3 2 8" xfId="31673"/>
    <cellStyle name="Note 2 3 2 3 2 8 2" xfId="40427"/>
    <cellStyle name="Note 2 3 2 3 2 9" xfId="32039"/>
    <cellStyle name="Note 2 3 2 3 2 9 2" xfId="40793"/>
    <cellStyle name="Note 2 3 2 3 3" xfId="28760"/>
    <cellStyle name="Note 2 3 2 3 3 2" xfId="37516"/>
    <cellStyle name="Note 2 3 2 3 4" xfId="28876"/>
    <cellStyle name="Note 2 3 2 3 4 2" xfId="37632"/>
    <cellStyle name="Note 2 3 2 3 5" xfId="24837"/>
    <cellStyle name="Note 2 3 2 3 5 2" xfId="33611"/>
    <cellStyle name="Note 2 3 2 3 6" xfId="28559"/>
    <cellStyle name="Note 2 3 2 3 6 2" xfId="37315"/>
    <cellStyle name="Note 2 3 2 3 7" xfId="25648"/>
    <cellStyle name="Note 2 3 2 3 7 2" xfId="34415"/>
    <cellStyle name="Note 2 3 2 3 8" xfId="28345"/>
    <cellStyle name="Note 2 3 2 3 8 2" xfId="37104"/>
    <cellStyle name="Note 2 3 2 3 9" xfId="25281"/>
    <cellStyle name="Note 2 3 2 3 9 2" xfId="34051"/>
    <cellStyle name="Note 2 3 2 4" xfId="26389"/>
    <cellStyle name="Note 2 3 2 4 2" xfId="35155"/>
    <cellStyle name="Note 2 3 2 5" xfId="28097"/>
    <cellStyle name="Note 2 3 2 5 2" xfId="36856"/>
    <cellStyle name="Note 2 3 2 6" xfId="27542"/>
    <cellStyle name="Note 2 3 2 6 2" xfId="36302"/>
    <cellStyle name="Note 2 3 2 7" xfId="25780"/>
    <cellStyle name="Note 2 3 2 7 2" xfId="34547"/>
    <cellStyle name="Note 2 3 2 8" xfId="28215"/>
    <cellStyle name="Note 2 3 2 8 2" xfId="36974"/>
    <cellStyle name="Note 2 3 2 9" xfId="25916"/>
    <cellStyle name="Note 2 3 2 9 2" xfId="34682"/>
    <cellStyle name="Note 2 3 3" xfId="43214"/>
    <cellStyle name="Note 2 3 4" xfId="42177"/>
    <cellStyle name="Note 2 4" xfId="1408"/>
    <cellStyle name="Note 2 4 2" xfId="6856"/>
    <cellStyle name="Note 2 4 2 10" xfId="24835"/>
    <cellStyle name="Note 2 4 2 10 2" xfId="33609"/>
    <cellStyle name="Note 2 4 2 11" xfId="27365"/>
    <cellStyle name="Note 2 4 2 11 2" xfId="36125"/>
    <cellStyle name="Note 2 4 2 12" xfId="32770"/>
    <cellStyle name="Note 2 4 2 13" xfId="42180"/>
    <cellStyle name="Note 2 4 2 2" xfId="18251"/>
    <cellStyle name="Note 2 4 2 2 10" xfId="29427"/>
    <cellStyle name="Note 2 4 2 2 10 2" xfId="38181"/>
    <cellStyle name="Note 2 4 2 2 11" xfId="27526"/>
    <cellStyle name="Note 2 4 2 2 11 2" xfId="36286"/>
    <cellStyle name="Note 2 4 2 2 12" xfId="32995"/>
    <cellStyle name="Note 2 4 2 2 2" xfId="24521"/>
    <cellStyle name="Note 2 4 2 2 2 10" xfId="32274"/>
    <cellStyle name="Note 2 4 2 2 2 10 2" xfId="41028"/>
    <cellStyle name="Note 2 4 2 2 2 11" xfId="33349"/>
    <cellStyle name="Note 2 4 2 2 2 2" xfId="29129"/>
    <cellStyle name="Note 2 4 2 2 2 2 2" xfId="37883"/>
    <cellStyle name="Note 2 4 2 2 2 3" xfId="29542"/>
    <cellStyle name="Note 2 4 2 2 2 3 2" xfId="38296"/>
    <cellStyle name="Note 2 4 2 2 2 4" xfId="29962"/>
    <cellStyle name="Note 2 4 2 2 2 4 2" xfId="38716"/>
    <cellStyle name="Note 2 4 2 2 2 5" xfId="30381"/>
    <cellStyle name="Note 2 4 2 2 2 5 2" xfId="39135"/>
    <cellStyle name="Note 2 4 2 2 2 6" xfId="30782"/>
    <cellStyle name="Note 2 4 2 2 2 6 2" xfId="39536"/>
    <cellStyle name="Note 2 4 2 2 2 7" xfId="31168"/>
    <cellStyle name="Note 2 4 2 2 2 7 2" xfId="39922"/>
    <cellStyle name="Note 2 4 2 2 2 8" xfId="31546"/>
    <cellStyle name="Note 2 4 2 2 2 8 2" xfId="40300"/>
    <cellStyle name="Note 2 4 2 2 2 9" xfId="31912"/>
    <cellStyle name="Note 2 4 2 2 2 9 2" xfId="40666"/>
    <cellStyle name="Note 2 4 2 2 3" xfId="27741"/>
    <cellStyle name="Note 2 4 2 2 3 2" xfId="36501"/>
    <cellStyle name="Note 2 4 2 2 4" xfId="26819"/>
    <cellStyle name="Note 2 4 2 2 4 2" xfId="35580"/>
    <cellStyle name="Note 2 4 2 2 5" xfId="25347"/>
    <cellStyle name="Note 2 4 2 2 5 2" xfId="34116"/>
    <cellStyle name="Note 2 4 2 2 6" xfId="24859"/>
    <cellStyle name="Note 2 4 2 2 6 2" xfId="33633"/>
    <cellStyle name="Note 2 4 2 2 7" xfId="28938"/>
    <cellStyle name="Note 2 4 2 2 7 2" xfId="37693"/>
    <cellStyle name="Note 2 4 2 2 8" xfId="29354"/>
    <cellStyle name="Note 2 4 2 2 8 2" xfId="38108"/>
    <cellStyle name="Note 2 4 2 2 9" xfId="28367"/>
    <cellStyle name="Note 2 4 2 2 9 2" xfId="37125"/>
    <cellStyle name="Note 2 4 2 3" xfId="23662"/>
    <cellStyle name="Note 2 4 2 3 10" xfId="27314"/>
    <cellStyle name="Note 2 4 2 3 10 2" xfId="36074"/>
    <cellStyle name="Note 2 4 2 3 11" xfId="28574"/>
    <cellStyle name="Note 2 4 2 3 11 2" xfId="37330"/>
    <cellStyle name="Note 2 4 2 3 12" xfId="33132"/>
    <cellStyle name="Note 2 4 2 3 2" xfId="24717"/>
    <cellStyle name="Note 2 4 2 3 2 10" xfId="32418"/>
    <cellStyle name="Note 2 4 2 3 2 10 2" xfId="41172"/>
    <cellStyle name="Note 2 4 2 3 2 11" xfId="33493"/>
    <cellStyle name="Note 2 4 2 3 2 2" xfId="29282"/>
    <cellStyle name="Note 2 4 2 3 2 2 2" xfId="38036"/>
    <cellStyle name="Note 2 4 2 3 2 3" xfId="29692"/>
    <cellStyle name="Note 2 4 2 3 2 3 2" xfId="38446"/>
    <cellStyle name="Note 2 4 2 3 2 4" xfId="30112"/>
    <cellStyle name="Note 2 4 2 3 2 4 2" xfId="38866"/>
    <cellStyle name="Note 2 4 2 3 2 5" xfId="30528"/>
    <cellStyle name="Note 2 4 2 3 2 5 2" xfId="39282"/>
    <cellStyle name="Note 2 4 2 3 2 6" xfId="30929"/>
    <cellStyle name="Note 2 4 2 3 2 6 2" xfId="39683"/>
    <cellStyle name="Note 2 4 2 3 2 7" xfId="31315"/>
    <cellStyle name="Note 2 4 2 3 2 7 2" xfId="40069"/>
    <cellStyle name="Note 2 4 2 3 2 8" xfId="31691"/>
    <cellStyle name="Note 2 4 2 3 2 8 2" xfId="40445"/>
    <cellStyle name="Note 2 4 2 3 2 9" xfId="32057"/>
    <cellStyle name="Note 2 4 2 3 2 9 2" xfId="40811"/>
    <cellStyle name="Note 2 4 2 3 3" xfId="28778"/>
    <cellStyle name="Note 2 4 2 3 3 2" xfId="37534"/>
    <cellStyle name="Note 2 4 2 3 4" xfId="28854"/>
    <cellStyle name="Note 2 4 2 3 4 2" xfId="37610"/>
    <cellStyle name="Note 2 4 2 3 5" xfId="27084"/>
    <cellStyle name="Note 2 4 2 3 5 2" xfId="35844"/>
    <cellStyle name="Note 2 4 2 3 6" xfId="26101"/>
    <cellStyle name="Note 2 4 2 3 6 2" xfId="34867"/>
    <cellStyle name="Note 2 4 2 3 7" xfId="27286"/>
    <cellStyle name="Note 2 4 2 3 7 2" xfId="36046"/>
    <cellStyle name="Note 2 4 2 3 8" xfId="28684"/>
    <cellStyle name="Note 2 4 2 3 8 2" xfId="37440"/>
    <cellStyle name="Note 2 4 2 3 9" xfId="26604"/>
    <cellStyle name="Note 2 4 2 3 9 2" xfId="35369"/>
    <cellStyle name="Note 2 4 2 4" xfId="28686"/>
    <cellStyle name="Note 2 4 2 4 2" xfId="37442"/>
    <cellStyle name="Note 2 4 2 5" xfId="29384"/>
    <cellStyle name="Note 2 4 2 5 2" xfId="38138"/>
    <cellStyle name="Note 2 4 2 6" xfId="29807"/>
    <cellStyle name="Note 2 4 2 6 2" xfId="38561"/>
    <cellStyle name="Note 2 4 2 7" xfId="24999"/>
    <cellStyle name="Note 2 4 2 7 2" xfId="33773"/>
    <cellStyle name="Note 2 4 2 8" xfId="1765"/>
    <cellStyle name="Note 2 4 2 8 2" xfId="32573"/>
    <cellStyle name="Note 2 4 2 9" xfId="1719"/>
    <cellStyle name="Note 2 4 2 9 2" xfId="32530"/>
    <cellStyle name="Note 2 4 3" xfId="42179"/>
    <cellStyle name="Note 2 5" xfId="1814"/>
    <cellStyle name="Note 2 5 2" xfId="3124"/>
    <cellStyle name="Note 2 5 2 2" xfId="6799"/>
    <cellStyle name="Note 2 5 2 2 2" xfId="20940"/>
    <cellStyle name="Note 2 5 2 2 3" xfId="24264"/>
    <cellStyle name="Note 2 5 2 2 4" xfId="15466"/>
    <cellStyle name="Note 2 5 2 3" xfId="9529"/>
    <cellStyle name="Note 2 5 2 3 2" xfId="23575"/>
    <cellStyle name="Note 2 5 2 3 3" xfId="18129"/>
    <cellStyle name="Note 2 5 2 4" xfId="9831"/>
    <cellStyle name="Note 2 5 2 4 2" xfId="12935"/>
    <cellStyle name="Note 2 5 2 5" xfId="10044"/>
    <cellStyle name="Note 2 5 2 5 2" xfId="18483"/>
    <cellStyle name="Note 2 5 2 6" xfId="24060"/>
    <cellStyle name="Note 2 5 2 7" xfId="12729"/>
    <cellStyle name="Note 2 5 3" xfId="6753"/>
    <cellStyle name="Note 2 5 3 2" xfId="20913"/>
    <cellStyle name="Note 2 5 3 3" xfId="24084"/>
    <cellStyle name="Note 2 5 3 4" xfId="15438"/>
    <cellStyle name="Note 2 5 4" xfId="9321"/>
    <cellStyle name="Note 2 5 4 2" xfId="23395"/>
    <cellStyle name="Note 2 5 4 3" xfId="17947"/>
    <cellStyle name="Note 2 5 5" xfId="9626"/>
    <cellStyle name="Note 2 5 5 2" xfId="12751"/>
    <cellStyle name="Note 2 5 6" xfId="9861"/>
    <cellStyle name="Note 2 5 6 2" xfId="18301"/>
    <cellStyle name="Note 2 5 7" xfId="23749"/>
    <cellStyle name="Note 2 5 8" xfId="12543"/>
    <cellStyle name="Note 2 6" xfId="6077"/>
    <cellStyle name="Note 2 6 2" xfId="18199"/>
    <cellStyle name="Note 2 6 2 10" xfId="28520"/>
    <cellStyle name="Note 2 6 2 10 2" xfId="37276"/>
    <cellStyle name="Note 2 6 2 11" xfId="26049"/>
    <cellStyle name="Note 2 6 2 11 2" xfId="34815"/>
    <cellStyle name="Note 2 6 2 12" xfId="32943"/>
    <cellStyle name="Note 2 6 2 13" xfId="42182"/>
    <cellStyle name="Note 2 6 2 14" xfId="43397"/>
    <cellStyle name="Note 2 6 2 15" xfId="43689"/>
    <cellStyle name="Note 2 6 2 16" xfId="43920"/>
    <cellStyle name="Note 2 6 2 2" xfId="24469"/>
    <cellStyle name="Note 2 6 2 2 10" xfId="32222"/>
    <cellStyle name="Note 2 6 2 2 10 2" xfId="40976"/>
    <cellStyle name="Note 2 6 2 2 11" xfId="33297"/>
    <cellStyle name="Note 2 6 2 2 12" xfId="42183"/>
    <cellStyle name="Note 2 6 2 2 13" xfId="43398"/>
    <cellStyle name="Note 2 6 2 2 14" xfId="43435"/>
    <cellStyle name="Note 2 6 2 2 15" xfId="44072"/>
    <cellStyle name="Note 2 6 2 2 2" xfId="29077"/>
    <cellStyle name="Note 2 6 2 2 2 2" xfId="37831"/>
    <cellStyle name="Note 2 6 2 2 3" xfId="29490"/>
    <cellStyle name="Note 2 6 2 2 3 2" xfId="38244"/>
    <cellStyle name="Note 2 6 2 2 4" xfId="29910"/>
    <cellStyle name="Note 2 6 2 2 4 2" xfId="38664"/>
    <cellStyle name="Note 2 6 2 2 5" xfId="30329"/>
    <cellStyle name="Note 2 6 2 2 5 2" xfId="39083"/>
    <cellStyle name="Note 2 6 2 2 6" xfId="30730"/>
    <cellStyle name="Note 2 6 2 2 6 2" xfId="39484"/>
    <cellStyle name="Note 2 6 2 2 7" xfId="31116"/>
    <cellStyle name="Note 2 6 2 2 7 2" xfId="39870"/>
    <cellStyle name="Note 2 6 2 2 8" xfId="31494"/>
    <cellStyle name="Note 2 6 2 2 8 2" xfId="40248"/>
    <cellStyle name="Note 2 6 2 2 9" xfId="31860"/>
    <cellStyle name="Note 2 6 2 2 9 2" xfId="40614"/>
    <cellStyle name="Note 2 6 2 3" xfId="27689"/>
    <cellStyle name="Note 2 6 2 3 2" xfId="36449"/>
    <cellStyle name="Note 2 6 2 4" xfId="28449"/>
    <cellStyle name="Note 2 6 2 4 2" xfId="37206"/>
    <cellStyle name="Note 2 6 2 5" xfId="27150"/>
    <cellStyle name="Note 2 6 2 5 2" xfId="35910"/>
    <cellStyle name="Note 2 6 2 6" xfId="27403"/>
    <cellStyle name="Note 2 6 2 6 2" xfId="36163"/>
    <cellStyle name="Note 2 6 2 7" xfId="25243"/>
    <cellStyle name="Note 2 6 2 7 2" xfId="34013"/>
    <cellStyle name="Note 2 6 2 8" xfId="25756"/>
    <cellStyle name="Note 2 6 2 8 2" xfId="34523"/>
    <cellStyle name="Note 2 6 2 9" xfId="28493"/>
    <cellStyle name="Note 2 6 2 9 2" xfId="37249"/>
    <cellStyle name="Note 2 6 3" xfId="23641"/>
    <cellStyle name="Note 2 6 3 10" xfId="2345"/>
    <cellStyle name="Note 2 6 3 10 2" xfId="32637"/>
    <cellStyle name="Note 2 6 3 11" xfId="26417"/>
    <cellStyle name="Note 2 6 3 11 2" xfId="35182"/>
    <cellStyle name="Note 2 6 3 12" xfId="33111"/>
    <cellStyle name="Note 2 6 3 2" xfId="24696"/>
    <cellStyle name="Note 2 6 3 2 10" xfId="32397"/>
    <cellStyle name="Note 2 6 3 2 10 2" xfId="41151"/>
    <cellStyle name="Note 2 6 3 2 11" xfId="33472"/>
    <cellStyle name="Note 2 6 3 2 2" xfId="29261"/>
    <cellStyle name="Note 2 6 3 2 2 2" xfId="38015"/>
    <cellStyle name="Note 2 6 3 2 3" xfId="29671"/>
    <cellStyle name="Note 2 6 3 2 3 2" xfId="38425"/>
    <cellStyle name="Note 2 6 3 2 4" xfId="30091"/>
    <cellStyle name="Note 2 6 3 2 4 2" xfId="38845"/>
    <cellStyle name="Note 2 6 3 2 5" xfId="30507"/>
    <cellStyle name="Note 2 6 3 2 5 2" xfId="39261"/>
    <cellStyle name="Note 2 6 3 2 6" xfId="30908"/>
    <cellStyle name="Note 2 6 3 2 6 2" xfId="39662"/>
    <cellStyle name="Note 2 6 3 2 7" xfId="31294"/>
    <cellStyle name="Note 2 6 3 2 7 2" xfId="40048"/>
    <cellStyle name="Note 2 6 3 2 8" xfId="31670"/>
    <cellStyle name="Note 2 6 3 2 8 2" xfId="40424"/>
    <cellStyle name="Note 2 6 3 2 9" xfId="32036"/>
    <cellStyle name="Note 2 6 3 2 9 2" xfId="40790"/>
    <cellStyle name="Note 2 6 3 3" xfId="28757"/>
    <cellStyle name="Note 2 6 3 3 2" xfId="37513"/>
    <cellStyle name="Note 2 6 3 4" xfId="25065"/>
    <cellStyle name="Note 2 6 3 4 2" xfId="33839"/>
    <cellStyle name="Note 2 6 3 5" xfId="25033"/>
    <cellStyle name="Note 2 6 3 5 2" xfId="33807"/>
    <cellStyle name="Note 2 6 3 6" xfId="28019"/>
    <cellStyle name="Note 2 6 3 6 2" xfId="36778"/>
    <cellStyle name="Note 2 6 3 7" xfId="26702"/>
    <cellStyle name="Note 2 6 3 7 2" xfId="35466"/>
    <cellStyle name="Note 2 6 3 8" xfId="25078"/>
    <cellStyle name="Note 2 6 3 8 2" xfId="33851"/>
    <cellStyle name="Note 2 6 3 9" xfId="1753"/>
    <cellStyle name="Note 2 6 3 9 2" xfId="32561"/>
    <cellStyle name="Note 2 6 4" xfId="24319"/>
    <cellStyle name="Note 2 6 4 10" xfId="32120"/>
    <cellStyle name="Note 2 6 4 10 2" xfId="40874"/>
    <cellStyle name="Note 2 6 4 11" xfId="33195"/>
    <cellStyle name="Note 2 6 4 2" xfId="28969"/>
    <cellStyle name="Note 2 6 4 2 2" xfId="37723"/>
    <cellStyle name="Note 2 6 4 3" xfId="29382"/>
    <cellStyle name="Note 2 6 4 3 2" xfId="38136"/>
    <cellStyle name="Note 2 6 4 4" xfId="29806"/>
    <cellStyle name="Note 2 6 4 4 2" xfId="38560"/>
    <cellStyle name="Note 2 6 4 5" xfId="30221"/>
    <cellStyle name="Note 2 6 4 5 2" xfId="38975"/>
    <cellStyle name="Note 2 6 4 6" xfId="30622"/>
    <cellStyle name="Note 2 6 4 6 2" xfId="39376"/>
    <cellStyle name="Note 2 6 4 7" xfId="31009"/>
    <cellStyle name="Note 2 6 4 7 2" xfId="39763"/>
    <cellStyle name="Note 2 6 4 8" xfId="31389"/>
    <cellStyle name="Note 2 6 4 8 2" xfId="40143"/>
    <cellStyle name="Note 2 6 4 9" xfId="31757"/>
    <cellStyle name="Note 2 6 4 9 2" xfId="40511"/>
    <cellStyle name="Note 2 6 5" xfId="32739"/>
    <cellStyle name="Note 2 6 6" xfId="42181"/>
    <cellStyle name="Note 2 6 7" xfId="43396"/>
    <cellStyle name="Note 2 6 8" xfId="43815"/>
    <cellStyle name="Note 2 6 9" xfId="43912"/>
    <cellStyle name="Note 2 7" xfId="44216"/>
    <cellStyle name="Note 2 8" xfId="432"/>
    <cellStyle name="Note 3" xfId="433"/>
    <cellStyle name="Note 3 2" xfId="1410"/>
    <cellStyle name="Note 3 2 2" xfId="6082"/>
    <cellStyle name="Note 3 2 2 10" xfId="1805"/>
    <cellStyle name="Note 3 2 2 10 2" xfId="32613"/>
    <cellStyle name="Note 3 2 2 11" xfId="27339"/>
    <cellStyle name="Note 3 2 2 11 2" xfId="36099"/>
    <cellStyle name="Note 3 2 2 12" xfId="32744"/>
    <cellStyle name="Note 3 2 2 13" xfId="42186"/>
    <cellStyle name="Note 3 2 2 2" xfId="18204"/>
    <cellStyle name="Note 3 2 2 2 10" xfId="27484"/>
    <cellStyle name="Note 3 2 2 2 10 2" xfId="36244"/>
    <cellStyle name="Note 3 2 2 2 11" xfId="25746"/>
    <cellStyle name="Note 3 2 2 2 11 2" xfId="34513"/>
    <cellStyle name="Note 3 2 2 2 12" xfId="32948"/>
    <cellStyle name="Note 3 2 2 2 2" xfId="24474"/>
    <cellStyle name="Note 3 2 2 2 2 10" xfId="32227"/>
    <cellStyle name="Note 3 2 2 2 2 10 2" xfId="40981"/>
    <cellStyle name="Note 3 2 2 2 2 11" xfId="33302"/>
    <cellStyle name="Note 3 2 2 2 2 2" xfId="29082"/>
    <cellStyle name="Note 3 2 2 2 2 2 2" xfId="37836"/>
    <cellStyle name="Note 3 2 2 2 2 3" xfId="29495"/>
    <cellStyle name="Note 3 2 2 2 2 3 2" xfId="38249"/>
    <cellStyle name="Note 3 2 2 2 2 4" xfId="29915"/>
    <cellStyle name="Note 3 2 2 2 2 4 2" xfId="38669"/>
    <cellStyle name="Note 3 2 2 2 2 5" xfId="30334"/>
    <cellStyle name="Note 3 2 2 2 2 5 2" xfId="39088"/>
    <cellStyle name="Note 3 2 2 2 2 6" xfId="30735"/>
    <cellStyle name="Note 3 2 2 2 2 6 2" xfId="39489"/>
    <cellStyle name="Note 3 2 2 2 2 7" xfId="31121"/>
    <cellStyle name="Note 3 2 2 2 2 7 2" xfId="39875"/>
    <cellStyle name="Note 3 2 2 2 2 8" xfId="31499"/>
    <cellStyle name="Note 3 2 2 2 2 8 2" xfId="40253"/>
    <cellStyle name="Note 3 2 2 2 2 9" xfId="31865"/>
    <cellStyle name="Note 3 2 2 2 2 9 2" xfId="40619"/>
    <cellStyle name="Note 3 2 2 2 3" xfId="27694"/>
    <cellStyle name="Note 3 2 2 2 3 2" xfId="36454"/>
    <cellStyle name="Note 3 2 2 2 4" xfId="27505"/>
    <cellStyle name="Note 3 2 2 2 4 2" xfId="36265"/>
    <cellStyle name="Note 3 2 2 2 5" xfId="28650"/>
    <cellStyle name="Note 3 2 2 2 5 2" xfId="37406"/>
    <cellStyle name="Note 3 2 2 2 6" xfId="27120"/>
    <cellStyle name="Note 3 2 2 2 6 2" xfId="35880"/>
    <cellStyle name="Note 3 2 2 2 7" xfId="28835"/>
    <cellStyle name="Note 3 2 2 2 7 2" xfId="37591"/>
    <cellStyle name="Note 3 2 2 2 8" xfId="25252"/>
    <cellStyle name="Note 3 2 2 2 8 2" xfId="34022"/>
    <cellStyle name="Note 3 2 2 2 9" xfId="27621"/>
    <cellStyle name="Note 3 2 2 2 9 2" xfId="36381"/>
    <cellStyle name="Note 3 2 2 3" xfId="23646"/>
    <cellStyle name="Note 3 2 2 3 10" xfId="28908"/>
    <cellStyle name="Note 3 2 2 3 10 2" xfId="37664"/>
    <cellStyle name="Note 3 2 2 3 11" xfId="24884"/>
    <cellStyle name="Note 3 2 2 3 11 2" xfId="33658"/>
    <cellStyle name="Note 3 2 2 3 12" xfId="33116"/>
    <cellStyle name="Note 3 2 2 3 2" xfId="24701"/>
    <cellStyle name="Note 3 2 2 3 2 10" xfId="32402"/>
    <cellStyle name="Note 3 2 2 3 2 10 2" xfId="41156"/>
    <cellStyle name="Note 3 2 2 3 2 11" xfId="33477"/>
    <cellStyle name="Note 3 2 2 3 2 2" xfId="29266"/>
    <cellStyle name="Note 3 2 2 3 2 2 2" xfId="38020"/>
    <cellStyle name="Note 3 2 2 3 2 3" xfId="29676"/>
    <cellStyle name="Note 3 2 2 3 2 3 2" xfId="38430"/>
    <cellStyle name="Note 3 2 2 3 2 4" xfId="30096"/>
    <cellStyle name="Note 3 2 2 3 2 4 2" xfId="38850"/>
    <cellStyle name="Note 3 2 2 3 2 5" xfId="30512"/>
    <cellStyle name="Note 3 2 2 3 2 5 2" xfId="39266"/>
    <cellStyle name="Note 3 2 2 3 2 6" xfId="30913"/>
    <cellStyle name="Note 3 2 2 3 2 6 2" xfId="39667"/>
    <cellStyle name="Note 3 2 2 3 2 7" xfId="31299"/>
    <cellStyle name="Note 3 2 2 3 2 7 2" xfId="40053"/>
    <cellStyle name="Note 3 2 2 3 2 8" xfId="31675"/>
    <cellStyle name="Note 3 2 2 3 2 8 2" xfId="40429"/>
    <cellStyle name="Note 3 2 2 3 2 9" xfId="32041"/>
    <cellStyle name="Note 3 2 2 3 2 9 2" xfId="40795"/>
    <cellStyle name="Note 3 2 2 3 3" xfId="28762"/>
    <cellStyle name="Note 3 2 2 3 3 2" xfId="37518"/>
    <cellStyle name="Note 3 2 2 3 4" xfId="28860"/>
    <cellStyle name="Note 3 2 2 3 4 2" xfId="37616"/>
    <cellStyle name="Note 3 2 2 3 5" xfId="1686"/>
    <cellStyle name="Note 3 2 2 3 5 2" xfId="32499"/>
    <cellStyle name="Note 3 2 2 3 6" xfId="24820"/>
    <cellStyle name="Note 3 2 2 3 6 2" xfId="33595"/>
    <cellStyle name="Note 3 2 2 3 7" xfId="26655"/>
    <cellStyle name="Note 3 2 2 3 7 2" xfId="35420"/>
    <cellStyle name="Note 3 2 2 3 8" xfId="28250"/>
    <cellStyle name="Note 3 2 2 3 8 2" xfId="37009"/>
    <cellStyle name="Note 3 2 2 3 9" xfId="1741"/>
    <cellStyle name="Note 3 2 2 3 9 2" xfId="32550"/>
    <cellStyle name="Note 3 2 2 4" xfId="27031"/>
    <cellStyle name="Note 3 2 2 4 2" xfId="35791"/>
    <cellStyle name="Note 3 2 2 5" xfId="27250"/>
    <cellStyle name="Note 3 2 2 5 2" xfId="36010"/>
    <cellStyle name="Note 3 2 2 6" xfId="28883"/>
    <cellStyle name="Note 3 2 2 6 2" xfId="37639"/>
    <cellStyle name="Note 3 2 2 7" xfId="1727"/>
    <cellStyle name="Note 3 2 2 7 2" xfId="32538"/>
    <cellStyle name="Note 3 2 2 8" xfId="25093"/>
    <cellStyle name="Note 3 2 2 8 2" xfId="33865"/>
    <cellStyle name="Note 3 2 2 9" xfId="26661"/>
    <cellStyle name="Note 3 2 2 9 2" xfId="35426"/>
    <cellStyle name="Note 3 2 3" xfId="43203"/>
    <cellStyle name="Note 3 2 4" xfId="42185"/>
    <cellStyle name="Note 3 2 5" xfId="44258"/>
    <cellStyle name="Note 3 3" xfId="6081"/>
    <cellStyle name="Note 3 3 10" xfId="28660"/>
    <cellStyle name="Note 3 3 10 2" xfId="37416"/>
    <cellStyle name="Note 3 3 11" xfId="27143"/>
    <cellStyle name="Note 3 3 11 2" xfId="35903"/>
    <cellStyle name="Note 3 3 12" xfId="25251"/>
    <cellStyle name="Note 3 3 12 2" xfId="34021"/>
    <cellStyle name="Note 3 3 13" xfId="32743"/>
    <cellStyle name="Note 3 3 14" xfId="42187"/>
    <cellStyle name="Note 3 3 2" xfId="18203"/>
    <cellStyle name="Note 3 3 2 10" xfId="25651"/>
    <cellStyle name="Note 3 3 2 10 2" xfId="34418"/>
    <cellStyle name="Note 3 3 2 11" xfId="25657"/>
    <cellStyle name="Note 3 3 2 11 2" xfId="34424"/>
    <cellStyle name="Note 3 3 2 12" xfId="32947"/>
    <cellStyle name="Note 3 3 2 13" xfId="42188"/>
    <cellStyle name="Note 3 3 2 14" xfId="43399"/>
    <cellStyle name="Note 3 3 2 15" xfId="43816"/>
    <cellStyle name="Note 3 3 2 16" xfId="44077"/>
    <cellStyle name="Note 3 3 2 2" xfId="24473"/>
    <cellStyle name="Note 3 3 2 2 10" xfId="32226"/>
    <cellStyle name="Note 3 3 2 2 10 2" xfId="40980"/>
    <cellStyle name="Note 3 3 2 2 11" xfId="33301"/>
    <cellStyle name="Note 3 3 2 2 12" xfId="42189"/>
    <cellStyle name="Note 3 3 2 2 13" xfId="43400"/>
    <cellStyle name="Note 3 3 2 2 14" xfId="43690"/>
    <cellStyle name="Note 3 3 2 2 15" xfId="44068"/>
    <cellStyle name="Note 3 3 2 2 2" xfId="29081"/>
    <cellStyle name="Note 3 3 2 2 2 2" xfId="37835"/>
    <cellStyle name="Note 3 3 2 2 3" xfId="29494"/>
    <cellStyle name="Note 3 3 2 2 3 2" xfId="38248"/>
    <cellStyle name="Note 3 3 2 2 4" xfId="29914"/>
    <cellStyle name="Note 3 3 2 2 4 2" xfId="38668"/>
    <cellStyle name="Note 3 3 2 2 5" xfId="30333"/>
    <cellStyle name="Note 3 3 2 2 5 2" xfId="39087"/>
    <cellStyle name="Note 3 3 2 2 6" xfId="30734"/>
    <cellStyle name="Note 3 3 2 2 6 2" xfId="39488"/>
    <cellStyle name="Note 3 3 2 2 7" xfId="31120"/>
    <cellStyle name="Note 3 3 2 2 7 2" xfId="39874"/>
    <cellStyle name="Note 3 3 2 2 8" xfId="31498"/>
    <cellStyle name="Note 3 3 2 2 8 2" xfId="40252"/>
    <cellStyle name="Note 3 3 2 2 9" xfId="31864"/>
    <cellStyle name="Note 3 3 2 2 9 2" xfId="40618"/>
    <cellStyle name="Note 3 3 2 3" xfId="27693"/>
    <cellStyle name="Note 3 3 2 3 2" xfId="36453"/>
    <cellStyle name="Note 3 3 2 4" xfId="26823"/>
    <cellStyle name="Note 3 3 2 4 2" xfId="35584"/>
    <cellStyle name="Note 3 3 2 5" xfId="28317"/>
    <cellStyle name="Note 3 3 2 5 2" xfId="37076"/>
    <cellStyle name="Note 3 3 2 6" xfId="28563"/>
    <cellStyle name="Note 3 3 2 6 2" xfId="37319"/>
    <cellStyle name="Note 3 3 2 7" xfId="26547"/>
    <cellStyle name="Note 3 3 2 7 2" xfId="35312"/>
    <cellStyle name="Note 3 3 2 8" xfId="26042"/>
    <cellStyle name="Note 3 3 2 8 2" xfId="34808"/>
    <cellStyle name="Note 3 3 2 9" xfId="1746"/>
    <cellStyle name="Note 3 3 2 9 2" xfId="32555"/>
    <cellStyle name="Note 3 3 3" xfId="23645"/>
    <cellStyle name="Note 3 3 3 10" xfId="27611"/>
    <cellStyle name="Note 3 3 3 10 2" xfId="36371"/>
    <cellStyle name="Note 3 3 3 11" xfId="27170"/>
    <cellStyle name="Note 3 3 3 11 2" xfId="35930"/>
    <cellStyle name="Note 3 3 3 12" xfId="33115"/>
    <cellStyle name="Note 3 3 3 2" xfId="24700"/>
    <cellStyle name="Note 3 3 3 2 10" xfId="32401"/>
    <cellStyle name="Note 3 3 3 2 10 2" xfId="41155"/>
    <cellStyle name="Note 3 3 3 2 11" xfId="33476"/>
    <cellStyle name="Note 3 3 3 2 2" xfId="29265"/>
    <cellStyle name="Note 3 3 3 2 2 2" xfId="38019"/>
    <cellStyle name="Note 3 3 3 2 3" xfId="29675"/>
    <cellStyle name="Note 3 3 3 2 3 2" xfId="38429"/>
    <cellStyle name="Note 3 3 3 2 4" xfId="30095"/>
    <cellStyle name="Note 3 3 3 2 4 2" xfId="38849"/>
    <cellStyle name="Note 3 3 3 2 5" xfId="30511"/>
    <cellStyle name="Note 3 3 3 2 5 2" xfId="39265"/>
    <cellStyle name="Note 3 3 3 2 6" xfId="30912"/>
    <cellStyle name="Note 3 3 3 2 6 2" xfId="39666"/>
    <cellStyle name="Note 3 3 3 2 7" xfId="31298"/>
    <cellStyle name="Note 3 3 3 2 7 2" xfId="40052"/>
    <cellStyle name="Note 3 3 3 2 8" xfId="31674"/>
    <cellStyle name="Note 3 3 3 2 8 2" xfId="40428"/>
    <cellStyle name="Note 3 3 3 2 9" xfId="32040"/>
    <cellStyle name="Note 3 3 3 2 9 2" xfId="40794"/>
    <cellStyle name="Note 3 3 3 3" xfId="28761"/>
    <cellStyle name="Note 3 3 3 3 2" xfId="37517"/>
    <cellStyle name="Note 3 3 3 4" xfId="24814"/>
    <cellStyle name="Note 3 3 3 4 2" xfId="33590"/>
    <cellStyle name="Note 3 3 3 5" xfId="24833"/>
    <cellStyle name="Note 3 3 3 5 2" xfId="33607"/>
    <cellStyle name="Note 3 3 3 6" xfId="28183"/>
    <cellStyle name="Note 3 3 3 6 2" xfId="36942"/>
    <cellStyle name="Note 3 3 3 7" xfId="27545"/>
    <cellStyle name="Note 3 3 3 7 2" xfId="36305"/>
    <cellStyle name="Note 3 3 3 8" xfId="27040"/>
    <cellStyle name="Note 3 3 3 8 2" xfId="35800"/>
    <cellStyle name="Note 3 3 3 9" xfId="27902"/>
    <cellStyle name="Note 3 3 3 9 2" xfId="36662"/>
    <cellStyle name="Note 3 3 4" xfId="24632"/>
    <cellStyle name="Note 3 3 4 10" xfId="32343"/>
    <cellStyle name="Note 3 3 4 10 2" xfId="41097"/>
    <cellStyle name="Note 3 3 4 11" xfId="33418"/>
    <cellStyle name="Note 3 3 4 2" xfId="29205"/>
    <cellStyle name="Note 3 3 4 2 2" xfId="37959"/>
    <cellStyle name="Note 3 3 4 3" xfId="29616"/>
    <cellStyle name="Note 3 3 4 3 2" xfId="38370"/>
    <cellStyle name="Note 3 3 4 4" xfId="30036"/>
    <cellStyle name="Note 3 3 4 4 2" xfId="38790"/>
    <cellStyle name="Note 3 3 4 5" xfId="30452"/>
    <cellStyle name="Note 3 3 4 5 2" xfId="39206"/>
    <cellStyle name="Note 3 3 4 6" xfId="30853"/>
    <cellStyle name="Note 3 3 4 6 2" xfId="39607"/>
    <cellStyle name="Note 3 3 4 7" xfId="31239"/>
    <cellStyle name="Note 3 3 4 7 2" xfId="39993"/>
    <cellStyle name="Note 3 3 4 8" xfId="31615"/>
    <cellStyle name="Note 3 3 4 8 2" xfId="40369"/>
    <cellStyle name="Note 3 3 4 9" xfId="31981"/>
    <cellStyle name="Note 3 3 4 9 2" xfId="40735"/>
    <cellStyle name="Note 3 3 5" xfId="28114"/>
    <cellStyle name="Note 3 3 5 2" xfId="36873"/>
    <cellStyle name="Note 3 3 6" xfId="24883"/>
    <cellStyle name="Note 3 3 6 2" xfId="33657"/>
    <cellStyle name="Note 3 3 7" xfId="24978"/>
    <cellStyle name="Note 3 3 7 2" xfId="33752"/>
    <cellStyle name="Note 3 3 8" xfId="28679"/>
    <cellStyle name="Note 3 3 8 2" xfId="37435"/>
    <cellStyle name="Note 3 3 9" xfId="27074"/>
    <cellStyle name="Note 3 3 9 2" xfId="35834"/>
    <cellStyle name="Note 3 4" xfId="43142"/>
    <cellStyle name="Note 3 5" xfId="42184"/>
    <cellStyle name="Note 4" xfId="284"/>
    <cellStyle name="Note 4 2" xfId="734"/>
    <cellStyle name="Note 4 2 2" xfId="2379"/>
    <cellStyle name="Note 4 2 2 2" xfId="6865"/>
    <cellStyle name="Note 4 2 2 2 10" xfId="27151"/>
    <cellStyle name="Note 4 2 2 2 10 2" xfId="35911"/>
    <cellStyle name="Note 4 2 2 2 11" xfId="24935"/>
    <cellStyle name="Note 4 2 2 2 11 2" xfId="33709"/>
    <cellStyle name="Note 4 2 2 2 12" xfId="32776"/>
    <cellStyle name="Note 4 2 2 2 13" xfId="42192"/>
    <cellStyle name="Note 4 2 2 2 2" xfId="18257"/>
    <cellStyle name="Note 4 2 2 2 2 10" xfId="26907"/>
    <cellStyle name="Note 4 2 2 2 2 10 2" xfId="35667"/>
    <cellStyle name="Note 4 2 2 2 2 11" xfId="27023"/>
    <cellStyle name="Note 4 2 2 2 2 11 2" xfId="35783"/>
    <cellStyle name="Note 4 2 2 2 2 12" xfId="33001"/>
    <cellStyle name="Note 4 2 2 2 2 2" xfId="24527"/>
    <cellStyle name="Note 4 2 2 2 2 2 10" xfId="32280"/>
    <cellStyle name="Note 4 2 2 2 2 2 10 2" xfId="41034"/>
    <cellStyle name="Note 4 2 2 2 2 2 11" xfId="33355"/>
    <cellStyle name="Note 4 2 2 2 2 2 2" xfId="29135"/>
    <cellStyle name="Note 4 2 2 2 2 2 2 2" xfId="37889"/>
    <cellStyle name="Note 4 2 2 2 2 2 3" xfId="29548"/>
    <cellStyle name="Note 4 2 2 2 2 2 3 2" xfId="38302"/>
    <cellStyle name="Note 4 2 2 2 2 2 4" xfId="29968"/>
    <cellStyle name="Note 4 2 2 2 2 2 4 2" xfId="38722"/>
    <cellStyle name="Note 4 2 2 2 2 2 5" xfId="30387"/>
    <cellStyle name="Note 4 2 2 2 2 2 5 2" xfId="39141"/>
    <cellStyle name="Note 4 2 2 2 2 2 6" xfId="30788"/>
    <cellStyle name="Note 4 2 2 2 2 2 6 2" xfId="39542"/>
    <cellStyle name="Note 4 2 2 2 2 2 7" xfId="31174"/>
    <cellStyle name="Note 4 2 2 2 2 2 7 2" xfId="39928"/>
    <cellStyle name="Note 4 2 2 2 2 2 8" xfId="31552"/>
    <cellStyle name="Note 4 2 2 2 2 2 8 2" xfId="40306"/>
    <cellStyle name="Note 4 2 2 2 2 2 9" xfId="31918"/>
    <cellStyle name="Note 4 2 2 2 2 2 9 2" xfId="40672"/>
    <cellStyle name="Note 4 2 2 2 2 3" xfId="27747"/>
    <cellStyle name="Note 4 2 2 2 2 3 2" xfId="36507"/>
    <cellStyle name="Note 4 2 2 2 2 4" xfId="26336"/>
    <cellStyle name="Note 4 2 2 2 2 4 2" xfId="35102"/>
    <cellStyle name="Note 4 2 2 2 2 5" xfId="28837"/>
    <cellStyle name="Note 4 2 2 2 2 5 2" xfId="37593"/>
    <cellStyle name="Note 4 2 2 2 2 6" xfId="1749"/>
    <cellStyle name="Note 4 2 2 2 2 6 2" xfId="32557"/>
    <cellStyle name="Note 4 2 2 2 2 7" xfId="25036"/>
    <cellStyle name="Note 4 2 2 2 2 7 2" xfId="33810"/>
    <cellStyle name="Note 4 2 2 2 2 8" xfId="24909"/>
    <cellStyle name="Note 4 2 2 2 2 8 2" xfId="33683"/>
    <cellStyle name="Note 4 2 2 2 2 9" xfId="27269"/>
    <cellStyle name="Note 4 2 2 2 2 9 2" xfId="36029"/>
    <cellStyle name="Note 4 2 2 2 3" xfId="23668"/>
    <cellStyle name="Note 4 2 2 2 3 10" xfId="25046"/>
    <cellStyle name="Note 4 2 2 2 3 10 2" xfId="33820"/>
    <cellStyle name="Note 4 2 2 2 3 11" xfId="25911"/>
    <cellStyle name="Note 4 2 2 2 3 11 2" xfId="34677"/>
    <cellStyle name="Note 4 2 2 2 3 12" xfId="33138"/>
    <cellStyle name="Note 4 2 2 2 3 2" xfId="24723"/>
    <cellStyle name="Note 4 2 2 2 3 2 10" xfId="32424"/>
    <cellStyle name="Note 4 2 2 2 3 2 10 2" xfId="41178"/>
    <cellStyle name="Note 4 2 2 2 3 2 11" xfId="33499"/>
    <cellStyle name="Note 4 2 2 2 3 2 2" xfId="29288"/>
    <cellStyle name="Note 4 2 2 2 3 2 2 2" xfId="38042"/>
    <cellStyle name="Note 4 2 2 2 3 2 3" xfId="29698"/>
    <cellStyle name="Note 4 2 2 2 3 2 3 2" xfId="38452"/>
    <cellStyle name="Note 4 2 2 2 3 2 4" xfId="30118"/>
    <cellStyle name="Note 4 2 2 2 3 2 4 2" xfId="38872"/>
    <cellStyle name="Note 4 2 2 2 3 2 5" xfId="30534"/>
    <cellStyle name="Note 4 2 2 2 3 2 5 2" xfId="39288"/>
    <cellStyle name="Note 4 2 2 2 3 2 6" xfId="30935"/>
    <cellStyle name="Note 4 2 2 2 3 2 6 2" xfId="39689"/>
    <cellStyle name="Note 4 2 2 2 3 2 7" xfId="31321"/>
    <cellStyle name="Note 4 2 2 2 3 2 7 2" xfId="40075"/>
    <cellStyle name="Note 4 2 2 2 3 2 8" xfId="31697"/>
    <cellStyle name="Note 4 2 2 2 3 2 8 2" xfId="40451"/>
    <cellStyle name="Note 4 2 2 2 3 2 9" xfId="32063"/>
    <cellStyle name="Note 4 2 2 2 3 2 9 2" xfId="40817"/>
    <cellStyle name="Note 4 2 2 2 3 3" xfId="28784"/>
    <cellStyle name="Note 4 2 2 2 3 3 2" xfId="37540"/>
    <cellStyle name="Note 4 2 2 2 3 4" xfId="28869"/>
    <cellStyle name="Note 4 2 2 2 3 4 2" xfId="37625"/>
    <cellStyle name="Note 4 2 2 2 3 5" xfId="28178"/>
    <cellStyle name="Note 4 2 2 2 3 5 2" xfId="36937"/>
    <cellStyle name="Note 4 2 2 2 3 6" xfId="27823"/>
    <cellStyle name="Note 4 2 2 2 3 6 2" xfId="36583"/>
    <cellStyle name="Note 4 2 2 2 3 7" xfId="25895"/>
    <cellStyle name="Note 4 2 2 2 3 7 2" xfId="34661"/>
    <cellStyle name="Note 4 2 2 2 3 8" xfId="28120"/>
    <cellStyle name="Note 4 2 2 2 3 8 2" xfId="36879"/>
    <cellStyle name="Note 4 2 2 2 3 9" xfId="28038"/>
    <cellStyle name="Note 4 2 2 2 3 9 2" xfId="36797"/>
    <cellStyle name="Note 4 2 2 2 4" xfId="25408"/>
    <cellStyle name="Note 4 2 2 2 4 2" xfId="34177"/>
    <cellStyle name="Note 4 2 2 2 5" xfId="26172"/>
    <cellStyle name="Note 4 2 2 2 5 2" xfId="34938"/>
    <cellStyle name="Note 4 2 2 2 6" xfId="25689"/>
    <cellStyle name="Note 4 2 2 2 6 2" xfId="34456"/>
    <cellStyle name="Note 4 2 2 2 7" xfId="25308"/>
    <cellStyle name="Note 4 2 2 2 7 2" xfId="34077"/>
    <cellStyle name="Note 4 2 2 2 8" xfId="27857"/>
    <cellStyle name="Note 4 2 2 2 8 2" xfId="36617"/>
    <cellStyle name="Note 4 2 2 2 9" xfId="25711"/>
    <cellStyle name="Note 4 2 2 2 9 2" xfId="34478"/>
    <cellStyle name="Note 4 2 2 3" xfId="42191"/>
    <cellStyle name="Note 4 2 3" xfId="6084"/>
    <cellStyle name="Note 4 2 3 10" xfId="28657"/>
    <cellStyle name="Note 4 2 3 10 2" xfId="37413"/>
    <cellStyle name="Note 4 2 3 11" xfId="27956"/>
    <cellStyle name="Note 4 2 3 11 2" xfId="36716"/>
    <cellStyle name="Note 4 2 3 12" xfId="32746"/>
    <cellStyle name="Note 4 2 3 13" xfId="42193"/>
    <cellStyle name="Note 4 2 3 2" xfId="18206"/>
    <cellStyle name="Note 4 2 3 2 10" xfId="30010"/>
    <cellStyle name="Note 4 2 3 2 10 2" xfId="38764"/>
    <cellStyle name="Note 4 2 3 2 11" xfId="1692"/>
    <cellStyle name="Note 4 2 3 2 11 2" xfId="32505"/>
    <cellStyle name="Note 4 2 3 2 12" xfId="32950"/>
    <cellStyle name="Note 4 2 3 2 2" xfId="24476"/>
    <cellStyle name="Note 4 2 3 2 2 10" xfId="32229"/>
    <cellStyle name="Note 4 2 3 2 2 10 2" xfId="40983"/>
    <cellStyle name="Note 4 2 3 2 2 11" xfId="33304"/>
    <cellStyle name="Note 4 2 3 2 2 2" xfId="29084"/>
    <cellStyle name="Note 4 2 3 2 2 2 2" xfId="37838"/>
    <cellStyle name="Note 4 2 3 2 2 3" xfId="29497"/>
    <cellStyle name="Note 4 2 3 2 2 3 2" xfId="38251"/>
    <cellStyle name="Note 4 2 3 2 2 4" xfId="29917"/>
    <cellStyle name="Note 4 2 3 2 2 4 2" xfId="38671"/>
    <cellStyle name="Note 4 2 3 2 2 5" xfId="30336"/>
    <cellStyle name="Note 4 2 3 2 2 5 2" xfId="39090"/>
    <cellStyle name="Note 4 2 3 2 2 6" xfId="30737"/>
    <cellStyle name="Note 4 2 3 2 2 6 2" xfId="39491"/>
    <cellStyle name="Note 4 2 3 2 2 7" xfId="31123"/>
    <cellStyle name="Note 4 2 3 2 2 7 2" xfId="39877"/>
    <cellStyle name="Note 4 2 3 2 2 8" xfId="31501"/>
    <cellStyle name="Note 4 2 3 2 2 8 2" xfId="40255"/>
    <cellStyle name="Note 4 2 3 2 2 9" xfId="31867"/>
    <cellStyle name="Note 4 2 3 2 2 9 2" xfId="40621"/>
    <cellStyle name="Note 4 2 3 2 3" xfId="27696"/>
    <cellStyle name="Note 4 2 3 2 3 2" xfId="36456"/>
    <cellStyle name="Note 4 2 3 2 4" xfId="26003"/>
    <cellStyle name="Note 4 2 3 2 4 2" xfId="34769"/>
    <cellStyle name="Note 4 2 3 2 5" xfId="27585"/>
    <cellStyle name="Note 4 2 3 2 5 2" xfId="36345"/>
    <cellStyle name="Note 4 2 3 2 6" xfId="26330"/>
    <cellStyle name="Note 4 2 3 2 6 2" xfId="35096"/>
    <cellStyle name="Note 4 2 3 2 7" xfId="25470"/>
    <cellStyle name="Note 4 2 3 2 7 2" xfId="34239"/>
    <cellStyle name="Note 4 2 3 2 8" xfId="26578"/>
    <cellStyle name="Note 4 2 3 2 8 2" xfId="35343"/>
    <cellStyle name="Note 4 2 3 2 9" xfId="25888"/>
    <cellStyle name="Note 4 2 3 2 9 2" xfId="34654"/>
    <cellStyle name="Note 4 2 3 3" xfId="23648"/>
    <cellStyle name="Note 4 2 3 3 10" xfId="26895"/>
    <cellStyle name="Note 4 2 3 3 10 2" xfId="35655"/>
    <cellStyle name="Note 4 2 3 3 11" xfId="30173"/>
    <cellStyle name="Note 4 2 3 3 11 2" xfId="38927"/>
    <cellStyle name="Note 4 2 3 3 12" xfId="33118"/>
    <cellStyle name="Note 4 2 3 3 2" xfId="24703"/>
    <cellStyle name="Note 4 2 3 3 2 10" xfId="32404"/>
    <cellStyle name="Note 4 2 3 3 2 10 2" xfId="41158"/>
    <cellStyle name="Note 4 2 3 3 2 11" xfId="33479"/>
    <cellStyle name="Note 4 2 3 3 2 2" xfId="29268"/>
    <cellStyle name="Note 4 2 3 3 2 2 2" xfId="38022"/>
    <cellStyle name="Note 4 2 3 3 2 3" xfId="29678"/>
    <cellStyle name="Note 4 2 3 3 2 3 2" xfId="38432"/>
    <cellStyle name="Note 4 2 3 3 2 4" xfId="30098"/>
    <cellStyle name="Note 4 2 3 3 2 4 2" xfId="38852"/>
    <cellStyle name="Note 4 2 3 3 2 5" xfId="30514"/>
    <cellStyle name="Note 4 2 3 3 2 5 2" xfId="39268"/>
    <cellStyle name="Note 4 2 3 3 2 6" xfId="30915"/>
    <cellStyle name="Note 4 2 3 3 2 6 2" xfId="39669"/>
    <cellStyle name="Note 4 2 3 3 2 7" xfId="31301"/>
    <cellStyle name="Note 4 2 3 3 2 7 2" xfId="40055"/>
    <cellStyle name="Note 4 2 3 3 2 8" xfId="31677"/>
    <cellStyle name="Note 4 2 3 3 2 8 2" xfId="40431"/>
    <cellStyle name="Note 4 2 3 3 2 9" xfId="32043"/>
    <cellStyle name="Note 4 2 3 3 2 9 2" xfId="40797"/>
    <cellStyle name="Note 4 2 3 3 3" xfId="28764"/>
    <cellStyle name="Note 4 2 3 3 3 2" xfId="37520"/>
    <cellStyle name="Note 4 2 3 3 4" xfId="28875"/>
    <cellStyle name="Note 4 2 3 3 4 2" xfId="37631"/>
    <cellStyle name="Note 4 2 3 3 5" xfId="1659"/>
    <cellStyle name="Note 4 2 3 3 5 2" xfId="32473"/>
    <cellStyle name="Note 4 2 3 3 6" xfId="25016"/>
    <cellStyle name="Note 4 2 3 3 6 2" xfId="33790"/>
    <cellStyle name="Note 4 2 3 3 7" xfId="25964"/>
    <cellStyle name="Note 4 2 3 3 7 2" xfId="34730"/>
    <cellStyle name="Note 4 2 3 3 8" xfId="24818"/>
    <cellStyle name="Note 4 2 3 3 8 2" xfId="33593"/>
    <cellStyle name="Note 4 2 3 3 9" xfId="26037"/>
    <cellStyle name="Note 4 2 3 3 9 2" xfId="34803"/>
    <cellStyle name="Note 4 2 3 4" xfId="28418"/>
    <cellStyle name="Note 4 2 3 4 2" xfId="37175"/>
    <cellStyle name="Note 4 2 3 5" xfId="28290"/>
    <cellStyle name="Note 4 2 3 5 2" xfId="37049"/>
    <cellStyle name="Note 4 2 3 6" xfId="28338"/>
    <cellStyle name="Note 4 2 3 6 2" xfId="37097"/>
    <cellStyle name="Note 4 2 3 7" xfId="26423"/>
    <cellStyle name="Note 4 2 3 7 2" xfId="35188"/>
    <cellStyle name="Note 4 2 3 8" xfId="27302"/>
    <cellStyle name="Note 4 2 3 8 2" xfId="36062"/>
    <cellStyle name="Note 4 2 3 9" xfId="27442"/>
    <cellStyle name="Note 4 2 3 9 2" xfId="36202"/>
    <cellStyle name="Note 4 2 4" xfId="42190"/>
    <cellStyle name="Note 4 3" xfId="2303"/>
    <cellStyle name="Note 4 3 2" xfId="6861"/>
    <cellStyle name="Note 4 3 2 10" xfId="25479"/>
    <cellStyle name="Note 4 3 2 10 2" xfId="34248"/>
    <cellStyle name="Note 4 3 2 11" xfId="28899"/>
    <cellStyle name="Note 4 3 2 11 2" xfId="37655"/>
    <cellStyle name="Note 4 3 2 12" xfId="32774"/>
    <cellStyle name="Note 4 3 2 13" xfId="42195"/>
    <cellStyle name="Note 4 3 2 2" xfId="18255"/>
    <cellStyle name="Note 4 3 2 2 10" xfId="26396"/>
    <cellStyle name="Note 4 3 2 2 10 2" xfId="35162"/>
    <cellStyle name="Note 4 3 2 2 11" xfId="29755"/>
    <cellStyle name="Note 4 3 2 2 11 2" xfId="38509"/>
    <cellStyle name="Note 4 3 2 2 12" xfId="32999"/>
    <cellStyle name="Note 4 3 2 2 2" xfId="24525"/>
    <cellStyle name="Note 4 3 2 2 2 10" xfId="32278"/>
    <cellStyle name="Note 4 3 2 2 2 10 2" xfId="41032"/>
    <cellStyle name="Note 4 3 2 2 2 11" xfId="33353"/>
    <cellStyle name="Note 4 3 2 2 2 2" xfId="29133"/>
    <cellStyle name="Note 4 3 2 2 2 2 2" xfId="37887"/>
    <cellStyle name="Note 4 3 2 2 2 3" xfId="29546"/>
    <cellStyle name="Note 4 3 2 2 2 3 2" xfId="38300"/>
    <cellStyle name="Note 4 3 2 2 2 4" xfId="29966"/>
    <cellStyle name="Note 4 3 2 2 2 4 2" xfId="38720"/>
    <cellStyle name="Note 4 3 2 2 2 5" xfId="30385"/>
    <cellStyle name="Note 4 3 2 2 2 5 2" xfId="39139"/>
    <cellStyle name="Note 4 3 2 2 2 6" xfId="30786"/>
    <cellStyle name="Note 4 3 2 2 2 6 2" xfId="39540"/>
    <cellStyle name="Note 4 3 2 2 2 7" xfId="31172"/>
    <cellStyle name="Note 4 3 2 2 2 7 2" xfId="39926"/>
    <cellStyle name="Note 4 3 2 2 2 8" xfId="31550"/>
    <cellStyle name="Note 4 3 2 2 2 8 2" xfId="40304"/>
    <cellStyle name="Note 4 3 2 2 2 9" xfId="31916"/>
    <cellStyle name="Note 4 3 2 2 2 9 2" xfId="40670"/>
    <cellStyle name="Note 4 3 2 2 3" xfId="27745"/>
    <cellStyle name="Note 4 3 2 2 3 2" xfId="36505"/>
    <cellStyle name="Note 4 3 2 2 4" xfId="25180"/>
    <cellStyle name="Note 4 3 2 2 4 2" xfId="33951"/>
    <cellStyle name="Note 4 3 2 2 5" xfId="25122"/>
    <cellStyle name="Note 4 3 2 2 5 2" xfId="33894"/>
    <cellStyle name="Note 4 3 2 2 6" xfId="28922"/>
    <cellStyle name="Note 4 3 2 2 6 2" xfId="37677"/>
    <cellStyle name="Note 4 3 2 2 7" xfId="26605"/>
    <cellStyle name="Note 4 3 2 2 7 2" xfId="35370"/>
    <cellStyle name="Note 4 3 2 2 8" xfId="28036"/>
    <cellStyle name="Note 4 3 2 2 8 2" xfId="36795"/>
    <cellStyle name="Note 4 3 2 2 9" xfId="27184"/>
    <cellStyle name="Note 4 3 2 2 9 2" xfId="35944"/>
    <cellStyle name="Note 4 3 2 3" xfId="23666"/>
    <cellStyle name="Note 4 3 2 3 10" xfId="1789"/>
    <cellStyle name="Note 4 3 2 3 10 2" xfId="32597"/>
    <cellStyle name="Note 4 3 2 3 11" xfId="28140"/>
    <cellStyle name="Note 4 3 2 3 11 2" xfId="36899"/>
    <cellStyle name="Note 4 3 2 3 12" xfId="33136"/>
    <cellStyle name="Note 4 3 2 3 2" xfId="24721"/>
    <cellStyle name="Note 4 3 2 3 2 10" xfId="32422"/>
    <cellStyle name="Note 4 3 2 3 2 10 2" xfId="41176"/>
    <cellStyle name="Note 4 3 2 3 2 11" xfId="33497"/>
    <cellStyle name="Note 4 3 2 3 2 2" xfId="29286"/>
    <cellStyle name="Note 4 3 2 3 2 2 2" xfId="38040"/>
    <cellStyle name="Note 4 3 2 3 2 3" xfId="29696"/>
    <cellStyle name="Note 4 3 2 3 2 3 2" xfId="38450"/>
    <cellStyle name="Note 4 3 2 3 2 4" xfId="30116"/>
    <cellStyle name="Note 4 3 2 3 2 4 2" xfId="38870"/>
    <cellStyle name="Note 4 3 2 3 2 5" xfId="30532"/>
    <cellStyle name="Note 4 3 2 3 2 5 2" xfId="39286"/>
    <cellStyle name="Note 4 3 2 3 2 6" xfId="30933"/>
    <cellStyle name="Note 4 3 2 3 2 6 2" xfId="39687"/>
    <cellStyle name="Note 4 3 2 3 2 7" xfId="31319"/>
    <cellStyle name="Note 4 3 2 3 2 7 2" xfId="40073"/>
    <cellStyle name="Note 4 3 2 3 2 8" xfId="31695"/>
    <cellStyle name="Note 4 3 2 3 2 8 2" xfId="40449"/>
    <cellStyle name="Note 4 3 2 3 2 9" xfId="32061"/>
    <cellStyle name="Note 4 3 2 3 2 9 2" xfId="40815"/>
    <cellStyle name="Note 4 3 2 3 3" xfId="28782"/>
    <cellStyle name="Note 4 3 2 3 3 2" xfId="37538"/>
    <cellStyle name="Note 4 3 2 3 4" xfId="25059"/>
    <cellStyle name="Note 4 3 2 3 4 2" xfId="33833"/>
    <cellStyle name="Note 4 3 2 3 5" xfId="25524"/>
    <cellStyle name="Note 4 3 2 3 5 2" xfId="34292"/>
    <cellStyle name="Note 4 3 2 3 6" xfId="25935"/>
    <cellStyle name="Note 4 3 2 3 6 2" xfId="34701"/>
    <cellStyle name="Note 4 3 2 3 7" xfId="25701"/>
    <cellStyle name="Note 4 3 2 3 7 2" xfId="34468"/>
    <cellStyle name="Note 4 3 2 3 8" xfId="29330"/>
    <cellStyle name="Note 4 3 2 3 8 2" xfId="38084"/>
    <cellStyle name="Note 4 3 2 3 9" xfId="27481"/>
    <cellStyle name="Note 4 3 2 3 9 2" xfId="36241"/>
    <cellStyle name="Note 4 3 2 4" xfId="27017"/>
    <cellStyle name="Note 4 3 2 4 2" xfId="35777"/>
    <cellStyle name="Note 4 3 2 5" xfId="27970"/>
    <cellStyle name="Note 4 3 2 5 2" xfId="36730"/>
    <cellStyle name="Note 4 3 2 6" xfId="28643"/>
    <cellStyle name="Note 4 3 2 6 2" xfId="37399"/>
    <cellStyle name="Note 4 3 2 7" xfId="25952"/>
    <cellStyle name="Note 4 3 2 7 2" xfId="34718"/>
    <cellStyle name="Note 4 3 2 8" xfId="24828"/>
    <cellStyle name="Note 4 3 2 8 2" xfId="33603"/>
    <cellStyle name="Note 4 3 2 9" xfId="2889"/>
    <cellStyle name="Note 4 3 2 9 2" xfId="32675"/>
    <cellStyle name="Note 4 3 3" xfId="42194"/>
    <cellStyle name="Note 4 4" xfId="2200"/>
    <cellStyle name="Note 4 4 2" xfId="6858"/>
    <cellStyle name="Note 4 4 2 10" xfId="25413"/>
    <cellStyle name="Note 4 4 2 10 2" xfId="34182"/>
    <cellStyle name="Note 4 4 2 11" xfId="26402"/>
    <cellStyle name="Note 4 4 2 11 2" xfId="35168"/>
    <cellStyle name="Note 4 4 2 12" xfId="26133"/>
    <cellStyle name="Note 4 4 2 12 2" xfId="34899"/>
    <cellStyle name="Note 4 4 2 13" xfId="32772"/>
    <cellStyle name="Note 4 4 2 14" xfId="42197"/>
    <cellStyle name="Note 4 4 2 2" xfId="18253"/>
    <cellStyle name="Note 4 4 2 2 10" xfId="28322"/>
    <cellStyle name="Note 4 4 2 2 10 2" xfId="37081"/>
    <cellStyle name="Note 4 4 2 2 11" xfId="30170"/>
    <cellStyle name="Note 4 4 2 2 11 2" xfId="38924"/>
    <cellStyle name="Note 4 4 2 2 12" xfId="32997"/>
    <cellStyle name="Note 4 4 2 2 2" xfId="24523"/>
    <cellStyle name="Note 4 4 2 2 2 10" xfId="32276"/>
    <cellStyle name="Note 4 4 2 2 2 10 2" xfId="41030"/>
    <cellStyle name="Note 4 4 2 2 2 11" xfId="33351"/>
    <cellStyle name="Note 4 4 2 2 2 2" xfId="29131"/>
    <cellStyle name="Note 4 4 2 2 2 2 2" xfId="37885"/>
    <cellStyle name="Note 4 4 2 2 2 3" xfId="29544"/>
    <cellStyle name="Note 4 4 2 2 2 3 2" xfId="38298"/>
    <cellStyle name="Note 4 4 2 2 2 4" xfId="29964"/>
    <cellStyle name="Note 4 4 2 2 2 4 2" xfId="38718"/>
    <cellStyle name="Note 4 4 2 2 2 5" xfId="30383"/>
    <cellStyle name="Note 4 4 2 2 2 5 2" xfId="39137"/>
    <cellStyle name="Note 4 4 2 2 2 6" xfId="30784"/>
    <cellStyle name="Note 4 4 2 2 2 6 2" xfId="39538"/>
    <cellStyle name="Note 4 4 2 2 2 7" xfId="31170"/>
    <cellStyle name="Note 4 4 2 2 2 7 2" xfId="39924"/>
    <cellStyle name="Note 4 4 2 2 2 8" xfId="31548"/>
    <cellStyle name="Note 4 4 2 2 2 8 2" xfId="40302"/>
    <cellStyle name="Note 4 4 2 2 2 9" xfId="31914"/>
    <cellStyle name="Note 4 4 2 2 2 9 2" xfId="40668"/>
    <cellStyle name="Note 4 4 2 2 3" xfId="27743"/>
    <cellStyle name="Note 4 4 2 2 3 2" xfId="36503"/>
    <cellStyle name="Note 4 4 2 2 4" xfId="28535"/>
    <cellStyle name="Note 4 4 2 2 4 2" xfId="37291"/>
    <cellStyle name="Note 4 4 2 2 5" xfId="28481"/>
    <cellStyle name="Note 4 4 2 2 5 2" xfId="37238"/>
    <cellStyle name="Note 4 4 2 2 6" xfId="24856"/>
    <cellStyle name="Note 4 4 2 2 6 2" xfId="33630"/>
    <cellStyle name="Note 4 4 2 2 7" xfId="27355"/>
    <cellStyle name="Note 4 4 2 2 7 2" xfId="36115"/>
    <cellStyle name="Note 4 4 2 2 8" xfId="25392"/>
    <cellStyle name="Note 4 4 2 2 8 2" xfId="34161"/>
    <cellStyle name="Note 4 4 2 2 9" xfId="27543"/>
    <cellStyle name="Note 4 4 2 2 9 2" xfId="36303"/>
    <cellStyle name="Note 4 4 2 3" xfId="23664"/>
    <cellStyle name="Note 4 4 2 3 10" xfId="25481"/>
    <cellStyle name="Note 4 4 2 3 10 2" xfId="34250"/>
    <cellStyle name="Note 4 4 2 3 11" xfId="25331"/>
    <cellStyle name="Note 4 4 2 3 11 2" xfId="34100"/>
    <cellStyle name="Note 4 4 2 3 12" xfId="33134"/>
    <cellStyle name="Note 4 4 2 3 2" xfId="24719"/>
    <cellStyle name="Note 4 4 2 3 2 10" xfId="32420"/>
    <cellStyle name="Note 4 4 2 3 2 10 2" xfId="41174"/>
    <cellStyle name="Note 4 4 2 3 2 11" xfId="33495"/>
    <cellStyle name="Note 4 4 2 3 2 2" xfId="29284"/>
    <cellStyle name="Note 4 4 2 3 2 2 2" xfId="38038"/>
    <cellStyle name="Note 4 4 2 3 2 3" xfId="29694"/>
    <cellStyle name="Note 4 4 2 3 2 3 2" xfId="38448"/>
    <cellStyle name="Note 4 4 2 3 2 4" xfId="30114"/>
    <cellStyle name="Note 4 4 2 3 2 4 2" xfId="38868"/>
    <cellStyle name="Note 4 4 2 3 2 5" xfId="30530"/>
    <cellStyle name="Note 4 4 2 3 2 5 2" xfId="39284"/>
    <cellStyle name="Note 4 4 2 3 2 6" xfId="30931"/>
    <cellStyle name="Note 4 4 2 3 2 6 2" xfId="39685"/>
    <cellStyle name="Note 4 4 2 3 2 7" xfId="31317"/>
    <cellStyle name="Note 4 4 2 3 2 7 2" xfId="40071"/>
    <cellStyle name="Note 4 4 2 3 2 8" xfId="31693"/>
    <cellStyle name="Note 4 4 2 3 2 8 2" xfId="40447"/>
    <cellStyle name="Note 4 4 2 3 2 9" xfId="32059"/>
    <cellStyle name="Note 4 4 2 3 2 9 2" xfId="40813"/>
    <cellStyle name="Note 4 4 2 3 3" xfId="28780"/>
    <cellStyle name="Note 4 4 2 3 3 2" xfId="37536"/>
    <cellStyle name="Note 4 4 2 3 4" xfId="24793"/>
    <cellStyle name="Note 4 4 2 3 4 2" xfId="33569"/>
    <cellStyle name="Note 4 4 2 3 5" xfId="28158"/>
    <cellStyle name="Note 4 4 2 3 5 2" xfId="36917"/>
    <cellStyle name="Note 4 4 2 3 6" xfId="25218"/>
    <cellStyle name="Note 4 4 2 3 6 2" xfId="33989"/>
    <cellStyle name="Note 4 4 2 3 7" xfId="27000"/>
    <cellStyle name="Note 4 4 2 3 7 2" xfId="35760"/>
    <cellStyle name="Note 4 4 2 3 8" xfId="28094"/>
    <cellStyle name="Note 4 4 2 3 8 2" xfId="36853"/>
    <cellStyle name="Note 4 4 2 3 9" xfId="26558"/>
    <cellStyle name="Note 4 4 2 3 9 2" xfId="35323"/>
    <cellStyle name="Note 4 4 2 4" xfId="23864"/>
    <cellStyle name="Note 4 4 2 4 10" xfId="27001"/>
    <cellStyle name="Note 4 4 2 4 10 2" xfId="35761"/>
    <cellStyle name="Note 4 4 2 4 11" xfId="2191"/>
    <cellStyle name="Note 4 4 2 4 11 2" xfId="32631"/>
    <cellStyle name="Note 4 4 2 4 12" xfId="33173"/>
    <cellStyle name="Note 4 4 2 4 2" xfId="24758"/>
    <cellStyle name="Note 4 4 2 4 2 10" xfId="32459"/>
    <cellStyle name="Note 4 4 2 4 2 10 2" xfId="41213"/>
    <cellStyle name="Note 4 4 2 4 2 11" xfId="33534"/>
    <cellStyle name="Note 4 4 2 4 2 2" xfId="29323"/>
    <cellStyle name="Note 4 4 2 4 2 2 2" xfId="38077"/>
    <cellStyle name="Note 4 4 2 4 2 3" xfId="29733"/>
    <cellStyle name="Note 4 4 2 4 2 3 2" xfId="38487"/>
    <cellStyle name="Note 4 4 2 4 2 4" xfId="30153"/>
    <cellStyle name="Note 4 4 2 4 2 4 2" xfId="38907"/>
    <cellStyle name="Note 4 4 2 4 2 5" xfId="30569"/>
    <cellStyle name="Note 4 4 2 4 2 5 2" xfId="39323"/>
    <cellStyle name="Note 4 4 2 4 2 6" xfId="30970"/>
    <cellStyle name="Note 4 4 2 4 2 6 2" xfId="39724"/>
    <cellStyle name="Note 4 4 2 4 2 7" xfId="31356"/>
    <cellStyle name="Note 4 4 2 4 2 7 2" xfId="40110"/>
    <cellStyle name="Note 4 4 2 4 2 8" xfId="31732"/>
    <cellStyle name="Note 4 4 2 4 2 8 2" xfId="40486"/>
    <cellStyle name="Note 4 4 2 4 2 9" xfId="32098"/>
    <cellStyle name="Note 4 4 2 4 2 9 2" xfId="40852"/>
    <cellStyle name="Note 4 4 2 4 3" xfId="28847"/>
    <cellStyle name="Note 4 4 2 4 3 2" xfId="37603"/>
    <cellStyle name="Note 4 4 2 4 4" xfId="26149"/>
    <cellStyle name="Note 4 4 2 4 4 2" xfId="34915"/>
    <cellStyle name="Note 4 4 2 4 5" xfId="1660"/>
    <cellStyle name="Note 4 4 2 4 5 2" xfId="32474"/>
    <cellStyle name="Note 4 4 2 4 6" xfId="24949"/>
    <cellStyle name="Note 4 4 2 4 6 2" xfId="33723"/>
    <cellStyle name="Note 4 4 2 4 7" xfId="27876"/>
    <cellStyle name="Note 4 4 2 4 7 2" xfId="36636"/>
    <cellStyle name="Note 4 4 2 4 8" xfId="27509"/>
    <cellStyle name="Note 4 4 2 4 8 2" xfId="36269"/>
    <cellStyle name="Note 4 4 2 4 9" xfId="25198"/>
    <cellStyle name="Note 4 4 2 4 9 2" xfId="33969"/>
    <cellStyle name="Note 4 4 2 5" xfId="25409"/>
    <cellStyle name="Note 4 4 2 5 2" xfId="34178"/>
    <cellStyle name="Note 4 4 2 6" xfId="1677"/>
    <cellStyle name="Note 4 4 2 6 2" xfId="32490"/>
    <cellStyle name="Note 4 4 2 7" xfId="2798"/>
    <cellStyle name="Note 4 4 2 7 2" xfId="32658"/>
    <cellStyle name="Note 4 4 2 8" xfId="27897"/>
    <cellStyle name="Note 4 4 2 8 2" xfId="36657"/>
    <cellStyle name="Note 4 4 2 9" xfId="1690"/>
    <cellStyle name="Note 4 4 2 9 2" xfId="32503"/>
    <cellStyle name="Note 4 4 3" xfId="42196"/>
    <cellStyle name="Note 4 5" xfId="2157"/>
    <cellStyle name="Note 4 5 2" xfId="9405"/>
    <cellStyle name="Note 4 5 2 10" xfId="25500"/>
    <cellStyle name="Note 4 5 2 10 2" xfId="34269"/>
    <cellStyle name="Note 4 5 2 11" xfId="26277"/>
    <cellStyle name="Note 4 5 2 11 2" xfId="35043"/>
    <cellStyle name="Note 4 5 2 12" xfId="32791"/>
    <cellStyle name="Note 4 5 2 13" xfId="42199"/>
    <cellStyle name="Note 4 5 2 2" xfId="18272"/>
    <cellStyle name="Note 4 5 2 2 10" xfId="28381"/>
    <cellStyle name="Note 4 5 2 2 10 2" xfId="37139"/>
    <cellStyle name="Note 4 5 2 2 11" xfId="1742"/>
    <cellStyle name="Note 4 5 2 2 11 2" xfId="32551"/>
    <cellStyle name="Note 4 5 2 2 12" xfId="33016"/>
    <cellStyle name="Note 4 5 2 2 2" xfId="24542"/>
    <cellStyle name="Note 4 5 2 2 2 10" xfId="32295"/>
    <cellStyle name="Note 4 5 2 2 2 10 2" xfId="41049"/>
    <cellStyle name="Note 4 5 2 2 2 11" xfId="33370"/>
    <cellStyle name="Note 4 5 2 2 2 2" xfId="29150"/>
    <cellStyle name="Note 4 5 2 2 2 2 2" xfId="37904"/>
    <cellStyle name="Note 4 5 2 2 2 3" xfId="29563"/>
    <cellStyle name="Note 4 5 2 2 2 3 2" xfId="38317"/>
    <cellStyle name="Note 4 5 2 2 2 4" xfId="29983"/>
    <cellStyle name="Note 4 5 2 2 2 4 2" xfId="38737"/>
    <cellStyle name="Note 4 5 2 2 2 5" xfId="30402"/>
    <cellStyle name="Note 4 5 2 2 2 5 2" xfId="39156"/>
    <cellStyle name="Note 4 5 2 2 2 6" xfId="30803"/>
    <cellStyle name="Note 4 5 2 2 2 6 2" xfId="39557"/>
    <cellStyle name="Note 4 5 2 2 2 7" xfId="31189"/>
    <cellStyle name="Note 4 5 2 2 2 7 2" xfId="39943"/>
    <cellStyle name="Note 4 5 2 2 2 8" xfId="31567"/>
    <cellStyle name="Note 4 5 2 2 2 8 2" xfId="40321"/>
    <cellStyle name="Note 4 5 2 2 2 9" xfId="31933"/>
    <cellStyle name="Note 4 5 2 2 2 9 2" xfId="40687"/>
    <cellStyle name="Note 4 5 2 2 3" xfId="27762"/>
    <cellStyle name="Note 4 5 2 2 3 2" xfId="36522"/>
    <cellStyle name="Note 4 5 2 2 4" xfId="26816"/>
    <cellStyle name="Note 4 5 2 2 4 2" xfId="35577"/>
    <cellStyle name="Note 4 5 2 2 5" xfId="27901"/>
    <cellStyle name="Note 4 5 2 2 5 2" xfId="36661"/>
    <cellStyle name="Note 4 5 2 2 6" xfId="27904"/>
    <cellStyle name="Note 4 5 2 2 6 2" xfId="36664"/>
    <cellStyle name="Note 4 5 2 2 7" xfId="27215"/>
    <cellStyle name="Note 4 5 2 2 7 2" xfId="35975"/>
    <cellStyle name="Note 4 5 2 2 8" xfId="1722"/>
    <cellStyle name="Note 4 5 2 2 8 2" xfId="32533"/>
    <cellStyle name="Note 4 5 2 2 9" xfId="25815"/>
    <cellStyle name="Note 4 5 2 2 9 2" xfId="34581"/>
    <cellStyle name="Note 4 5 2 3" xfId="23683"/>
    <cellStyle name="Note 4 5 2 3 10" xfId="27076"/>
    <cellStyle name="Note 4 5 2 3 10 2" xfId="35836"/>
    <cellStyle name="Note 4 5 2 3 11" xfId="25776"/>
    <cellStyle name="Note 4 5 2 3 11 2" xfId="34543"/>
    <cellStyle name="Note 4 5 2 3 12" xfId="33153"/>
    <cellStyle name="Note 4 5 2 3 2" xfId="24738"/>
    <cellStyle name="Note 4 5 2 3 2 10" xfId="32439"/>
    <cellStyle name="Note 4 5 2 3 2 10 2" xfId="41193"/>
    <cellStyle name="Note 4 5 2 3 2 11" xfId="33514"/>
    <cellStyle name="Note 4 5 2 3 2 2" xfId="29303"/>
    <cellStyle name="Note 4 5 2 3 2 2 2" xfId="38057"/>
    <cellStyle name="Note 4 5 2 3 2 3" xfId="29713"/>
    <cellStyle name="Note 4 5 2 3 2 3 2" xfId="38467"/>
    <cellStyle name="Note 4 5 2 3 2 4" xfId="30133"/>
    <cellStyle name="Note 4 5 2 3 2 4 2" xfId="38887"/>
    <cellStyle name="Note 4 5 2 3 2 5" xfId="30549"/>
    <cellStyle name="Note 4 5 2 3 2 5 2" xfId="39303"/>
    <cellStyle name="Note 4 5 2 3 2 6" xfId="30950"/>
    <cellStyle name="Note 4 5 2 3 2 6 2" xfId="39704"/>
    <cellStyle name="Note 4 5 2 3 2 7" xfId="31336"/>
    <cellStyle name="Note 4 5 2 3 2 7 2" xfId="40090"/>
    <cellStyle name="Note 4 5 2 3 2 8" xfId="31712"/>
    <cellStyle name="Note 4 5 2 3 2 8 2" xfId="40466"/>
    <cellStyle name="Note 4 5 2 3 2 9" xfId="32078"/>
    <cellStyle name="Note 4 5 2 3 2 9 2" xfId="40832"/>
    <cellStyle name="Note 4 5 2 3 3" xfId="28799"/>
    <cellStyle name="Note 4 5 2 3 3 2" xfId="37555"/>
    <cellStyle name="Note 4 5 2 3 4" xfId="1648"/>
    <cellStyle name="Note 4 5 2 3 4 2" xfId="32463"/>
    <cellStyle name="Note 4 5 2 3 5" xfId="26195"/>
    <cellStyle name="Note 4 5 2 3 5 2" xfId="34961"/>
    <cellStyle name="Note 4 5 2 3 6" xfId="26759"/>
    <cellStyle name="Note 4 5 2 3 6 2" xfId="35521"/>
    <cellStyle name="Note 4 5 2 3 7" xfId="27041"/>
    <cellStyle name="Note 4 5 2 3 7 2" xfId="35801"/>
    <cellStyle name="Note 4 5 2 3 8" xfId="29383"/>
    <cellStyle name="Note 4 5 2 3 8 2" xfId="38137"/>
    <cellStyle name="Note 4 5 2 3 9" xfId="2874"/>
    <cellStyle name="Note 4 5 2 3 9 2" xfId="32669"/>
    <cellStyle name="Note 4 5 2 4" xfId="25356"/>
    <cellStyle name="Note 4 5 2 4 2" xfId="34125"/>
    <cellStyle name="Note 4 5 2 5" xfId="24808"/>
    <cellStyle name="Note 4 5 2 5 2" xfId="33584"/>
    <cellStyle name="Note 4 5 2 6" xfId="27177"/>
    <cellStyle name="Note 4 5 2 6 2" xfId="35937"/>
    <cellStyle name="Note 4 5 2 7" xfId="28245"/>
    <cellStyle name="Note 4 5 2 7 2" xfId="37004"/>
    <cellStyle name="Note 4 5 2 8" xfId="25424"/>
    <cellStyle name="Note 4 5 2 8 2" xfId="34193"/>
    <cellStyle name="Note 4 5 2 9" xfId="1781"/>
    <cellStyle name="Note 4 5 2 9 2" xfId="32589"/>
    <cellStyle name="Note 4 5 3" xfId="42198"/>
    <cellStyle name="Note 4 6" xfId="1901"/>
    <cellStyle name="Note 4 6 2" xfId="9364"/>
    <cellStyle name="Note 4 6 2 10" xfId="29324"/>
    <cellStyle name="Note 4 6 2 10 2" xfId="38078"/>
    <cellStyle name="Note 4 6 2 11" xfId="25957"/>
    <cellStyle name="Note 4 6 2 11 2" xfId="34723"/>
    <cellStyle name="Note 4 6 2 12" xfId="32786"/>
    <cellStyle name="Note 4 6 2 13" xfId="42201"/>
    <cellStyle name="Note 4 6 2 2" xfId="18267"/>
    <cellStyle name="Note 4 6 2 2 10" xfId="28213"/>
    <cellStyle name="Note 4 6 2 2 10 2" xfId="36972"/>
    <cellStyle name="Note 4 6 2 2 11" xfId="28490"/>
    <cellStyle name="Note 4 6 2 2 11 2" xfId="37246"/>
    <cellStyle name="Note 4 6 2 2 12" xfId="33011"/>
    <cellStyle name="Note 4 6 2 2 2" xfId="24537"/>
    <cellStyle name="Note 4 6 2 2 2 10" xfId="32290"/>
    <cellStyle name="Note 4 6 2 2 2 10 2" xfId="41044"/>
    <cellStyle name="Note 4 6 2 2 2 11" xfId="33365"/>
    <cellStyle name="Note 4 6 2 2 2 2" xfId="29145"/>
    <cellStyle name="Note 4 6 2 2 2 2 2" xfId="37899"/>
    <cellStyle name="Note 4 6 2 2 2 3" xfId="29558"/>
    <cellStyle name="Note 4 6 2 2 2 3 2" xfId="38312"/>
    <cellStyle name="Note 4 6 2 2 2 4" xfId="29978"/>
    <cellStyle name="Note 4 6 2 2 2 4 2" xfId="38732"/>
    <cellStyle name="Note 4 6 2 2 2 5" xfId="30397"/>
    <cellStyle name="Note 4 6 2 2 2 5 2" xfId="39151"/>
    <cellStyle name="Note 4 6 2 2 2 6" xfId="30798"/>
    <cellStyle name="Note 4 6 2 2 2 6 2" xfId="39552"/>
    <cellStyle name="Note 4 6 2 2 2 7" xfId="31184"/>
    <cellStyle name="Note 4 6 2 2 2 7 2" xfId="39938"/>
    <cellStyle name="Note 4 6 2 2 2 8" xfId="31562"/>
    <cellStyle name="Note 4 6 2 2 2 8 2" xfId="40316"/>
    <cellStyle name="Note 4 6 2 2 2 9" xfId="31928"/>
    <cellStyle name="Note 4 6 2 2 2 9 2" xfId="40682"/>
    <cellStyle name="Note 4 6 2 2 3" xfId="27757"/>
    <cellStyle name="Note 4 6 2 2 3 2" xfId="36517"/>
    <cellStyle name="Note 4 6 2 2 4" xfId="28623"/>
    <cellStyle name="Note 4 6 2 2 4 2" xfId="37379"/>
    <cellStyle name="Note 4 6 2 2 5" xfId="28850"/>
    <cellStyle name="Note 4 6 2 2 5 2" xfId="37606"/>
    <cellStyle name="Note 4 6 2 2 6" xfId="25489"/>
    <cellStyle name="Note 4 6 2 2 6 2" xfId="34258"/>
    <cellStyle name="Note 4 6 2 2 7" xfId="27258"/>
    <cellStyle name="Note 4 6 2 2 7 2" xfId="36018"/>
    <cellStyle name="Note 4 6 2 2 8" xfId="25589"/>
    <cellStyle name="Note 4 6 2 2 8 2" xfId="34356"/>
    <cellStyle name="Note 4 6 2 2 9" xfId="27451"/>
    <cellStyle name="Note 4 6 2 2 9 2" xfId="36211"/>
    <cellStyle name="Note 4 6 2 3" xfId="23678"/>
    <cellStyle name="Note 4 6 2 3 10" xfId="27097"/>
    <cellStyle name="Note 4 6 2 3 10 2" xfId="35857"/>
    <cellStyle name="Note 4 6 2 3 11" xfId="24971"/>
    <cellStyle name="Note 4 6 2 3 11 2" xfId="33745"/>
    <cellStyle name="Note 4 6 2 3 12" xfId="33148"/>
    <cellStyle name="Note 4 6 2 3 2" xfId="24733"/>
    <cellStyle name="Note 4 6 2 3 2 10" xfId="32434"/>
    <cellStyle name="Note 4 6 2 3 2 10 2" xfId="41188"/>
    <cellStyle name="Note 4 6 2 3 2 11" xfId="33509"/>
    <cellStyle name="Note 4 6 2 3 2 2" xfId="29298"/>
    <cellStyle name="Note 4 6 2 3 2 2 2" xfId="38052"/>
    <cellStyle name="Note 4 6 2 3 2 3" xfId="29708"/>
    <cellStyle name="Note 4 6 2 3 2 3 2" xfId="38462"/>
    <cellStyle name="Note 4 6 2 3 2 4" xfId="30128"/>
    <cellStyle name="Note 4 6 2 3 2 4 2" xfId="38882"/>
    <cellStyle name="Note 4 6 2 3 2 5" xfId="30544"/>
    <cellStyle name="Note 4 6 2 3 2 5 2" xfId="39298"/>
    <cellStyle name="Note 4 6 2 3 2 6" xfId="30945"/>
    <cellStyle name="Note 4 6 2 3 2 6 2" xfId="39699"/>
    <cellStyle name="Note 4 6 2 3 2 7" xfId="31331"/>
    <cellStyle name="Note 4 6 2 3 2 7 2" xfId="40085"/>
    <cellStyle name="Note 4 6 2 3 2 8" xfId="31707"/>
    <cellStyle name="Note 4 6 2 3 2 8 2" xfId="40461"/>
    <cellStyle name="Note 4 6 2 3 2 9" xfId="32073"/>
    <cellStyle name="Note 4 6 2 3 2 9 2" xfId="40827"/>
    <cellStyle name="Note 4 6 2 3 3" xfId="28794"/>
    <cellStyle name="Note 4 6 2 3 3 2" xfId="37550"/>
    <cellStyle name="Note 4 6 2 3 4" xfId="1704"/>
    <cellStyle name="Note 4 6 2 3 4 2" xfId="32516"/>
    <cellStyle name="Note 4 6 2 3 5" xfId="25643"/>
    <cellStyle name="Note 4 6 2 3 5 2" xfId="34410"/>
    <cellStyle name="Note 4 6 2 3 6" xfId="25328"/>
    <cellStyle name="Note 4 6 2 3 6 2" xfId="34097"/>
    <cellStyle name="Note 4 6 2 3 7" xfId="1777"/>
    <cellStyle name="Note 4 6 2 3 7 2" xfId="32585"/>
    <cellStyle name="Note 4 6 2 3 8" xfId="26440"/>
    <cellStyle name="Note 4 6 2 3 8 2" xfId="35205"/>
    <cellStyle name="Note 4 6 2 3 9" xfId="28301"/>
    <cellStyle name="Note 4 6 2 3 9 2" xfId="37060"/>
    <cellStyle name="Note 4 6 2 4" xfId="28224"/>
    <cellStyle name="Note 4 6 2 4 2" xfId="36983"/>
    <cellStyle name="Note 4 6 2 5" xfId="28934"/>
    <cellStyle name="Note 4 6 2 5 2" xfId="37689"/>
    <cellStyle name="Note 4 6 2 6" xfId="27912"/>
    <cellStyle name="Note 4 6 2 6 2" xfId="36672"/>
    <cellStyle name="Note 4 6 2 7" xfId="26828"/>
    <cellStyle name="Note 4 6 2 7 2" xfId="35589"/>
    <cellStyle name="Note 4 6 2 8" xfId="25539"/>
    <cellStyle name="Note 4 6 2 8 2" xfId="34306"/>
    <cellStyle name="Note 4 6 2 9" xfId="26624"/>
    <cellStyle name="Note 4 6 2 9 2" xfId="35389"/>
    <cellStyle name="Note 4 6 3" xfId="42200"/>
    <cellStyle name="Note 4 7" xfId="6083"/>
    <cellStyle name="Note 4 7 2" xfId="18205"/>
    <cellStyle name="Note 4 7 2 10" xfId="28124"/>
    <cellStyle name="Note 4 7 2 10 2" xfId="36883"/>
    <cellStyle name="Note 4 7 2 11" xfId="26556"/>
    <cellStyle name="Note 4 7 2 11 2" xfId="35321"/>
    <cellStyle name="Note 4 7 2 12" xfId="32949"/>
    <cellStyle name="Note 4 7 2 13" xfId="42202"/>
    <cellStyle name="Note 4 7 2 14" xfId="43401"/>
    <cellStyle name="Note 4 7 2 15" xfId="43285"/>
    <cellStyle name="Note 4 7 2 16" xfId="44082"/>
    <cellStyle name="Note 4 7 2 2" xfId="24475"/>
    <cellStyle name="Note 4 7 2 2 10" xfId="32228"/>
    <cellStyle name="Note 4 7 2 2 10 2" xfId="40982"/>
    <cellStyle name="Note 4 7 2 2 11" xfId="33303"/>
    <cellStyle name="Note 4 7 2 2 2" xfId="29083"/>
    <cellStyle name="Note 4 7 2 2 2 2" xfId="37837"/>
    <cellStyle name="Note 4 7 2 2 3" xfId="29496"/>
    <cellStyle name="Note 4 7 2 2 3 2" xfId="38250"/>
    <cellStyle name="Note 4 7 2 2 4" xfId="29916"/>
    <cellStyle name="Note 4 7 2 2 4 2" xfId="38670"/>
    <cellStyle name="Note 4 7 2 2 5" xfId="30335"/>
    <cellStyle name="Note 4 7 2 2 5 2" xfId="39089"/>
    <cellStyle name="Note 4 7 2 2 6" xfId="30736"/>
    <cellStyle name="Note 4 7 2 2 6 2" xfId="39490"/>
    <cellStyle name="Note 4 7 2 2 7" xfId="31122"/>
    <cellStyle name="Note 4 7 2 2 7 2" xfId="39876"/>
    <cellStyle name="Note 4 7 2 2 8" xfId="31500"/>
    <cellStyle name="Note 4 7 2 2 8 2" xfId="40254"/>
    <cellStyle name="Note 4 7 2 2 9" xfId="31866"/>
    <cellStyle name="Note 4 7 2 2 9 2" xfId="40620"/>
    <cellStyle name="Note 4 7 2 3" xfId="27695"/>
    <cellStyle name="Note 4 7 2 3 2" xfId="36455"/>
    <cellStyle name="Note 4 7 2 4" xfId="28565"/>
    <cellStyle name="Note 4 7 2 4 2" xfId="37321"/>
    <cellStyle name="Note 4 7 2 5" xfId="28541"/>
    <cellStyle name="Note 4 7 2 5 2" xfId="37297"/>
    <cellStyle name="Note 4 7 2 6" xfId="28628"/>
    <cellStyle name="Note 4 7 2 6 2" xfId="37384"/>
    <cellStyle name="Note 4 7 2 7" xfId="26459"/>
    <cellStyle name="Note 4 7 2 7 2" xfId="35224"/>
    <cellStyle name="Note 4 7 2 8" xfId="25792"/>
    <cellStyle name="Note 4 7 2 8 2" xfId="34559"/>
    <cellStyle name="Note 4 7 2 9" xfId="25924"/>
    <cellStyle name="Note 4 7 2 9 2" xfId="34690"/>
    <cellStyle name="Note 4 7 3" xfId="23647"/>
    <cellStyle name="Note 4 7 3 10" xfId="25806"/>
    <cellStyle name="Note 4 7 3 10 2" xfId="34573"/>
    <cellStyle name="Note 4 7 3 11" xfId="28867"/>
    <cellStyle name="Note 4 7 3 11 2" xfId="37623"/>
    <cellStyle name="Note 4 7 3 12" xfId="33117"/>
    <cellStyle name="Note 4 7 3 2" xfId="24702"/>
    <cellStyle name="Note 4 7 3 2 10" xfId="32403"/>
    <cellStyle name="Note 4 7 3 2 10 2" xfId="41157"/>
    <cellStyle name="Note 4 7 3 2 11" xfId="33478"/>
    <cellStyle name="Note 4 7 3 2 2" xfId="29267"/>
    <cellStyle name="Note 4 7 3 2 2 2" xfId="38021"/>
    <cellStyle name="Note 4 7 3 2 3" xfId="29677"/>
    <cellStyle name="Note 4 7 3 2 3 2" xfId="38431"/>
    <cellStyle name="Note 4 7 3 2 4" xfId="30097"/>
    <cellStyle name="Note 4 7 3 2 4 2" xfId="38851"/>
    <cellStyle name="Note 4 7 3 2 5" xfId="30513"/>
    <cellStyle name="Note 4 7 3 2 5 2" xfId="39267"/>
    <cellStyle name="Note 4 7 3 2 6" xfId="30914"/>
    <cellStyle name="Note 4 7 3 2 6 2" xfId="39668"/>
    <cellStyle name="Note 4 7 3 2 7" xfId="31300"/>
    <cellStyle name="Note 4 7 3 2 7 2" xfId="40054"/>
    <cellStyle name="Note 4 7 3 2 8" xfId="31676"/>
    <cellStyle name="Note 4 7 3 2 8 2" xfId="40430"/>
    <cellStyle name="Note 4 7 3 2 9" xfId="32042"/>
    <cellStyle name="Note 4 7 3 2 9 2" xfId="40796"/>
    <cellStyle name="Note 4 7 3 3" xfId="28763"/>
    <cellStyle name="Note 4 7 3 3 2" xfId="37519"/>
    <cellStyle name="Note 4 7 3 4" xfId="24799"/>
    <cellStyle name="Note 4 7 3 4 2" xfId="33575"/>
    <cellStyle name="Note 4 7 3 5" xfId="28054"/>
    <cellStyle name="Note 4 7 3 5 2" xfId="36813"/>
    <cellStyle name="Note 4 7 3 6" xfId="26858"/>
    <cellStyle name="Note 4 7 3 6 2" xfId="35619"/>
    <cellStyle name="Note 4 7 3 7" xfId="25259"/>
    <cellStyle name="Note 4 7 3 7 2" xfId="34029"/>
    <cellStyle name="Note 4 7 3 8" xfId="27165"/>
    <cellStyle name="Note 4 7 3 8 2" xfId="35925"/>
    <cellStyle name="Note 4 7 3 9" xfId="28454"/>
    <cellStyle name="Note 4 7 3 9 2" xfId="37211"/>
    <cellStyle name="Note 4 7 4" xfId="24396"/>
    <cellStyle name="Note 4 7 4 10" xfId="32163"/>
    <cellStyle name="Note 4 7 4 10 2" xfId="40917"/>
    <cellStyle name="Note 4 7 4 11" xfId="33238"/>
    <cellStyle name="Note 4 7 4 2" xfId="29016"/>
    <cellStyle name="Note 4 7 4 2 2" xfId="37770"/>
    <cellStyle name="Note 4 7 4 3" xfId="29430"/>
    <cellStyle name="Note 4 7 4 3 2" xfId="38184"/>
    <cellStyle name="Note 4 7 4 4" xfId="29851"/>
    <cellStyle name="Note 4 7 4 4 2" xfId="38605"/>
    <cellStyle name="Note 4 7 4 5" xfId="30266"/>
    <cellStyle name="Note 4 7 4 5 2" xfId="39020"/>
    <cellStyle name="Note 4 7 4 6" xfId="30667"/>
    <cellStyle name="Note 4 7 4 6 2" xfId="39421"/>
    <cellStyle name="Note 4 7 4 7" xfId="31054"/>
    <cellStyle name="Note 4 7 4 7 2" xfId="39808"/>
    <cellStyle name="Note 4 7 4 8" xfId="31433"/>
    <cellStyle name="Note 4 7 4 8 2" xfId="40187"/>
    <cellStyle name="Note 4 7 4 9" xfId="31801"/>
    <cellStyle name="Note 4 7 4 9 2" xfId="40555"/>
    <cellStyle name="Note 4 7 5" xfId="32745"/>
    <cellStyle name="Note 4 8" xfId="42203"/>
    <cellStyle name="Note 4 8 2" xfId="43402"/>
    <cellStyle name="Note 4 8 3" xfId="43284"/>
    <cellStyle name="Note 4 8 4" xfId="44086"/>
    <cellStyle name="Note 4 9" xfId="43144"/>
    <cellStyle name="Note 5" xfId="731"/>
    <cellStyle name="Note 5 2" xfId="2302"/>
    <cellStyle name="Note 5 2 2" xfId="6086"/>
    <cellStyle name="Note 5 2 2 10" xfId="24932"/>
    <cellStyle name="Note 5 2 2 10 2" xfId="33706"/>
    <cellStyle name="Note 5 2 2 11" xfId="26476"/>
    <cellStyle name="Note 5 2 2 11 2" xfId="35241"/>
    <cellStyle name="Note 5 2 2 12" xfId="32748"/>
    <cellStyle name="Note 5 2 2 13" xfId="42206"/>
    <cellStyle name="Note 5 2 2 2" xfId="18208"/>
    <cellStyle name="Note 5 2 2 2 10" xfId="27396"/>
    <cellStyle name="Note 5 2 2 2 10 2" xfId="36156"/>
    <cellStyle name="Note 5 2 2 2 11" xfId="25239"/>
    <cellStyle name="Note 5 2 2 2 11 2" xfId="34009"/>
    <cellStyle name="Note 5 2 2 2 12" xfId="32952"/>
    <cellStyle name="Note 5 2 2 2 2" xfId="24478"/>
    <cellStyle name="Note 5 2 2 2 2 10" xfId="32231"/>
    <cellStyle name="Note 5 2 2 2 2 10 2" xfId="40985"/>
    <cellStyle name="Note 5 2 2 2 2 11" xfId="33306"/>
    <cellStyle name="Note 5 2 2 2 2 2" xfId="29086"/>
    <cellStyle name="Note 5 2 2 2 2 2 2" xfId="37840"/>
    <cellStyle name="Note 5 2 2 2 2 3" xfId="29499"/>
    <cellStyle name="Note 5 2 2 2 2 3 2" xfId="38253"/>
    <cellStyle name="Note 5 2 2 2 2 4" xfId="29919"/>
    <cellStyle name="Note 5 2 2 2 2 4 2" xfId="38673"/>
    <cellStyle name="Note 5 2 2 2 2 5" xfId="30338"/>
    <cellStyle name="Note 5 2 2 2 2 5 2" xfId="39092"/>
    <cellStyle name="Note 5 2 2 2 2 6" xfId="30739"/>
    <cellStyle name="Note 5 2 2 2 2 6 2" xfId="39493"/>
    <cellStyle name="Note 5 2 2 2 2 7" xfId="31125"/>
    <cellStyle name="Note 5 2 2 2 2 7 2" xfId="39879"/>
    <cellStyle name="Note 5 2 2 2 2 8" xfId="31503"/>
    <cellStyle name="Note 5 2 2 2 2 8 2" xfId="40257"/>
    <cellStyle name="Note 5 2 2 2 2 9" xfId="31869"/>
    <cellStyle name="Note 5 2 2 2 2 9 2" xfId="40623"/>
    <cellStyle name="Note 5 2 2 2 3" xfId="27698"/>
    <cellStyle name="Note 5 2 2 2 3 2" xfId="36458"/>
    <cellStyle name="Note 5 2 2 2 4" xfId="25183"/>
    <cellStyle name="Note 5 2 2 2 4 2" xfId="33954"/>
    <cellStyle name="Note 5 2 2 2 5" xfId="27318"/>
    <cellStyle name="Note 5 2 2 2 5 2" xfId="36078"/>
    <cellStyle name="Note 5 2 2 2 6" xfId="26274"/>
    <cellStyle name="Note 5 2 2 2 6 2" xfId="35040"/>
    <cellStyle name="Note 5 2 2 2 7" xfId="25325"/>
    <cellStyle name="Note 5 2 2 2 7 2" xfId="34094"/>
    <cellStyle name="Note 5 2 2 2 8" xfId="26787"/>
    <cellStyle name="Note 5 2 2 2 8 2" xfId="35549"/>
    <cellStyle name="Note 5 2 2 2 9" xfId="25168"/>
    <cellStyle name="Note 5 2 2 2 9 2" xfId="33939"/>
    <cellStyle name="Note 5 2 2 3" xfId="23650"/>
    <cellStyle name="Note 5 2 2 3 10" xfId="26520"/>
    <cellStyle name="Note 5 2 2 3 10 2" xfId="35285"/>
    <cellStyle name="Note 5 2 2 3 11" xfId="25537"/>
    <cellStyle name="Note 5 2 2 3 11 2" xfId="34304"/>
    <cellStyle name="Note 5 2 2 3 12" xfId="33120"/>
    <cellStyle name="Note 5 2 2 3 2" xfId="24705"/>
    <cellStyle name="Note 5 2 2 3 2 10" xfId="32406"/>
    <cellStyle name="Note 5 2 2 3 2 10 2" xfId="41160"/>
    <cellStyle name="Note 5 2 2 3 2 11" xfId="33481"/>
    <cellStyle name="Note 5 2 2 3 2 2" xfId="29270"/>
    <cellStyle name="Note 5 2 2 3 2 2 2" xfId="38024"/>
    <cellStyle name="Note 5 2 2 3 2 3" xfId="29680"/>
    <cellStyle name="Note 5 2 2 3 2 3 2" xfId="38434"/>
    <cellStyle name="Note 5 2 2 3 2 4" xfId="30100"/>
    <cellStyle name="Note 5 2 2 3 2 4 2" xfId="38854"/>
    <cellStyle name="Note 5 2 2 3 2 5" xfId="30516"/>
    <cellStyle name="Note 5 2 2 3 2 5 2" xfId="39270"/>
    <cellStyle name="Note 5 2 2 3 2 6" xfId="30917"/>
    <cellStyle name="Note 5 2 2 3 2 6 2" xfId="39671"/>
    <cellStyle name="Note 5 2 2 3 2 7" xfId="31303"/>
    <cellStyle name="Note 5 2 2 3 2 7 2" xfId="40057"/>
    <cellStyle name="Note 5 2 2 3 2 8" xfId="31679"/>
    <cellStyle name="Note 5 2 2 3 2 8 2" xfId="40433"/>
    <cellStyle name="Note 5 2 2 3 2 9" xfId="32045"/>
    <cellStyle name="Note 5 2 2 3 2 9 2" xfId="40799"/>
    <cellStyle name="Note 5 2 2 3 3" xfId="28766"/>
    <cellStyle name="Note 5 2 2 3 3 2" xfId="37522"/>
    <cellStyle name="Note 5 2 2 3 4" xfId="28871"/>
    <cellStyle name="Note 5 2 2 3 4 2" xfId="37627"/>
    <cellStyle name="Note 5 2 2 3 5" xfId="24846"/>
    <cellStyle name="Note 5 2 2 3 5 2" xfId="33620"/>
    <cellStyle name="Note 5 2 2 3 6" xfId="28180"/>
    <cellStyle name="Note 5 2 2 3 6 2" xfId="36939"/>
    <cellStyle name="Note 5 2 2 3 7" xfId="26182"/>
    <cellStyle name="Note 5 2 2 3 7 2" xfId="34948"/>
    <cellStyle name="Note 5 2 2 3 8" xfId="26785"/>
    <cellStyle name="Note 5 2 2 3 8 2" xfId="35547"/>
    <cellStyle name="Note 5 2 2 3 9" xfId="25506"/>
    <cellStyle name="Note 5 2 2 3 9 2" xfId="34275"/>
    <cellStyle name="Note 5 2 2 4" xfId="26525"/>
    <cellStyle name="Note 5 2 2 4 2" xfId="35290"/>
    <cellStyle name="Note 5 2 2 5" xfId="27593"/>
    <cellStyle name="Note 5 2 2 5 2" xfId="36353"/>
    <cellStyle name="Note 5 2 2 6" xfId="27972"/>
    <cellStyle name="Note 5 2 2 6 2" xfId="36732"/>
    <cellStyle name="Note 5 2 2 7" xfId="1763"/>
    <cellStyle name="Note 5 2 2 7 2" xfId="32571"/>
    <cellStyle name="Note 5 2 2 8" xfId="25723"/>
    <cellStyle name="Note 5 2 2 8 2" xfId="34490"/>
    <cellStyle name="Note 5 2 2 9" xfId="25358"/>
    <cellStyle name="Note 5 2 2 9 2" xfId="34127"/>
    <cellStyle name="Note 5 2 3" xfId="42205"/>
    <cellStyle name="Note 5 3" xfId="6087"/>
    <cellStyle name="Note 5 3 10" xfId="26076"/>
    <cellStyle name="Note 5 3 10 2" xfId="34842"/>
    <cellStyle name="Note 5 3 11" xfId="26866"/>
    <cellStyle name="Note 5 3 11 2" xfId="35627"/>
    <cellStyle name="Note 5 3 12" xfId="32749"/>
    <cellStyle name="Note 5 3 13" xfId="42207"/>
    <cellStyle name="Note 5 3 2" xfId="18209"/>
    <cellStyle name="Note 5 3 2 10" xfId="26050"/>
    <cellStyle name="Note 5 3 2 10 2" xfId="34816"/>
    <cellStyle name="Note 5 3 2 11" xfId="28107"/>
    <cellStyle name="Note 5 3 2 11 2" xfId="36866"/>
    <cellStyle name="Note 5 3 2 12" xfId="32953"/>
    <cellStyle name="Note 5 3 2 2" xfId="24479"/>
    <cellStyle name="Note 5 3 2 2 10" xfId="32232"/>
    <cellStyle name="Note 5 3 2 2 10 2" xfId="40986"/>
    <cellStyle name="Note 5 3 2 2 11" xfId="33307"/>
    <cellStyle name="Note 5 3 2 2 2" xfId="29087"/>
    <cellStyle name="Note 5 3 2 2 2 2" xfId="37841"/>
    <cellStyle name="Note 5 3 2 2 3" xfId="29500"/>
    <cellStyle name="Note 5 3 2 2 3 2" xfId="38254"/>
    <cellStyle name="Note 5 3 2 2 4" xfId="29920"/>
    <cellStyle name="Note 5 3 2 2 4 2" xfId="38674"/>
    <cellStyle name="Note 5 3 2 2 5" xfId="30339"/>
    <cellStyle name="Note 5 3 2 2 5 2" xfId="39093"/>
    <cellStyle name="Note 5 3 2 2 6" xfId="30740"/>
    <cellStyle name="Note 5 3 2 2 6 2" xfId="39494"/>
    <cellStyle name="Note 5 3 2 2 7" xfId="31126"/>
    <cellStyle name="Note 5 3 2 2 7 2" xfId="39880"/>
    <cellStyle name="Note 5 3 2 2 8" xfId="31504"/>
    <cellStyle name="Note 5 3 2 2 8 2" xfId="40258"/>
    <cellStyle name="Note 5 3 2 2 9" xfId="31870"/>
    <cellStyle name="Note 5 3 2 2 9 2" xfId="40624"/>
    <cellStyle name="Note 5 3 2 3" xfId="27699"/>
    <cellStyle name="Note 5 3 2 3 2" xfId="36459"/>
    <cellStyle name="Note 5 3 2 4" xfId="26278"/>
    <cellStyle name="Note 5 3 2 4 2" xfId="35044"/>
    <cellStyle name="Note 5 3 2 5" xfId="26114"/>
    <cellStyle name="Note 5 3 2 5 2" xfId="34880"/>
    <cellStyle name="Note 5 3 2 6" xfId="27830"/>
    <cellStyle name="Note 5 3 2 6 2" xfId="36590"/>
    <cellStyle name="Note 5 3 2 7" xfId="26491"/>
    <cellStyle name="Note 5 3 2 7 2" xfId="35256"/>
    <cellStyle name="Note 5 3 2 8" xfId="26936"/>
    <cellStyle name="Note 5 3 2 8 2" xfId="35696"/>
    <cellStyle name="Note 5 3 2 9" xfId="24876"/>
    <cellStyle name="Note 5 3 2 9 2" xfId="33650"/>
    <cellStyle name="Note 5 3 3" xfId="23651"/>
    <cellStyle name="Note 5 3 3 10" xfId="25374"/>
    <cellStyle name="Note 5 3 3 10 2" xfId="34143"/>
    <cellStyle name="Note 5 3 3 11" xfId="27081"/>
    <cellStyle name="Note 5 3 3 11 2" xfId="35841"/>
    <cellStyle name="Note 5 3 3 12" xfId="33121"/>
    <cellStyle name="Note 5 3 3 2" xfId="24706"/>
    <cellStyle name="Note 5 3 3 2 10" xfId="32407"/>
    <cellStyle name="Note 5 3 3 2 10 2" xfId="41161"/>
    <cellStyle name="Note 5 3 3 2 11" xfId="33482"/>
    <cellStyle name="Note 5 3 3 2 2" xfId="29271"/>
    <cellStyle name="Note 5 3 3 2 2 2" xfId="38025"/>
    <cellStyle name="Note 5 3 3 2 3" xfId="29681"/>
    <cellStyle name="Note 5 3 3 2 3 2" xfId="38435"/>
    <cellStyle name="Note 5 3 3 2 4" xfId="30101"/>
    <cellStyle name="Note 5 3 3 2 4 2" xfId="38855"/>
    <cellStyle name="Note 5 3 3 2 5" xfId="30517"/>
    <cellStyle name="Note 5 3 3 2 5 2" xfId="39271"/>
    <cellStyle name="Note 5 3 3 2 6" xfId="30918"/>
    <cellStyle name="Note 5 3 3 2 6 2" xfId="39672"/>
    <cellStyle name="Note 5 3 3 2 7" xfId="31304"/>
    <cellStyle name="Note 5 3 3 2 7 2" xfId="40058"/>
    <cellStyle name="Note 5 3 3 2 8" xfId="31680"/>
    <cellStyle name="Note 5 3 3 2 8 2" xfId="40434"/>
    <cellStyle name="Note 5 3 3 2 9" xfId="32046"/>
    <cellStyle name="Note 5 3 3 2 9 2" xfId="40800"/>
    <cellStyle name="Note 5 3 3 3" xfId="28767"/>
    <cellStyle name="Note 5 3 3 3 2" xfId="37523"/>
    <cellStyle name="Note 5 3 3 4" xfId="25064"/>
    <cellStyle name="Note 5 3 3 4 2" xfId="33838"/>
    <cellStyle name="Note 5 3 3 5" xfId="24839"/>
    <cellStyle name="Note 5 3 3 5 2" xfId="33613"/>
    <cellStyle name="Note 5 3 3 6" xfId="28378"/>
    <cellStyle name="Note 5 3 3 6 2" xfId="37136"/>
    <cellStyle name="Note 5 3 3 7" xfId="28406"/>
    <cellStyle name="Note 5 3 3 7 2" xfId="37163"/>
    <cellStyle name="Note 5 3 3 8" xfId="25269"/>
    <cellStyle name="Note 5 3 3 8 2" xfId="34039"/>
    <cellStyle name="Note 5 3 3 9" xfId="28341"/>
    <cellStyle name="Note 5 3 3 9 2" xfId="37100"/>
    <cellStyle name="Note 5 3 4" xfId="28115"/>
    <cellStyle name="Note 5 3 4 2" xfId="36874"/>
    <cellStyle name="Note 5 3 5" xfId="25377"/>
    <cellStyle name="Note 5 3 5 2" xfId="34146"/>
    <cellStyle name="Note 5 3 6" xfId="28536"/>
    <cellStyle name="Note 5 3 6 2" xfId="37292"/>
    <cellStyle name="Note 5 3 7" xfId="28127"/>
    <cellStyle name="Note 5 3 7 2" xfId="36886"/>
    <cellStyle name="Note 5 3 8" xfId="28223"/>
    <cellStyle name="Note 5 3 8 2" xfId="36982"/>
    <cellStyle name="Note 5 3 9" xfId="28543"/>
    <cellStyle name="Note 5 3 9 2" xfId="37299"/>
    <cellStyle name="Note 5 4" xfId="6085"/>
    <cellStyle name="Note 5 4 10" xfId="24868"/>
    <cellStyle name="Note 5 4 10 2" xfId="33642"/>
    <cellStyle name="Note 5 4 11" xfId="26387"/>
    <cellStyle name="Note 5 4 11 2" xfId="35153"/>
    <cellStyle name="Note 5 4 12" xfId="32747"/>
    <cellStyle name="Note 5 4 13" xfId="43158"/>
    <cellStyle name="Note 5 4 2" xfId="18207"/>
    <cellStyle name="Note 5 4 2 10" xfId="26045"/>
    <cellStyle name="Note 5 4 2 10 2" xfId="34811"/>
    <cellStyle name="Note 5 4 2 11" xfId="25299"/>
    <cellStyle name="Note 5 4 2 11 2" xfId="34069"/>
    <cellStyle name="Note 5 4 2 12" xfId="32951"/>
    <cellStyle name="Note 5 4 2 2" xfId="24477"/>
    <cellStyle name="Note 5 4 2 2 10" xfId="32230"/>
    <cellStyle name="Note 5 4 2 2 10 2" xfId="40984"/>
    <cellStyle name="Note 5 4 2 2 11" xfId="33305"/>
    <cellStyle name="Note 5 4 2 2 2" xfId="29085"/>
    <cellStyle name="Note 5 4 2 2 2 2" xfId="37839"/>
    <cellStyle name="Note 5 4 2 2 3" xfId="29498"/>
    <cellStyle name="Note 5 4 2 2 3 2" xfId="38252"/>
    <cellStyle name="Note 5 4 2 2 4" xfId="29918"/>
    <cellStyle name="Note 5 4 2 2 4 2" xfId="38672"/>
    <cellStyle name="Note 5 4 2 2 5" xfId="30337"/>
    <cellStyle name="Note 5 4 2 2 5 2" xfId="39091"/>
    <cellStyle name="Note 5 4 2 2 6" xfId="30738"/>
    <cellStyle name="Note 5 4 2 2 6 2" xfId="39492"/>
    <cellStyle name="Note 5 4 2 2 7" xfId="31124"/>
    <cellStyle name="Note 5 4 2 2 7 2" xfId="39878"/>
    <cellStyle name="Note 5 4 2 2 8" xfId="31502"/>
    <cellStyle name="Note 5 4 2 2 8 2" xfId="40256"/>
    <cellStyle name="Note 5 4 2 2 9" xfId="31868"/>
    <cellStyle name="Note 5 4 2 2 9 2" xfId="40622"/>
    <cellStyle name="Note 5 4 2 3" xfId="27697"/>
    <cellStyle name="Note 5 4 2 3 2" xfId="36457"/>
    <cellStyle name="Note 5 4 2 4" xfId="25184"/>
    <cellStyle name="Note 5 4 2 4 2" xfId="33955"/>
    <cellStyle name="Note 5 4 2 5" xfId="27872"/>
    <cellStyle name="Note 5 4 2 5 2" xfId="36632"/>
    <cellStyle name="Note 5 4 2 6" xfId="27274"/>
    <cellStyle name="Note 5 4 2 6 2" xfId="36034"/>
    <cellStyle name="Note 5 4 2 7" xfId="28369"/>
    <cellStyle name="Note 5 4 2 7 2" xfId="37127"/>
    <cellStyle name="Note 5 4 2 8" xfId="25420"/>
    <cellStyle name="Note 5 4 2 8 2" xfId="34189"/>
    <cellStyle name="Note 5 4 2 9" xfId="24791"/>
    <cellStyle name="Note 5 4 2 9 2" xfId="33567"/>
    <cellStyle name="Note 5 4 3" xfId="23649"/>
    <cellStyle name="Note 5 4 3 10" xfId="26990"/>
    <cellStyle name="Note 5 4 3 10 2" xfId="35750"/>
    <cellStyle name="Note 5 4 3 11" xfId="28617"/>
    <cellStyle name="Note 5 4 3 11 2" xfId="37373"/>
    <cellStyle name="Note 5 4 3 12" xfId="33119"/>
    <cellStyle name="Note 5 4 3 2" xfId="24704"/>
    <cellStyle name="Note 5 4 3 2 10" xfId="32405"/>
    <cellStyle name="Note 5 4 3 2 10 2" xfId="41159"/>
    <cellStyle name="Note 5 4 3 2 11" xfId="33480"/>
    <cellStyle name="Note 5 4 3 2 2" xfId="29269"/>
    <cellStyle name="Note 5 4 3 2 2 2" xfId="38023"/>
    <cellStyle name="Note 5 4 3 2 3" xfId="29679"/>
    <cellStyle name="Note 5 4 3 2 3 2" xfId="38433"/>
    <cellStyle name="Note 5 4 3 2 4" xfId="30099"/>
    <cellStyle name="Note 5 4 3 2 4 2" xfId="38853"/>
    <cellStyle name="Note 5 4 3 2 5" xfId="30515"/>
    <cellStyle name="Note 5 4 3 2 5 2" xfId="39269"/>
    <cellStyle name="Note 5 4 3 2 6" xfId="30916"/>
    <cellStyle name="Note 5 4 3 2 6 2" xfId="39670"/>
    <cellStyle name="Note 5 4 3 2 7" xfId="31302"/>
    <cellStyle name="Note 5 4 3 2 7 2" xfId="40056"/>
    <cellStyle name="Note 5 4 3 2 8" xfId="31678"/>
    <cellStyle name="Note 5 4 3 2 8 2" xfId="40432"/>
    <cellStyle name="Note 5 4 3 2 9" xfId="32044"/>
    <cellStyle name="Note 5 4 3 2 9 2" xfId="40798"/>
    <cellStyle name="Note 5 4 3 3" xfId="28765"/>
    <cellStyle name="Note 5 4 3 3 2" xfId="37521"/>
    <cellStyle name="Note 5 4 3 4" xfId="24813"/>
    <cellStyle name="Note 5 4 3 4 2" xfId="33589"/>
    <cellStyle name="Note 5 4 3 5" xfId="24838"/>
    <cellStyle name="Note 5 4 3 5 2" xfId="33612"/>
    <cellStyle name="Note 5 4 3 6" xfId="25995"/>
    <cellStyle name="Note 5 4 3 6 2" xfId="34761"/>
    <cellStyle name="Note 5 4 3 7" xfId="26842"/>
    <cellStyle name="Note 5 4 3 7 2" xfId="35603"/>
    <cellStyle name="Note 5 4 3 8" xfId="28046"/>
    <cellStyle name="Note 5 4 3 8 2" xfId="36805"/>
    <cellStyle name="Note 5 4 3 9" xfId="28359"/>
    <cellStyle name="Note 5 4 3 9 2" xfId="37118"/>
    <cellStyle name="Note 5 4 4" xfId="25846"/>
    <cellStyle name="Note 5 4 4 2" xfId="34612"/>
    <cellStyle name="Note 5 4 5" xfId="24772"/>
    <cellStyle name="Note 5 4 5 2" xfId="33548"/>
    <cellStyle name="Note 5 4 6" xfId="26754"/>
    <cellStyle name="Note 5 4 6 2" xfId="35516"/>
    <cellStyle name="Note 5 4 7" xfId="28048"/>
    <cellStyle name="Note 5 4 7 2" xfId="36807"/>
    <cellStyle name="Note 5 4 8" xfId="26683"/>
    <cellStyle name="Note 5 4 8 2" xfId="35447"/>
    <cellStyle name="Note 5 4 9" xfId="27873"/>
    <cellStyle name="Note 5 4 9 2" xfId="36633"/>
    <cellStyle name="Note 5 5" xfId="42204"/>
    <cellStyle name="Note 6" xfId="659"/>
    <cellStyle name="Note 6 2" xfId="1293"/>
    <cellStyle name="Note 6 2 2" xfId="9466"/>
    <cellStyle name="Note 6 2 2 10" xfId="2029"/>
    <cellStyle name="Note 6 2 2 10 2" xfId="32623"/>
    <cellStyle name="Note 6 2 2 11" xfId="24917"/>
    <cellStyle name="Note 6 2 2 11 2" xfId="33691"/>
    <cellStyle name="Note 6 2 2 12" xfId="32808"/>
    <cellStyle name="Note 6 2 2 13" xfId="42210"/>
    <cellStyle name="Note 6 2 2 2" xfId="18289"/>
    <cellStyle name="Note 6 2 2 2 10" xfId="27569"/>
    <cellStyle name="Note 6 2 2 2 10 2" xfId="36329"/>
    <cellStyle name="Note 6 2 2 2 11" xfId="30187"/>
    <cellStyle name="Note 6 2 2 2 11 2" xfId="38941"/>
    <cellStyle name="Note 6 2 2 2 12" xfId="33033"/>
    <cellStyle name="Note 6 2 2 2 2" xfId="24559"/>
    <cellStyle name="Note 6 2 2 2 2 10" xfId="32312"/>
    <cellStyle name="Note 6 2 2 2 2 10 2" xfId="41066"/>
    <cellStyle name="Note 6 2 2 2 2 11" xfId="33387"/>
    <cellStyle name="Note 6 2 2 2 2 2" xfId="29167"/>
    <cellStyle name="Note 6 2 2 2 2 2 2" xfId="37921"/>
    <cellStyle name="Note 6 2 2 2 2 3" xfId="29580"/>
    <cellStyle name="Note 6 2 2 2 2 3 2" xfId="38334"/>
    <cellStyle name="Note 6 2 2 2 2 4" xfId="30000"/>
    <cellStyle name="Note 6 2 2 2 2 4 2" xfId="38754"/>
    <cellStyle name="Note 6 2 2 2 2 5" xfId="30419"/>
    <cellStyle name="Note 6 2 2 2 2 5 2" xfId="39173"/>
    <cellStyle name="Note 6 2 2 2 2 6" xfId="30820"/>
    <cellStyle name="Note 6 2 2 2 2 6 2" xfId="39574"/>
    <cellStyle name="Note 6 2 2 2 2 7" xfId="31206"/>
    <cellStyle name="Note 6 2 2 2 2 7 2" xfId="39960"/>
    <cellStyle name="Note 6 2 2 2 2 8" xfId="31584"/>
    <cellStyle name="Note 6 2 2 2 2 8 2" xfId="40338"/>
    <cellStyle name="Note 6 2 2 2 2 9" xfId="31950"/>
    <cellStyle name="Note 6 2 2 2 2 9 2" xfId="40704"/>
    <cellStyle name="Note 6 2 2 2 3" xfId="27779"/>
    <cellStyle name="Note 6 2 2 2 3 2" xfId="36539"/>
    <cellStyle name="Note 6 2 2 2 4" xfId="25893"/>
    <cellStyle name="Note 6 2 2 2 4 2" xfId="34659"/>
    <cellStyle name="Note 6 2 2 2 5" xfId="27191"/>
    <cellStyle name="Note 6 2 2 2 5 2" xfId="35951"/>
    <cellStyle name="Note 6 2 2 2 6" xfId="26736"/>
    <cellStyle name="Note 6 2 2 2 6 2" xfId="35499"/>
    <cellStyle name="Note 6 2 2 2 7" xfId="26927"/>
    <cellStyle name="Note 6 2 2 2 7 2" xfId="35687"/>
    <cellStyle name="Note 6 2 2 2 8" xfId="25291"/>
    <cellStyle name="Note 6 2 2 2 8 2" xfId="34061"/>
    <cellStyle name="Note 6 2 2 2 9" xfId="26962"/>
    <cellStyle name="Note 6 2 2 2 9 2" xfId="35722"/>
    <cellStyle name="Note 6 2 2 3" xfId="23699"/>
    <cellStyle name="Note 6 2 2 3 10" xfId="25499"/>
    <cellStyle name="Note 6 2 2 3 10 2" xfId="34268"/>
    <cellStyle name="Note 6 2 2 3 11" xfId="1745"/>
    <cellStyle name="Note 6 2 2 3 11 2" xfId="32554"/>
    <cellStyle name="Note 6 2 2 3 12" xfId="33169"/>
    <cellStyle name="Note 6 2 2 3 2" xfId="24754"/>
    <cellStyle name="Note 6 2 2 3 2 10" xfId="32455"/>
    <cellStyle name="Note 6 2 2 3 2 10 2" xfId="41209"/>
    <cellStyle name="Note 6 2 2 3 2 11" xfId="33530"/>
    <cellStyle name="Note 6 2 2 3 2 2" xfId="29319"/>
    <cellStyle name="Note 6 2 2 3 2 2 2" xfId="38073"/>
    <cellStyle name="Note 6 2 2 3 2 3" xfId="29729"/>
    <cellStyle name="Note 6 2 2 3 2 3 2" xfId="38483"/>
    <cellStyle name="Note 6 2 2 3 2 4" xfId="30149"/>
    <cellStyle name="Note 6 2 2 3 2 4 2" xfId="38903"/>
    <cellStyle name="Note 6 2 2 3 2 5" xfId="30565"/>
    <cellStyle name="Note 6 2 2 3 2 5 2" xfId="39319"/>
    <cellStyle name="Note 6 2 2 3 2 6" xfId="30966"/>
    <cellStyle name="Note 6 2 2 3 2 6 2" xfId="39720"/>
    <cellStyle name="Note 6 2 2 3 2 7" xfId="31352"/>
    <cellStyle name="Note 6 2 2 3 2 7 2" xfId="40106"/>
    <cellStyle name="Note 6 2 2 3 2 8" xfId="31728"/>
    <cellStyle name="Note 6 2 2 3 2 8 2" xfId="40482"/>
    <cellStyle name="Note 6 2 2 3 2 9" xfId="32094"/>
    <cellStyle name="Note 6 2 2 3 2 9 2" xfId="40848"/>
    <cellStyle name="Note 6 2 2 3 3" xfId="28815"/>
    <cellStyle name="Note 6 2 2 3 3 2" xfId="37571"/>
    <cellStyle name="Note 6 2 2 3 4" xfId="25050"/>
    <cellStyle name="Note 6 2 2 3 4 2" xfId="33824"/>
    <cellStyle name="Note 6 2 2 3 5" xfId="26329"/>
    <cellStyle name="Note 6 2 2 3 5 2" xfId="35095"/>
    <cellStyle name="Note 6 2 2 3 6" xfId="25363"/>
    <cellStyle name="Note 6 2 2 3 6 2" xfId="34132"/>
    <cellStyle name="Note 6 2 2 3 7" xfId="28182"/>
    <cellStyle name="Note 6 2 2 3 7 2" xfId="36941"/>
    <cellStyle name="Note 6 2 2 3 8" xfId="25389"/>
    <cellStyle name="Note 6 2 2 3 8 2" xfId="34158"/>
    <cellStyle name="Note 6 2 2 3 9" xfId="28041"/>
    <cellStyle name="Note 6 2 2 3 9 2" xfId="36800"/>
    <cellStyle name="Note 6 2 2 4" xfId="27434"/>
    <cellStyle name="Note 6 2 2 4 2" xfId="36194"/>
    <cellStyle name="Note 6 2 2 5" xfId="26095"/>
    <cellStyle name="Note 6 2 2 5 2" xfId="34861"/>
    <cellStyle name="Note 6 2 2 6" xfId="26138"/>
    <cellStyle name="Note 6 2 2 6 2" xfId="34904"/>
    <cellStyle name="Note 6 2 2 7" xfId="25982"/>
    <cellStyle name="Note 6 2 2 7 2" xfId="34748"/>
    <cellStyle name="Note 6 2 2 8" xfId="28066"/>
    <cellStyle name="Note 6 2 2 8 2" xfId="36825"/>
    <cellStyle name="Note 6 2 2 9" xfId="26468"/>
    <cellStyle name="Note 6 2 2 9 2" xfId="35233"/>
    <cellStyle name="Note 6 2 3" xfId="42209"/>
    <cellStyle name="Note 6 3" xfId="2786"/>
    <cellStyle name="Note 6 3 2" xfId="9441"/>
    <cellStyle name="Note 6 3 2 10" xfId="26691"/>
    <cellStyle name="Note 6 3 2 10 2" xfId="35455"/>
    <cellStyle name="Note 6 3 2 11" xfId="25350"/>
    <cellStyle name="Note 6 3 2 11 2" xfId="34119"/>
    <cellStyle name="Note 6 3 2 12" xfId="32792"/>
    <cellStyle name="Note 6 3 2 13" xfId="42212"/>
    <cellStyle name="Note 6 3 2 2" xfId="18273"/>
    <cellStyle name="Note 6 3 2 2 10" xfId="26948"/>
    <cellStyle name="Note 6 3 2 2 10 2" xfId="35708"/>
    <cellStyle name="Note 6 3 2 2 11" xfId="27975"/>
    <cellStyle name="Note 6 3 2 2 11 2" xfId="36735"/>
    <cellStyle name="Note 6 3 2 2 12" xfId="33017"/>
    <cellStyle name="Note 6 3 2 2 2" xfId="24543"/>
    <cellStyle name="Note 6 3 2 2 2 10" xfId="32296"/>
    <cellStyle name="Note 6 3 2 2 2 10 2" xfId="41050"/>
    <cellStyle name="Note 6 3 2 2 2 11" xfId="33371"/>
    <cellStyle name="Note 6 3 2 2 2 2" xfId="29151"/>
    <cellStyle name="Note 6 3 2 2 2 2 2" xfId="37905"/>
    <cellStyle name="Note 6 3 2 2 2 3" xfId="29564"/>
    <cellStyle name="Note 6 3 2 2 2 3 2" xfId="38318"/>
    <cellStyle name="Note 6 3 2 2 2 4" xfId="29984"/>
    <cellStyle name="Note 6 3 2 2 2 4 2" xfId="38738"/>
    <cellStyle name="Note 6 3 2 2 2 5" xfId="30403"/>
    <cellStyle name="Note 6 3 2 2 2 5 2" xfId="39157"/>
    <cellStyle name="Note 6 3 2 2 2 6" xfId="30804"/>
    <cellStyle name="Note 6 3 2 2 2 6 2" xfId="39558"/>
    <cellStyle name="Note 6 3 2 2 2 7" xfId="31190"/>
    <cellStyle name="Note 6 3 2 2 2 7 2" xfId="39944"/>
    <cellStyle name="Note 6 3 2 2 2 8" xfId="31568"/>
    <cellStyle name="Note 6 3 2 2 2 8 2" xfId="40322"/>
    <cellStyle name="Note 6 3 2 2 2 9" xfId="31934"/>
    <cellStyle name="Note 6 3 2 2 2 9 2" xfId="40688"/>
    <cellStyle name="Note 6 3 2 2 3" xfId="27763"/>
    <cellStyle name="Note 6 3 2 2 3 2" xfId="36523"/>
    <cellStyle name="Note 6 3 2 2 4" xfId="27426"/>
    <cellStyle name="Note 6 3 2 2 4 2" xfId="36186"/>
    <cellStyle name="Note 6 3 2 2 5" xfId="27262"/>
    <cellStyle name="Note 6 3 2 2 5 2" xfId="36022"/>
    <cellStyle name="Note 6 3 2 2 6" xfId="26229"/>
    <cellStyle name="Note 6 3 2 2 6 2" xfId="34995"/>
    <cellStyle name="Note 6 3 2 2 7" xfId="24955"/>
    <cellStyle name="Note 6 3 2 2 7 2" xfId="33729"/>
    <cellStyle name="Note 6 3 2 2 8" xfId="28560"/>
    <cellStyle name="Note 6 3 2 2 8 2" xfId="37316"/>
    <cellStyle name="Note 6 3 2 2 9" xfId="26403"/>
    <cellStyle name="Note 6 3 2 2 9 2" xfId="35169"/>
    <cellStyle name="Note 6 3 2 3" xfId="23684"/>
    <cellStyle name="Note 6 3 2 3 10" xfId="30588"/>
    <cellStyle name="Note 6 3 2 3 10 2" xfId="39342"/>
    <cellStyle name="Note 6 3 2 3 11" xfId="30980"/>
    <cellStyle name="Note 6 3 2 3 11 2" xfId="39734"/>
    <cellStyle name="Note 6 3 2 3 12" xfId="33154"/>
    <cellStyle name="Note 6 3 2 3 2" xfId="24739"/>
    <cellStyle name="Note 6 3 2 3 2 10" xfId="32440"/>
    <cellStyle name="Note 6 3 2 3 2 10 2" xfId="41194"/>
    <cellStyle name="Note 6 3 2 3 2 11" xfId="33515"/>
    <cellStyle name="Note 6 3 2 3 2 2" xfId="29304"/>
    <cellStyle name="Note 6 3 2 3 2 2 2" xfId="38058"/>
    <cellStyle name="Note 6 3 2 3 2 3" xfId="29714"/>
    <cellStyle name="Note 6 3 2 3 2 3 2" xfId="38468"/>
    <cellStyle name="Note 6 3 2 3 2 4" xfId="30134"/>
    <cellStyle name="Note 6 3 2 3 2 4 2" xfId="38888"/>
    <cellStyle name="Note 6 3 2 3 2 5" xfId="30550"/>
    <cellStyle name="Note 6 3 2 3 2 5 2" xfId="39304"/>
    <cellStyle name="Note 6 3 2 3 2 6" xfId="30951"/>
    <cellStyle name="Note 6 3 2 3 2 6 2" xfId="39705"/>
    <cellStyle name="Note 6 3 2 3 2 7" xfId="31337"/>
    <cellStyle name="Note 6 3 2 3 2 7 2" xfId="40091"/>
    <cellStyle name="Note 6 3 2 3 2 8" xfId="31713"/>
    <cellStyle name="Note 6 3 2 3 2 8 2" xfId="40467"/>
    <cellStyle name="Note 6 3 2 3 2 9" xfId="32079"/>
    <cellStyle name="Note 6 3 2 3 2 9 2" xfId="40833"/>
    <cellStyle name="Note 6 3 2 3 3" xfId="28800"/>
    <cellStyle name="Note 6 3 2 3 3 2" xfId="37556"/>
    <cellStyle name="Note 6 3 2 3 4" xfId="1773"/>
    <cellStyle name="Note 6 3 2 3 4 2" xfId="32581"/>
    <cellStyle name="Note 6 3 2 3 5" xfId="26048"/>
    <cellStyle name="Note 6 3 2 3 5 2" xfId="34814"/>
    <cellStyle name="Note 6 3 2 3 6" xfId="27507"/>
    <cellStyle name="Note 6 3 2 3 6 2" xfId="36267"/>
    <cellStyle name="Note 6 3 2 3 7" xfId="27428"/>
    <cellStyle name="Note 6 3 2 3 7 2" xfId="36188"/>
    <cellStyle name="Note 6 3 2 3 8" xfId="28410"/>
    <cellStyle name="Note 6 3 2 3 8 2" xfId="37167"/>
    <cellStyle name="Note 6 3 2 3 9" xfId="30184"/>
    <cellStyle name="Note 6 3 2 3 9 2" xfId="38938"/>
    <cellStyle name="Note 6 3 2 4" xfId="25850"/>
    <cellStyle name="Note 6 3 2 4 2" xfId="34616"/>
    <cellStyle name="Note 6 3 2 5" xfId="27887"/>
    <cellStyle name="Note 6 3 2 5 2" xfId="36647"/>
    <cellStyle name="Note 6 3 2 6" xfId="26700"/>
    <cellStyle name="Note 6 3 2 6 2" xfId="35464"/>
    <cellStyle name="Note 6 3 2 7" xfId="26311"/>
    <cellStyle name="Note 6 3 2 7 2" xfId="35077"/>
    <cellStyle name="Note 6 3 2 8" xfId="26692"/>
    <cellStyle name="Note 6 3 2 8 2" xfId="35456"/>
    <cellStyle name="Note 6 3 2 9" xfId="27549"/>
    <cellStyle name="Note 6 3 2 9 2" xfId="36309"/>
    <cellStyle name="Note 6 3 3" xfId="42211"/>
    <cellStyle name="Note 6 4" xfId="6088"/>
    <cellStyle name="Note 6 4 10" xfId="28326"/>
    <cellStyle name="Note 6 4 10 2" xfId="37085"/>
    <cellStyle name="Note 6 4 11" xfId="26529"/>
    <cellStyle name="Note 6 4 11 2" xfId="35294"/>
    <cellStyle name="Note 6 4 12" xfId="32750"/>
    <cellStyle name="Note 6 4 13" xfId="42213"/>
    <cellStyle name="Note 6 4 14" xfId="43403"/>
    <cellStyle name="Note 6 4 15" xfId="43283"/>
    <cellStyle name="Note 6 4 16" xfId="43921"/>
    <cellStyle name="Note 6 4 2" xfId="18210"/>
    <cellStyle name="Note 6 4 2 10" xfId="28463"/>
    <cellStyle name="Note 6 4 2 10 2" xfId="37220"/>
    <cellStyle name="Note 6 4 2 11" xfId="26506"/>
    <cellStyle name="Note 6 4 2 11 2" xfId="35271"/>
    <cellStyle name="Note 6 4 2 12" xfId="32954"/>
    <cellStyle name="Note 6 4 2 2" xfId="24480"/>
    <cellStyle name="Note 6 4 2 2 10" xfId="32233"/>
    <cellStyle name="Note 6 4 2 2 10 2" xfId="40987"/>
    <cellStyle name="Note 6 4 2 2 11" xfId="33308"/>
    <cellStyle name="Note 6 4 2 2 2" xfId="29088"/>
    <cellStyle name="Note 6 4 2 2 2 2" xfId="37842"/>
    <cellStyle name="Note 6 4 2 2 3" xfId="29501"/>
    <cellStyle name="Note 6 4 2 2 3 2" xfId="38255"/>
    <cellStyle name="Note 6 4 2 2 4" xfId="29921"/>
    <cellStyle name="Note 6 4 2 2 4 2" xfId="38675"/>
    <cellStyle name="Note 6 4 2 2 5" xfId="30340"/>
    <cellStyle name="Note 6 4 2 2 5 2" xfId="39094"/>
    <cellStyle name="Note 6 4 2 2 6" xfId="30741"/>
    <cellStyle name="Note 6 4 2 2 6 2" xfId="39495"/>
    <cellStyle name="Note 6 4 2 2 7" xfId="31127"/>
    <cellStyle name="Note 6 4 2 2 7 2" xfId="39881"/>
    <cellStyle name="Note 6 4 2 2 8" xfId="31505"/>
    <cellStyle name="Note 6 4 2 2 8 2" xfId="40259"/>
    <cellStyle name="Note 6 4 2 2 9" xfId="31871"/>
    <cellStyle name="Note 6 4 2 2 9 2" xfId="40625"/>
    <cellStyle name="Note 6 4 2 3" xfId="27700"/>
    <cellStyle name="Note 6 4 2 3 2" xfId="36460"/>
    <cellStyle name="Note 6 4 2 4" xfId="25008"/>
    <cellStyle name="Note 6 4 2 4 2" xfId="33782"/>
    <cellStyle name="Note 6 4 2 5" xfId="27839"/>
    <cellStyle name="Note 6 4 2 5 2" xfId="36599"/>
    <cellStyle name="Note 6 4 2 6" xfId="26066"/>
    <cellStyle name="Note 6 4 2 6 2" xfId="34832"/>
    <cellStyle name="Note 6 4 2 7" xfId="27577"/>
    <cellStyle name="Note 6 4 2 7 2" xfId="36337"/>
    <cellStyle name="Note 6 4 2 8" xfId="28865"/>
    <cellStyle name="Note 6 4 2 8 2" xfId="37621"/>
    <cellStyle name="Note 6 4 2 9" xfId="1695"/>
    <cellStyle name="Note 6 4 2 9 2" xfId="32508"/>
    <cellStyle name="Note 6 4 3" xfId="23652"/>
    <cellStyle name="Note 6 4 3 10" xfId="26548"/>
    <cellStyle name="Note 6 4 3 10 2" xfId="35313"/>
    <cellStyle name="Note 6 4 3 11" xfId="28270"/>
    <cellStyle name="Note 6 4 3 11 2" xfId="37029"/>
    <cellStyle name="Note 6 4 3 12" xfId="33122"/>
    <cellStyle name="Note 6 4 3 2" xfId="24707"/>
    <cellStyle name="Note 6 4 3 2 10" xfId="32408"/>
    <cellStyle name="Note 6 4 3 2 10 2" xfId="41162"/>
    <cellStyle name="Note 6 4 3 2 11" xfId="33483"/>
    <cellStyle name="Note 6 4 3 2 2" xfId="29272"/>
    <cellStyle name="Note 6 4 3 2 2 2" xfId="38026"/>
    <cellStyle name="Note 6 4 3 2 3" xfId="29682"/>
    <cellStyle name="Note 6 4 3 2 3 2" xfId="38436"/>
    <cellStyle name="Note 6 4 3 2 4" xfId="30102"/>
    <cellStyle name="Note 6 4 3 2 4 2" xfId="38856"/>
    <cellStyle name="Note 6 4 3 2 5" xfId="30518"/>
    <cellStyle name="Note 6 4 3 2 5 2" xfId="39272"/>
    <cellStyle name="Note 6 4 3 2 6" xfId="30919"/>
    <cellStyle name="Note 6 4 3 2 6 2" xfId="39673"/>
    <cellStyle name="Note 6 4 3 2 7" xfId="31305"/>
    <cellStyle name="Note 6 4 3 2 7 2" xfId="40059"/>
    <cellStyle name="Note 6 4 3 2 8" xfId="31681"/>
    <cellStyle name="Note 6 4 3 2 8 2" xfId="40435"/>
    <cellStyle name="Note 6 4 3 2 9" xfId="32047"/>
    <cellStyle name="Note 6 4 3 2 9 2" xfId="40801"/>
    <cellStyle name="Note 6 4 3 3" xfId="28768"/>
    <cellStyle name="Note 6 4 3 3 2" xfId="37524"/>
    <cellStyle name="Note 6 4 3 4" xfId="24806"/>
    <cellStyle name="Note 6 4 3 4 2" xfId="33582"/>
    <cellStyle name="Note 6 4 3 5" xfId="24844"/>
    <cellStyle name="Note 6 4 3 5 2" xfId="33618"/>
    <cellStyle name="Note 6 4 3 6" xfId="25522"/>
    <cellStyle name="Note 6 4 3 6 2" xfId="34291"/>
    <cellStyle name="Note 6 4 3 7" xfId="26770"/>
    <cellStyle name="Note 6 4 3 7 2" xfId="35532"/>
    <cellStyle name="Note 6 4 3 8" xfId="25339"/>
    <cellStyle name="Note 6 4 3 8 2" xfId="34108"/>
    <cellStyle name="Note 6 4 3 9" xfId="25842"/>
    <cellStyle name="Note 6 4 3 9 2" xfId="34608"/>
    <cellStyle name="Note 6 4 4" xfId="27032"/>
    <cellStyle name="Note 6 4 4 2" xfId="35792"/>
    <cellStyle name="Note 6 4 5" xfId="29203"/>
    <cellStyle name="Note 6 4 5 2" xfId="37957"/>
    <cellStyle name="Note 6 4 6" xfId="27235"/>
    <cellStyle name="Note 6 4 6 2" xfId="35995"/>
    <cellStyle name="Note 6 4 7" xfId="26877"/>
    <cellStyle name="Note 6 4 7 2" xfId="35637"/>
    <cellStyle name="Note 6 4 8" xfId="25501"/>
    <cellStyle name="Note 6 4 8 2" xfId="34270"/>
    <cellStyle name="Note 6 4 9" xfId="27518"/>
    <cellStyle name="Note 6 4 9 2" xfId="36278"/>
    <cellStyle name="Note 6 5" xfId="42214"/>
    <cellStyle name="Note 6 5 2" xfId="43404"/>
    <cellStyle name="Note 6 5 3" xfId="43282"/>
    <cellStyle name="Note 6 5 4" xfId="44073"/>
    <cellStyle name="Note 6 6" xfId="43172"/>
    <cellStyle name="Note 6 7" xfId="42208"/>
    <cellStyle name="Note 7" xfId="876"/>
    <cellStyle name="Note 7 2" xfId="2804"/>
    <cellStyle name="Note 7 2 2" xfId="5868"/>
    <cellStyle name="Note 7 2 2 10" xfId="25396"/>
    <cellStyle name="Note 7 2 2 10 2" xfId="34165"/>
    <cellStyle name="Note 7 2 2 11" xfId="25273"/>
    <cellStyle name="Note 7 2 2 11 2" xfId="34043"/>
    <cellStyle name="Note 7 2 2 12" xfId="27217"/>
    <cellStyle name="Note 7 2 2 12 2" xfId="35977"/>
    <cellStyle name="Note 7 2 2 13" xfId="26340"/>
    <cellStyle name="Note 7 2 2 13 2" xfId="35106"/>
    <cellStyle name="Note 7 2 2 14" xfId="32705"/>
    <cellStyle name="Note 7 2 2 15" xfId="42217"/>
    <cellStyle name="Note 7 2 2 2" xfId="6768"/>
    <cellStyle name="Note 7 2 2 2 10" xfId="25275"/>
    <cellStyle name="Note 7 2 2 2 10 2" xfId="34045"/>
    <cellStyle name="Note 7 2 2 2 11" xfId="26959"/>
    <cellStyle name="Note 7 2 2 2 11 2" xfId="35719"/>
    <cellStyle name="Note 7 2 2 2 12" xfId="28670"/>
    <cellStyle name="Note 7 2 2 2 12 2" xfId="37426"/>
    <cellStyle name="Note 7 2 2 2 13" xfId="25705"/>
    <cellStyle name="Note 7 2 2 2 13 2" xfId="34472"/>
    <cellStyle name="Note 7 2 2 2 14" xfId="32762"/>
    <cellStyle name="Note 7 2 2 2 2" xfId="18243"/>
    <cellStyle name="Note 7 2 2 2 2 10" xfId="2886"/>
    <cellStyle name="Note 7 2 2 2 2 10 2" xfId="32674"/>
    <cellStyle name="Note 7 2 2 2 2 11" xfId="26312"/>
    <cellStyle name="Note 7 2 2 2 2 11 2" xfId="35078"/>
    <cellStyle name="Note 7 2 2 2 2 12" xfId="32987"/>
    <cellStyle name="Note 7 2 2 2 2 2" xfId="24513"/>
    <cellStyle name="Note 7 2 2 2 2 2 10" xfId="32266"/>
    <cellStyle name="Note 7 2 2 2 2 2 10 2" xfId="41020"/>
    <cellStyle name="Note 7 2 2 2 2 2 11" xfId="33341"/>
    <cellStyle name="Note 7 2 2 2 2 2 2" xfId="29121"/>
    <cellStyle name="Note 7 2 2 2 2 2 2 2" xfId="37875"/>
    <cellStyle name="Note 7 2 2 2 2 2 3" xfId="29534"/>
    <cellStyle name="Note 7 2 2 2 2 2 3 2" xfId="38288"/>
    <cellStyle name="Note 7 2 2 2 2 2 4" xfId="29954"/>
    <cellStyle name="Note 7 2 2 2 2 2 4 2" xfId="38708"/>
    <cellStyle name="Note 7 2 2 2 2 2 5" xfId="30373"/>
    <cellStyle name="Note 7 2 2 2 2 2 5 2" xfId="39127"/>
    <cellStyle name="Note 7 2 2 2 2 2 6" xfId="30774"/>
    <cellStyle name="Note 7 2 2 2 2 2 6 2" xfId="39528"/>
    <cellStyle name="Note 7 2 2 2 2 2 7" xfId="31160"/>
    <cellStyle name="Note 7 2 2 2 2 2 7 2" xfId="39914"/>
    <cellStyle name="Note 7 2 2 2 2 2 8" xfId="31538"/>
    <cellStyle name="Note 7 2 2 2 2 2 8 2" xfId="40292"/>
    <cellStyle name="Note 7 2 2 2 2 2 9" xfId="31904"/>
    <cellStyle name="Note 7 2 2 2 2 2 9 2" xfId="40658"/>
    <cellStyle name="Note 7 2 2 2 2 3" xfId="27733"/>
    <cellStyle name="Note 7 2 2 2 2 3 2" xfId="36493"/>
    <cellStyle name="Note 7 2 2 2 2 4" xfId="26382"/>
    <cellStyle name="Note 7 2 2 2 2 4 2" xfId="35148"/>
    <cellStyle name="Note 7 2 2 2 2 5" xfId="27155"/>
    <cellStyle name="Note 7 2 2 2 2 5 2" xfId="35915"/>
    <cellStyle name="Note 7 2 2 2 2 6" xfId="26576"/>
    <cellStyle name="Note 7 2 2 2 2 6 2" xfId="35341"/>
    <cellStyle name="Note 7 2 2 2 2 7" xfId="28611"/>
    <cellStyle name="Note 7 2 2 2 2 7 2" xfId="37367"/>
    <cellStyle name="Note 7 2 2 2 2 8" xfId="27558"/>
    <cellStyle name="Note 7 2 2 2 2 8 2" xfId="36318"/>
    <cellStyle name="Note 7 2 2 2 2 9" xfId="25264"/>
    <cellStyle name="Note 7 2 2 2 2 9 2" xfId="34034"/>
    <cellStyle name="Note 7 2 2 2 3" xfId="15444"/>
    <cellStyle name="Note 7 2 2 2 3 10" xfId="27859"/>
    <cellStyle name="Note 7 2 2 2 3 10 2" xfId="36619"/>
    <cellStyle name="Note 7 2 2 2 3 11" xfId="32886"/>
    <cellStyle name="Note 7 2 2 2 3 2" xfId="27203"/>
    <cellStyle name="Note 7 2 2 2 3 2 2" xfId="35963"/>
    <cellStyle name="Note 7 2 2 2 3 3" xfId="25909"/>
    <cellStyle name="Note 7 2 2 2 3 3 2" xfId="34675"/>
    <cellStyle name="Note 7 2 2 2 3 4" xfId="26900"/>
    <cellStyle name="Note 7 2 2 2 3 4 2" xfId="35660"/>
    <cellStyle name="Note 7 2 2 2 3 5" xfId="28087"/>
    <cellStyle name="Note 7 2 2 2 3 5 2" xfId="36846"/>
    <cellStyle name="Note 7 2 2 2 3 6" xfId="26063"/>
    <cellStyle name="Note 7 2 2 2 3 6 2" xfId="34829"/>
    <cellStyle name="Note 7 2 2 2 3 7" xfId="26188"/>
    <cellStyle name="Note 7 2 2 2 3 7 2" xfId="34954"/>
    <cellStyle name="Note 7 2 2 2 3 8" xfId="28161"/>
    <cellStyle name="Note 7 2 2 2 3 8 2" xfId="36920"/>
    <cellStyle name="Note 7 2 2 2 3 9" xfId="27248"/>
    <cellStyle name="Note 7 2 2 2 3 9 2" xfId="36008"/>
    <cellStyle name="Note 7 2 2 2 4" xfId="24382"/>
    <cellStyle name="Note 7 2 2 2 4 10" xfId="32161"/>
    <cellStyle name="Note 7 2 2 2 4 10 2" xfId="40915"/>
    <cellStyle name="Note 7 2 2 2 4 11" xfId="33236"/>
    <cellStyle name="Note 7 2 2 2 4 2" xfId="29013"/>
    <cellStyle name="Note 7 2 2 2 4 2 2" xfId="37767"/>
    <cellStyle name="Note 7 2 2 2 4 3" xfId="29426"/>
    <cellStyle name="Note 7 2 2 2 4 3 2" xfId="38180"/>
    <cellStyle name="Note 7 2 2 2 4 4" xfId="29849"/>
    <cellStyle name="Note 7 2 2 2 4 4 2" xfId="38603"/>
    <cellStyle name="Note 7 2 2 2 4 5" xfId="30264"/>
    <cellStyle name="Note 7 2 2 2 4 5 2" xfId="39018"/>
    <cellStyle name="Note 7 2 2 2 4 6" xfId="30665"/>
    <cellStyle name="Note 7 2 2 2 4 6 2" xfId="39419"/>
    <cellStyle name="Note 7 2 2 2 4 7" xfId="31052"/>
    <cellStyle name="Note 7 2 2 2 4 7 2" xfId="39806"/>
    <cellStyle name="Note 7 2 2 2 4 8" xfId="31431"/>
    <cellStyle name="Note 7 2 2 2 4 8 2" xfId="40185"/>
    <cellStyle name="Note 7 2 2 2 4 9" xfId="31799"/>
    <cellStyle name="Note 7 2 2 2 4 9 2" xfId="40553"/>
    <cellStyle name="Note 7 2 2 2 5" xfId="25688"/>
    <cellStyle name="Note 7 2 2 2 5 2" xfId="34455"/>
    <cellStyle name="Note 7 2 2 2 6" xfId="24872"/>
    <cellStyle name="Note 7 2 2 2 6 2" xfId="33646"/>
    <cellStyle name="Note 7 2 2 2 7" xfId="27358"/>
    <cellStyle name="Note 7 2 2 2 7 2" xfId="36118"/>
    <cellStyle name="Note 7 2 2 2 8" xfId="25456"/>
    <cellStyle name="Note 7 2 2 2 8 2" xfId="34225"/>
    <cellStyle name="Note 7 2 2 2 9" xfId="27491"/>
    <cellStyle name="Note 7 2 2 2 9 2" xfId="36251"/>
    <cellStyle name="Note 7 2 2 3" xfId="15023"/>
    <cellStyle name="Note 7 2 2 3 10" xfId="25402"/>
    <cellStyle name="Note 7 2 2 3 10 2" xfId="34171"/>
    <cellStyle name="Note 7 2 2 3 11" xfId="25156"/>
    <cellStyle name="Note 7 2 2 3 11 2" xfId="33927"/>
    <cellStyle name="Note 7 2 2 3 12" xfId="32849"/>
    <cellStyle name="Note 7 2 2 3 2" xfId="24339"/>
    <cellStyle name="Note 7 2 2 3 2 10" xfId="32123"/>
    <cellStyle name="Note 7 2 2 3 2 10 2" xfId="40877"/>
    <cellStyle name="Note 7 2 2 3 2 11" xfId="33198"/>
    <cellStyle name="Note 7 2 2 3 2 2" xfId="28974"/>
    <cellStyle name="Note 7 2 2 3 2 2 2" xfId="37728"/>
    <cellStyle name="Note 7 2 2 3 2 3" xfId="29387"/>
    <cellStyle name="Note 7 2 2 3 2 3 2" xfId="38141"/>
    <cellStyle name="Note 7 2 2 3 2 4" xfId="29811"/>
    <cellStyle name="Note 7 2 2 3 2 4 2" xfId="38565"/>
    <cellStyle name="Note 7 2 2 3 2 5" xfId="30226"/>
    <cellStyle name="Note 7 2 2 3 2 5 2" xfId="38980"/>
    <cellStyle name="Note 7 2 2 3 2 6" xfId="30627"/>
    <cellStyle name="Note 7 2 2 3 2 6 2" xfId="39381"/>
    <cellStyle name="Note 7 2 2 3 2 7" xfId="31014"/>
    <cellStyle name="Note 7 2 2 3 2 7 2" xfId="39768"/>
    <cellStyle name="Note 7 2 2 3 2 8" xfId="31393"/>
    <cellStyle name="Note 7 2 2 3 2 8 2" xfId="40147"/>
    <cellStyle name="Note 7 2 2 3 2 9" xfId="31761"/>
    <cellStyle name="Note 7 2 2 3 2 9 2" xfId="40515"/>
    <cellStyle name="Note 7 2 2 3 3" xfId="27104"/>
    <cellStyle name="Note 7 2 2 3 3 2" xfId="35864"/>
    <cellStyle name="Note 7 2 2 3 4" xfId="27485"/>
    <cellStyle name="Note 7 2 2 3 4 2" xfId="36245"/>
    <cellStyle name="Note 7 2 2 3 5" xfId="26710"/>
    <cellStyle name="Note 7 2 2 3 5 2" xfId="35473"/>
    <cellStyle name="Note 7 2 2 3 6" xfId="26077"/>
    <cellStyle name="Note 7 2 2 3 6 2" xfId="34843"/>
    <cellStyle name="Note 7 2 2 3 7" xfId="25864"/>
    <cellStyle name="Note 7 2 2 3 7 2" xfId="34630"/>
    <cellStyle name="Note 7 2 2 3 8" xfId="27937"/>
    <cellStyle name="Note 7 2 2 3 8 2" xfId="36697"/>
    <cellStyle name="Note 7 2 2 3 9" xfId="26949"/>
    <cellStyle name="Note 7 2 2 3 9 2" xfId="35709"/>
    <cellStyle name="Note 7 2 2 4" xfId="18165"/>
    <cellStyle name="Note 7 2 2 4 10" xfId="25271"/>
    <cellStyle name="Note 7 2 2 4 10 2" xfId="34041"/>
    <cellStyle name="Note 7 2 2 4 11" xfId="28148"/>
    <cellStyle name="Note 7 2 2 4 11 2" xfId="36907"/>
    <cellStyle name="Note 7 2 2 4 12" xfId="32909"/>
    <cellStyle name="Note 7 2 2 4 2" xfId="24435"/>
    <cellStyle name="Note 7 2 2 4 2 10" xfId="32188"/>
    <cellStyle name="Note 7 2 2 4 2 10 2" xfId="40942"/>
    <cellStyle name="Note 7 2 2 4 2 11" xfId="33263"/>
    <cellStyle name="Note 7 2 2 4 2 2" xfId="29043"/>
    <cellStyle name="Note 7 2 2 4 2 2 2" xfId="37797"/>
    <cellStyle name="Note 7 2 2 4 2 3" xfId="29456"/>
    <cellStyle name="Note 7 2 2 4 2 3 2" xfId="38210"/>
    <cellStyle name="Note 7 2 2 4 2 4" xfId="29876"/>
    <cellStyle name="Note 7 2 2 4 2 4 2" xfId="38630"/>
    <cellStyle name="Note 7 2 2 4 2 5" xfId="30295"/>
    <cellStyle name="Note 7 2 2 4 2 5 2" xfId="39049"/>
    <cellStyle name="Note 7 2 2 4 2 6" xfId="30696"/>
    <cellStyle name="Note 7 2 2 4 2 6 2" xfId="39450"/>
    <cellStyle name="Note 7 2 2 4 2 7" xfId="31082"/>
    <cellStyle name="Note 7 2 2 4 2 7 2" xfId="39836"/>
    <cellStyle name="Note 7 2 2 4 2 8" xfId="31460"/>
    <cellStyle name="Note 7 2 2 4 2 8 2" xfId="40214"/>
    <cellStyle name="Note 7 2 2 4 2 9" xfId="31826"/>
    <cellStyle name="Note 7 2 2 4 2 9 2" xfId="40580"/>
    <cellStyle name="Note 7 2 2 4 3" xfId="27655"/>
    <cellStyle name="Note 7 2 2 4 3 2" xfId="36415"/>
    <cellStyle name="Note 7 2 2 4 4" xfId="25755"/>
    <cellStyle name="Note 7 2 2 4 4 2" xfId="34522"/>
    <cellStyle name="Note 7 2 2 4 5" xfId="25611"/>
    <cellStyle name="Note 7 2 2 4 5 2" xfId="34378"/>
    <cellStyle name="Note 7 2 2 4 6" xfId="27183"/>
    <cellStyle name="Note 7 2 2 4 6 2" xfId="35943"/>
    <cellStyle name="Note 7 2 2 4 7" xfId="25886"/>
    <cellStyle name="Note 7 2 2 4 7 2" xfId="34652"/>
    <cellStyle name="Note 7 2 2 4 8" xfId="26081"/>
    <cellStyle name="Note 7 2 2 4 8 2" xfId="34847"/>
    <cellStyle name="Note 7 2 2 4 9" xfId="28044"/>
    <cellStyle name="Note 7 2 2 4 9 2" xfId="36803"/>
    <cellStyle name="Note 7 2 2 5" xfId="23607"/>
    <cellStyle name="Note 7 2 2 5 10" xfId="27601"/>
    <cellStyle name="Note 7 2 2 5 10 2" xfId="36361"/>
    <cellStyle name="Note 7 2 2 5 11" xfId="27460"/>
    <cellStyle name="Note 7 2 2 5 11 2" xfId="36220"/>
    <cellStyle name="Note 7 2 2 5 12" xfId="33077"/>
    <cellStyle name="Note 7 2 2 5 2" xfId="24662"/>
    <cellStyle name="Note 7 2 2 5 2 10" xfId="32363"/>
    <cellStyle name="Note 7 2 2 5 2 10 2" xfId="41117"/>
    <cellStyle name="Note 7 2 2 5 2 11" xfId="33438"/>
    <cellStyle name="Note 7 2 2 5 2 2" xfId="29227"/>
    <cellStyle name="Note 7 2 2 5 2 2 2" xfId="37981"/>
    <cellStyle name="Note 7 2 2 5 2 3" xfId="29637"/>
    <cellStyle name="Note 7 2 2 5 2 3 2" xfId="38391"/>
    <cellStyle name="Note 7 2 2 5 2 4" xfId="30057"/>
    <cellStyle name="Note 7 2 2 5 2 4 2" xfId="38811"/>
    <cellStyle name="Note 7 2 2 5 2 5" xfId="30473"/>
    <cellStyle name="Note 7 2 2 5 2 5 2" xfId="39227"/>
    <cellStyle name="Note 7 2 2 5 2 6" xfId="30874"/>
    <cellStyle name="Note 7 2 2 5 2 6 2" xfId="39628"/>
    <cellStyle name="Note 7 2 2 5 2 7" xfId="31260"/>
    <cellStyle name="Note 7 2 2 5 2 7 2" xfId="40014"/>
    <cellStyle name="Note 7 2 2 5 2 8" xfId="31636"/>
    <cellStyle name="Note 7 2 2 5 2 8 2" xfId="40390"/>
    <cellStyle name="Note 7 2 2 5 2 9" xfId="32002"/>
    <cellStyle name="Note 7 2 2 5 2 9 2" xfId="40756"/>
    <cellStyle name="Note 7 2 2 5 3" xfId="28723"/>
    <cellStyle name="Note 7 2 2 5 3 2" xfId="37479"/>
    <cellStyle name="Note 7 2 2 5 4" xfId="24915"/>
    <cellStyle name="Note 7 2 2 5 4 2" xfId="33689"/>
    <cellStyle name="Note 7 2 2 5 5" xfId="28374"/>
    <cellStyle name="Note 7 2 2 5 5 2" xfId="37132"/>
    <cellStyle name="Note 7 2 2 5 6" xfId="25447"/>
    <cellStyle name="Note 7 2 2 5 6 2" xfId="34216"/>
    <cellStyle name="Note 7 2 2 5 7" xfId="27334"/>
    <cellStyle name="Note 7 2 2 5 7 2" xfId="36094"/>
    <cellStyle name="Note 7 2 2 5 8" xfId="24782"/>
    <cellStyle name="Note 7 2 2 5 8 2" xfId="33558"/>
    <cellStyle name="Note 7 2 2 5 9" xfId="27935"/>
    <cellStyle name="Note 7 2 2 5 9 2" xfId="36695"/>
    <cellStyle name="Note 7 2 2 6" xfId="28900"/>
    <cellStyle name="Note 7 2 2 6 2" xfId="37656"/>
    <cellStyle name="Note 7 2 2 7" xfId="28629"/>
    <cellStyle name="Note 7 2 2 7 2" xfId="37385"/>
    <cellStyle name="Note 7 2 2 8" xfId="28820"/>
    <cellStyle name="Note 7 2 2 8 2" xfId="37576"/>
    <cellStyle name="Note 7 2 2 9" xfId="25942"/>
    <cellStyle name="Note 7 2 2 9 2" xfId="34708"/>
    <cellStyle name="Note 7 2 3" xfId="6194"/>
    <cellStyle name="Note 7 2 3 10" xfId="28512"/>
    <cellStyle name="Note 7 2 3 10 2" xfId="37268"/>
    <cellStyle name="Note 7 2 3 11" xfId="26613"/>
    <cellStyle name="Note 7 2 3 11 2" xfId="35378"/>
    <cellStyle name="Note 7 2 3 12" xfId="25642"/>
    <cellStyle name="Note 7 2 3 12 2" xfId="34409"/>
    <cellStyle name="Note 7 2 3 13" xfId="28141"/>
    <cellStyle name="Note 7 2 3 13 2" xfId="36900"/>
    <cellStyle name="Note 7 2 3 14" xfId="32753"/>
    <cellStyle name="Note 7 2 3 2" xfId="18229"/>
    <cellStyle name="Note 7 2 3 2 10" xfId="27583"/>
    <cellStyle name="Note 7 2 3 2 10 2" xfId="36343"/>
    <cellStyle name="Note 7 2 3 2 11" xfId="25173"/>
    <cellStyle name="Note 7 2 3 2 11 2" xfId="33944"/>
    <cellStyle name="Note 7 2 3 2 12" xfId="32973"/>
    <cellStyle name="Note 7 2 3 2 2" xfId="24499"/>
    <cellStyle name="Note 7 2 3 2 2 10" xfId="32252"/>
    <cellStyle name="Note 7 2 3 2 2 10 2" xfId="41006"/>
    <cellStyle name="Note 7 2 3 2 2 11" xfId="33327"/>
    <cellStyle name="Note 7 2 3 2 2 2" xfId="29107"/>
    <cellStyle name="Note 7 2 3 2 2 2 2" xfId="37861"/>
    <cellStyle name="Note 7 2 3 2 2 3" xfId="29520"/>
    <cellStyle name="Note 7 2 3 2 2 3 2" xfId="38274"/>
    <cellStyle name="Note 7 2 3 2 2 4" xfId="29940"/>
    <cellStyle name="Note 7 2 3 2 2 4 2" xfId="38694"/>
    <cellStyle name="Note 7 2 3 2 2 5" xfId="30359"/>
    <cellStyle name="Note 7 2 3 2 2 5 2" xfId="39113"/>
    <cellStyle name="Note 7 2 3 2 2 6" xfId="30760"/>
    <cellStyle name="Note 7 2 3 2 2 6 2" xfId="39514"/>
    <cellStyle name="Note 7 2 3 2 2 7" xfId="31146"/>
    <cellStyle name="Note 7 2 3 2 2 7 2" xfId="39900"/>
    <cellStyle name="Note 7 2 3 2 2 8" xfId="31524"/>
    <cellStyle name="Note 7 2 3 2 2 8 2" xfId="40278"/>
    <cellStyle name="Note 7 2 3 2 2 9" xfId="31890"/>
    <cellStyle name="Note 7 2 3 2 2 9 2" xfId="40644"/>
    <cellStyle name="Note 7 2 3 2 3" xfId="27719"/>
    <cellStyle name="Note 7 2 3 2 3 2" xfId="36479"/>
    <cellStyle name="Note 7 2 3 2 4" xfId="26287"/>
    <cellStyle name="Note 7 2 3 2 4 2" xfId="35053"/>
    <cellStyle name="Note 7 2 3 2 5" xfId="26115"/>
    <cellStyle name="Note 7 2 3 2 5 2" xfId="34881"/>
    <cellStyle name="Note 7 2 3 2 6" xfId="25390"/>
    <cellStyle name="Note 7 2 3 2 6 2" xfId="34159"/>
    <cellStyle name="Note 7 2 3 2 7" xfId="26794"/>
    <cellStyle name="Note 7 2 3 2 7 2" xfId="35556"/>
    <cellStyle name="Note 7 2 3 2 8" xfId="26035"/>
    <cellStyle name="Note 7 2 3 2 8 2" xfId="34801"/>
    <cellStyle name="Note 7 2 3 2 9" xfId="27078"/>
    <cellStyle name="Note 7 2 3 2 9 2" xfId="35838"/>
    <cellStyle name="Note 7 2 3 3" xfId="15076"/>
    <cellStyle name="Note 7 2 3 3 10" xfId="28025"/>
    <cellStyle name="Note 7 2 3 3 10 2" xfId="36784"/>
    <cellStyle name="Note 7 2 3 3 11" xfId="32874"/>
    <cellStyle name="Note 7 2 3 3 2" xfId="27136"/>
    <cellStyle name="Note 7 2 3 3 2 2" xfId="35896"/>
    <cellStyle name="Note 7 2 3 3 3" xfId="27227"/>
    <cellStyle name="Note 7 2 3 3 3 2" xfId="35987"/>
    <cellStyle name="Note 7 2 3 3 4" xfId="28399"/>
    <cellStyle name="Note 7 2 3 3 4 2" xfId="37156"/>
    <cellStyle name="Note 7 2 3 3 5" xfId="25561"/>
    <cellStyle name="Note 7 2 3 3 5 2" xfId="34328"/>
    <cellStyle name="Note 7 2 3 3 6" xfId="25697"/>
    <cellStyle name="Note 7 2 3 3 6 2" xfId="34464"/>
    <cellStyle name="Note 7 2 3 3 7" xfId="25332"/>
    <cellStyle name="Note 7 2 3 3 7 2" xfId="34101"/>
    <cellStyle name="Note 7 2 3 3 8" xfId="28568"/>
    <cellStyle name="Note 7 2 3 3 8 2" xfId="37324"/>
    <cellStyle name="Note 7 2 3 3 9" xfId="25090"/>
    <cellStyle name="Note 7 2 3 3 9 2" xfId="33862"/>
    <cellStyle name="Note 7 2 3 4" xfId="24364"/>
    <cellStyle name="Note 7 2 3 4 10" xfId="32148"/>
    <cellStyle name="Note 7 2 3 4 10 2" xfId="40902"/>
    <cellStyle name="Note 7 2 3 4 11" xfId="33223"/>
    <cellStyle name="Note 7 2 3 4 2" xfId="28999"/>
    <cellStyle name="Note 7 2 3 4 2 2" xfId="37753"/>
    <cellStyle name="Note 7 2 3 4 3" xfId="29412"/>
    <cellStyle name="Note 7 2 3 4 3 2" xfId="38166"/>
    <cellStyle name="Note 7 2 3 4 4" xfId="29836"/>
    <cellStyle name="Note 7 2 3 4 4 2" xfId="38590"/>
    <cellStyle name="Note 7 2 3 4 5" xfId="30251"/>
    <cellStyle name="Note 7 2 3 4 5 2" xfId="39005"/>
    <cellStyle name="Note 7 2 3 4 6" xfId="30652"/>
    <cellStyle name="Note 7 2 3 4 6 2" xfId="39406"/>
    <cellStyle name="Note 7 2 3 4 7" xfId="31039"/>
    <cellStyle name="Note 7 2 3 4 7 2" xfId="39793"/>
    <cellStyle name="Note 7 2 3 4 8" xfId="31418"/>
    <cellStyle name="Note 7 2 3 4 8 2" xfId="40172"/>
    <cellStyle name="Note 7 2 3 4 9" xfId="31786"/>
    <cellStyle name="Note 7 2 3 4 9 2" xfId="40540"/>
    <cellStyle name="Note 7 2 3 5" xfId="25591"/>
    <cellStyle name="Note 7 2 3 5 2" xfId="34358"/>
    <cellStyle name="Note 7 2 3 6" xfId="25599"/>
    <cellStyle name="Note 7 2 3 6 2" xfId="34366"/>
    <cellStyle name="Note 7 2 3 7" xfId="25823"/>
    <cellStyle name="Note 7 2 3 7 2" xfId="34589"/>
    <cellStyle name="Note 7 2 3 8" xfId="28385"/>
    <cellStyle name="Note 7 2 3 8 2" xfId="37143"/>
    <cellStyle name="Note 7 2 3 9" xfId="26998"/>
    <cellStyle name="Note 7 2 3 9 2" xfId="35758"/>
    <cellStyle name="Note 7 2 4" xfId="7083"/>
    <cellStyle name="Note 7 2 4 10" xfId="25695"/>
    <cellStyle name="Note 7 2 4 10 2" xfId="34462"/>
    <cellStyle name="Note 7 2 4 11" xfId="27786"/>
    <cellStyle name="Note 7 2 4 11 2" xfId="36546"/>
    <cellStyle name="Note 7 2 4 12" xfId="32778"/>
    <cellStyle name="Note 7 2 4 2" xfId="18259"/>
    <cellStyle name="Note 7 2 4 2 10" xfId="1774"/>
    <cellStyle name="Note 7 2 4 2 10 2" xfId="32582"/>
    <cellStyle name="Note 7 2 4 2 11" xfId="28184"/>
    <cellStyle name="Note 7 2 4 2 11 2" xfId="36943"/>
    <cellStyle name="Note 7 2 4 2 12" xfId="33003"/>
    <cellStyle name="Note 7 2 4 2 2" xfId="24529"/>
    <cellStyle name="Note 7 2 4 2 2 10" xfId="32282"/>
    <cellStyle name="Note 7 2 4 2 2 10 2" xfId="41036"/>
    <cellStyle name="Note 7 2 4 2 2 11" xfId="33357"/>
    <cellStyle name="Note 7 2 4 2 2 2" xfId="29137"/>
    <cellStyle name="Note 7 2 4 2 2 2 2" xfId="37891"/>
    <cellStyle name="Note 7 2 4 2 2 3" xfId="29550"/>
    <cellStyle name="Note 7 2 4 2 2 3 2" xfId="38304"/>
    <cellStyle name="Note 7 2 4 2 2 4" xfId="29970"/>
    <cellStyle name="Note 7 2 4 2 2 4 2" xfId="38724"/>
    <cellStyle name="Note 7 2 4 2 2 5" xfId="30389"/>
    <cellStyle name="Note 7 2 4 2 2 5 2" xfId="39143"/>
    <cellStyle name="Note 7 2 4 2 2 6" xfId="30790"/>
    <cellStyle name="Note 7 2 4 2 2 6 2" xfId="39544"/>
    <cellStyle name="Note 7 2 4 2 2 7" xfId="31176"/>
    <cellStyle name="Note 7 2 4 2 2 7 2" xfId="39930"/>
    <cellStyle name="Note 7 2 4 2 2 8" xfId="31554"/>
    <cellStyle name="Note 7 2 4 2 2 8 2" xfId="40308"/>
    <cellStyle name="Note 7 2 4 2 2 9" xfId="31920"/>
    <cellStyle name="Note 7 2 4 2 2 9 2" xfId="40674"/>
    <cellStyle name="Note 7 2 4 2 3" xfId="27749"/>
    <cellStyle name="Note 7 2 4 2 3 2" xfId="36509"/>
    <cellStyle name="Note 7 2 4 2 4" xfId="26815"/>
    <cellStyle name="Note 7 2 4 2 4 2" xfId="35576"/>
    <cellStyle name="Note 7 2 4 2 5" xfId="25771"/>
    <cellStyle name="Note 7 2 4 2 5 2" xfId="34538"/>
    <cellStyle name="Note 7 2 4 2 6" xfId="26369"/>
    <cellStyle name="Note 7 2 4 2 6 2" xfId="35135"/>
    <cellStyle name="Note 7 2 4 2 7" xfId="26262"/>
    <cellStyle name="Note 7 2 4 2 7 2" xfId="35028"/>
    <cellStyle name="Note 7 2 4 2 8" xfId="27801"/>
    <cellStyle name="Note 7 2 4 2 8 2" xfId="36561"/>
    <cellStyle name="Note 7 2 4 2 9" xfId="27225"/>
    <cellStyle name="Note 7 2 4 2 9 2" xfId="35985"/>
    <cellStyle name="Note 7 2 4 3" xfId="23670"/>
    <cellStyle name="Note 7 2 4 3 10" xfId="25412"/>
    <cellStyle name="Note 7 2 4 3 10 2" xfId="34181"/>
    <cellStyle name="Note 7 2 4 3 11" xfId="27630"/>
    <cellStyle name="Note 7 2 4 3 11 2" xfId="36390"/>
    <cellStyle name="Note 7 2 4 3 12" xfId="33140"/>
    <cellStyle name="Note 7 2 4 3 2" xfId="24725"/>
    <cellStyle name="Note 7 2 4 3 2 10" xfId="32426"/>
    <cellStyle name="Note 7 2 4 3 2 10 2" xfId="41180"/>
    <cellStyle name="Note 7 2 4 3 2 11" xfId="33501"/>
    <cellStyle name="Note 7 2 4 3 2 2" xfId="29290"/>
    <cellStyle name="Note 7 2 4 3 2 2 2" xfId="38044"/>
    <cellStyle name="Note 7 2 4 3 2 3" xfId="29700"/>
    <cellStyle name="Note 7 2 4 3 2 3 2" xfId="38454"/>
    <cellStyle name="Note 7 2 4 3 2 4" xfId="30120"/>
    <cellStyle name="Note 7 2 4 3 2 4 2" xfId="38874"/>
    <cellStyle name="Note 7 2 4 3 2 5" xfId="30536"/>
    <cellStyle name="Note 7 2 4 3 2 5 2" xfId="39290"/>
    <cellStyle name="Note 7 2 4 3 2 6" xfId="30937"/>
    <cellStyle name="Note 7 2 4 3 2 6 2" xfId="39691"/>
    <cellStyle name="Note 7 2 4 3 2 7" xfId="31323"/>
    <cellStyle name="Note 7 2 4 3 2 7 2" xfId="40077"/>
    <cellStyle name="Note 7 2 4 3 2 8" xfId="31699"/>
    <cellStyle name="Note 7 2 4 3 2 8 2" xfId="40453"/>
    <cellStyle name="Note 7 2 4 3 2 9" xfId="32065"/>
    <cellStyle name="Note 7 2 4 3 2 9 2" xfId="40819"/>
    <cellStyle name="Note 7 2 4 3 3" xfId="28786"/>
    <cellStyle name="Note 7 2 4 3 3 2" xfId="37542"/>
    <cellStyle name="Note 7 2 4 3 4" xfId="24804"/>
    <cellStyle name="Note 7 2 4 3 4 2" xfId="33580"/>
    <cellStyle name="Note 7 2 4 3 5" xfId="1793"/>
    <cellStyle name="Note 7 2 4 3 5 2" xfId="32601"/>
    <cellStyle name="Note 7 2 4 3 6" xfId="26704"/>
    <cellStyle name="Note 7 2 4 3 6 2" xfId="35467"/>
    <cellStyle name="Note 7 2 4 3 7" xfId="26518"/>
    <cellStyle name="Note 7 2 4 3 7 2" xfId="35283"/>
    <cellStyle name="Note 7 2 4 3 8" xfId="25557"/>
    <cellStyle name="Note 7 2 4 3 8 2" xfId="34324"/>
    <cellStyle name="Note 7 2 4 3 9" xfId="25163"/>
    <cellStyle name="Note 7 2 4 3 9 2" xfId="33934"/>
    <cellStyle name="Note 7 2 4 4" xfId="26630"/>
    <cellStyle name="Note 7 2 4 4 2" xfId="35395"/>
    <cellStyle name="Note 7 2 4 5" xfId="26680"/>
    <cellStyle name="Note 7 2 4 5 2" xfId="35444"/>
    <cellStyle name="Note 7 2 4 6" xfId="26204"/>
    <cellStyle name="Note 7 2 4 6 2" xfId="34970"/>
    <cellStyle name="Note 7 2 4 7" xfId="29769"/>
    <cellStyle name="Note 7 2 4 7 2" xfId="38523"/>
    <cellStyle name="Note 7 2 4 8" xfId="28674"/>
    <cellStyle name="Note 7 2 4 8 2" xfId="37430"/>
    <cellStyle name="Note 7 2 4 9" xfId="26774"/>
    <cellStyle name="Note 7 2 4 9 2" xfId="35536"/>
    <cellStyle name="Note 7 2 5" xfId="42216"/>
    <cellStyle name="Note 7 3" xfId="5869"/>
    <cellStyle name="Note 7 3 10" xfId="26373"/>
    <cellStyle name="Note 7 3 10 2" xfId="35139"/>
    <cellStyle name="Note 7 3 11" xfId="26708"/>
    <cellStyle name="Note 7 3 11 2" xfId="35471"/>
    <cellStyle name="Note 7 3 12" xfId="26010"/>
    <cellStyle name="Note 7 3 12 2" xfId="34776"/>
    <cellStyle name="Note 7 3 13" xfId="26349"/>
    <cellStyle name="Note 7 3 13 2" xfId="35115"/>
    <cellStyle name="Note 7 3 14" xfId="25153"/>
    <cellStyle name="Note 7 3 14 2" xfId="33924"/>
    <cellStyle name="Note 7 3 15" xfId="25310"/>
    <cellStyle name="Note 7 3 15 2" xfId="34079"/>
    <cellStyle name="Note 7 3 16" xfId="27207"/>
    <cellStyle name="Note 7 3 16 2" xfId="35967"/>
    <cellStyle name="Note 7 3 17" xfId="32706"/>
    <cellStyle name="Note 7 3 18" xfId="42218"/>
    <cellStyle name="Note 7 3 2" xfId="5870"/>
    <cellStyle name="Note 7 3 2 10" xfId="26073"/>
    <cellStyle name="Note 7 3 2 10 2" xfId="34839"/>
    <cellStyle name="Note 7 3 2 11" xfId="25326"/>
    <cellStyle name="Note 7 3 2 11 2" xfId="34095"/>
    <cellStyle name="Note 7 3 2 12" xfId="27604"/>
    <cellStyle name="Note 7 3 2 12 2" xfId="36364"/>
    <cellStyle name="Note 7 3 2 13" xfId="25100"/>
    <cellStyle name="Note 7 3 2 13 2" xfId="33872"/>
    <cellStyle name="Note 7 3 2 14" xfId="32707"/>
    <cellStyle name="Note 7 3 2 2" xfId="6207"/>
    <cellStyle name="Note 7 3 2 2 10" xfId="24938"/>
    <cellStyle name="Note 7 3 2 2 10 2" xfId="33712"/>
    <cellStyle name="Note 7 3 2 2 11" xfId="28273"/>
    <cellStyle name="Note 7 3 2 2 11 2" xfId="37032"/>
    <cellStyle name="Note 7 3 2 2 12" xfId="28323"/>
    <cellStyle name="Note 7 3 2 2 12 2" xfId="37082"/>
    <cellStyle name="Note 7 3 2 2 13" xfId="27309"/>
    <cellStyle name="Note 7 3 2 2 13 2" xfId="36069"/>
    <cellStyle name="Note 7 3 2 2 14" xfId="32755"/>
    <cellStyle name="Note 7 3 2 2 2" xfId="18231"/>
    <cellStyle name="Note 7 3 2 2 2 10" xfId="27216"/>
    <cellStyle name="Note 7 3 2 2 2 10 2" xfId="35976"/>
    <cellStyle name="Note 7 3 2 2 2 11" xfId="26235"/>
    <cellStyle name="Note 7 3 2 2 2 11 2" xfId="35001"/>
    <cellStyle name="Note 7 3 2 2 2 12" xfId="32975"/>
    <cellStyle name="Note 7 3 2 2 2 2" xfId="24501"/>
    <cellStyle name="Note 7 3 2 2 2 2 10" xfId="32254"/>
    <cellStyle name="Note 7 3 2 2 2 2 10 2" xfId="41008"/>
    <cellStyle name="Note 7 3 2 2 2 2 11" xfId="33329"/>
    <cellStyle name="Note 7 3 2 2 2 2 2" xfId="29109"/>
    <cellStyle name="Note 7 3 2 2 2 2 2 2" xfId="37863"/>
    <cellStyle name="Note 7 3 2 2 2 2 3" xfId="29522"/>
    <cellStyle name="Note 7 3 2 2 2 2 3 2" xfId="38276"/>
    <cellStyle name="Note 7 3 2 2 2 2 4" xfId="29942"/>
    <cellStyle name="Note 7 3 2 2 2 2 4 2" xfId="38696"/>
    <cellStyle name="Note 7 3 2 2 2 2 5" xfId="30361"/>
    <cellStyle name="Note 7 3 2 2 2 2 5 2" xfId="39115"/>
    <cellStyle name="Note 7 3 2 2 2 2 6" xfId="30762"/>
    <cellStyle name="Note 7 3 2 2 2 2 6 2" xfId="39516"/>
    <cellStyle name="Note 7 3 2 2 2 2 7" xfId="31148"/>
    <cellStyle name="Note 7 3 2 2 2 2 7 2" xfId="39902"/>
    <cellStyle name="Note 7 3 2 2 2 2 8" xfId="31526"/>
    <cellStyle name="Note 7 3 2 2 2 2 8 2" xfId="40280"/>
    <cellStyle name="Note 7 3 2 2 2 2 9" xfId="31892"/>
    <cellStyle name="Note 7 3 2 2 2 2 9 2" xfId="40646"/>
    <cellStyle name="Note 7 3 2 2 2 3" xfId="27721"/>
    <cellStyle name="Note 7 3 2 2 2 3 2" xfId="36481"/>
    <cellStyle name="Note 7 3 2 2 2 4" xfId="26820"/>
    <cellStyle name="Note 7 3 2 2 2 4 2" xfId="35581"/>
    <cellStyle name="Note 7 3 2 2 2 5" xfId="25229"/>
    <cellStyle name="Note 7 3 2 2 2 5 2" xfId="34000"/>
    <cellStyle name="Note 7 3 2 2 2 6" xfId="26620"/>
    <cellStyle name="Note 7 3 2 2 2 6 2" xfId="35385"/>
    <cellStyle name="Note 7 3 2 2 2 7" xfId="28830"/>
    <cellStyle name="Note 7 3 2 2 2 7 2" xfId="37586"/>
    <cellStyle name="Note 7 3 2 2 2 8" xfId="27009"/>
    <cellStyle name="Note 7 3 2 2 2 8 2" xfId="35769"/>
    <cellStyle name="Note 7 3 2 2 2 9" xfId="28917"/>
    <cellStyle name="Note 7 3 2 2 2 9 2" xfId="37672"/>
    <cellStyle name="Note 7 3 2 2 3" xfId="15085"/>
    <cellStyle name="Note 7 3 2 2 3 10" xfId="30160"/>
    <cellStyle name="Note 7 3 2 2 3 10 2" xfId="38914"/>
    <cellStyle name="Note 7 3 2 2 3 11" xfId="32876"/>
    <cellStyle name="Note 7 3 2 2 3 2" xfId="27139"/>
    <cellStyle name="Note 7 3 2 2 3 2 2" xfId="35899"/>
    <cellStyle name="Note 7 3 2 2 3 3" xfId="25253"/>
    <cellStyle name="Note 7 3 2 2 3 3 2" xfId="34023"/>
    <cellStyle name="Note 7 3 2 2 3 4" xfId="25157"/>
    <cellStyle name="Note 7 3 2 2 3 4 2" xfId="33928"/>
    <cellStyle name="Note 7 3 2 2 3 5" xfId="26429"/>
    <cellStyle name="Note 7 3 2 2 3 5 2" xfId="35194"/>
    <cellStyle name="Note 7 3 2 2 3 6" xfId="25675"/>
    <cellStyle name="Note 7 3 2 2 3 6 2" xfId="34442"/>
    <cellStyle name="Note 7 3 2 2 3 7" xfId="26059"/>
    <cellStyle name="Note 7 3 2 2 3 7 2" xfId="34825"/>
    <cellStyle name="Note 7 3 2 2 3 8" xfId="26765"/>
    <cellStyle name="Note 7 3 2 2 3 8 2" xfId="35527"/>
    <cellStyle name="Note 7 3 2 2 3 9" xfId="29743"/>
    <cellStyle name="Note 7 3 2 2 3 9 2" xfId="38497"/>
    <cellStyle name="Note 7 3 2 2 4" xfId="24366"/>
    <cellStyle name="Note 7 3 2 2 4 10" xfId="32150"/>
    <cellStyle name="Note 7 3 2 2 4 10 2" xfId="40904"/>
    <cellStyle name="Note 7 3 2 2 4 11" xfId="33225"/>
    <cellStyle name="Note 7 3 2 2 4 2" xfId="29001"/>
    <cellStyle name="Note 7 3 2 2 4 2 2" xfId="37755"/>
    <cellStyle name="Note 7 3 2 2 4 3" xfId="29414"/>
    <cellStyle name="Note 7 3 2 2 4 3 2" xfId="38168"/>
    <cellStyle name="Note 7 3 2 2 4 4" xfId="29838"/>
    <cellStyle name="Note 7 3 2 2 4 4 2" xfId="38592"/>
    <cellStyle name="Note 7 3 2 2 4 5" xfId="30253"/>
    <cellStyle name="Note 7 3 2 2 4 5 2" xfId="39007"/>
    <cellStyle name="Note 7 3 2 2 4 6" xfId="30654"/>
    <cellStyle name="Note 7 3 2 2 4 6 2" xfId="39408"/>
    <cellStyle name="Note 7 3 2 2 4 7" xfId="31041"/>
    <cellStyle name="Note 7 3 2 2 4 7 2" xfId="39795"/>
    <cellStyle name="Note 7 3 2 2 4 8" xfId="31420"/>
    <cellStyle name="Note 7 3 2 2 4 8 2" xfId="40174"/>
    <cellStyle name="Note 7 3 2 2 4 9" xfId="31788"/>
    <cellStyle name="Note 7 3 2 2 4 9 2" xfId="40542"/>
    <cellStyle name="Note 7 3 2 2 5" xfId="25593"/>
    <cellStyle name="Note 7 3 2 2 5 2" xfId="34360"/>
    <cellStyle name="Note 7 3 2 2 6" xfId="26454"/>
    <cellStyle name="Note 7 3 2 2 6 2" xfId="35219"/>
    <cellStyle name="Note 7 3 2 2 7" xfId="27312"/>
    <cellStyle name="Note 7 3 2 2 7 2" xfId="36072"/>
    <cellStyle name="Note 7 3 2 2 8" xfId="25422"/>
    <cellStyle name="Note 7 3 2 2 8 2" xfId="34191"/>
    <cellStyle name="Note 7 3 2 2 9" xfId="29767"/>
    <cellStyle name="Note 7 3 2 2 9 2" xfId="38521"/>
    <cellStyle name="Note 7 3 2 3" xfId="15025"/>
    <cellStyle name="Note 7 3 2 3 10" xfId="25375"/>
    <cellStyle name="Note 7 3 2 3 10 2" xfId="34144"/>
    <cellStyle name="Note 7 3 2 3 11" xfId="25530"/>
    <cellStyle name="Note 7 3 2 3 11 2" xfId="34297"/>
    <cellStyle name="Note 7 3 2 3 12" xfId="32851"/>
    <cellStyle name="Note 7 3 2 3 2" xfId="24341"/>
    <cellStyle name="Note 7 3 2 3 2 10" xfId="32125"/>
    <cellStyle name="Note 7 3 2 3 2 10 2" xfId="40879"/>
    <cellStyle name="Note 7 3 2 3 2 11" xfId="33200"/>
    <cellStyle name="Note 7 3 2 3 2 2" xfId="28976"/>
    <cellStyle name="Note 7 3 2 3 2 2 2" xfId="37730"/>
    <cellStyle name="Note 7 3 2 3 2 3" xfId="29389"/>
    <cellStyle name="Note 7 3 2 3 2 3 2" xfId="38143"/>
    <cellStyle name="Note 7 3 2 3 2 4" xfId="29813"/>
    <cellStyle name="Note 7 3 2 3 2 4 2" xfId="38567"/>
    <cellStyle name="Note 7 3 2 3 2 5" xfId="30228"/>
    <cellStyle name="Note 7 3 2 3 2 5 2" xfId="38982"/>
    <cellStyle name="Note 7 3 2 3 2 6" xfId="30629"/>
    <cellStyle name="Note 7 3 2 3 2 6 2" xfId="39383"/>
    <cellStyle name="Note 7 3 2 3 2 7" xfId="31016"/>
    <cellStyle name="Note 7 3 2 3 2 7 2" xfId="39770"/>
    <cellStyle name="Note 7 3 2 3 2 8" xfId="31395"/>
    <cellStyle name="Note 7 3 2 3 2 8 2" xfId="40149"/>
    <cellStyle name="Note 7 3 2 3 2 9" xfId="31763"/>
    <cellStyle name="Note 7 3 2 3 2 9 2" xfId="40517"/>
    <cellStyle name="Note 7 3 2 3 3" xfId="27106"/>
    <cellStyle name="Note 7 3 2 3 3 2" xfId="35866"/>
    <cellStyle name="Note 7 3 2 3 4" xfId="25989"/>
    <cellStyle name="Note 7 3 2 3 4 2" xfId="34755"/>
    <cellStyle name="Note 7 3 2 3 5" xfId="26004"/>
    <cellStyle name="Note 7 3 2 3 5 2" xfId="34770"/>
    <cellStyle name="Note 7 3 2 3 6" xfId="25480"/>
    <cellStyle name="Note 7 3 2 3 6 2" xfId="34249"/>
    <cellStyle name="Note 7 3 2 3 7" xfId="28651"/>
    <cellStyle name="Note 7 3 2 3 7 2" xfId="37407"/>
    <cellStyle name="Note 7 3 2 3 8" xfId="28356"/>
    <cellStyle name="Note 7 3 2 3 8 2" xfId="37115"/>
    <cellStyle name="Note 7 3 2 3 9" xfId="26892"/>
    <cellStyle name="Note 7 3 2 3 9 2" xfId="35652"/>
    <cellStyle name="Note 7 3 2 4" xfId="18167"/>
    <cellStyle name="Note 7 3 2 4 10" xfId="27091"/>
    <cellStyle name="Note 7 3 2 4 10 2" xfId="35851"/>
    <cellStyle name="Note 7 3 2 4 11" xfId="25204"/>
    <cellStyle name="Note 7 3 2 4 11 2" xfId="33975"/>
    <cellStyle name="Note 7 3 2 4 12" xfId="32911"/>
    <cellStyle name="Note 7 3 2 4 2" xfId="24437"/>
    <cellStyle name="Note 7 3 2 4 2 10" xfId="32190"/>
    <cellStyle name="Note 7 3 2 4 2 10 2" xfId="40944"/>
    <cellStyle name="Note 7 3 2 4 2 11" xfId="33265"/>
    <cellStyle name="Note 7 3 2 4 2 2" xfId="29045"/>
    <cellStyle name="Note 7 3 2 4 2 2 2" xfId="37799"/>
    <cellStyle name="Note 7 3 2 4 2 3" xfId="29458"/>
    <cellStyle name="Note 7 3 2 4 2 3 2" xfId="38212"/>
    <cellStyle name="Note 7 3 2 4 2 4" xfId="29878"/>
    <cellStyle name="Note 7 3 2 4 2 4 2" xfId="38632"/>
    <cellStyle name="Note 7 3 2 4 2 5" xfId="30297"/>
    <cellStyle name="Note 7 3 2 4 2 5 2" xfId="39051"/>
    <cellStyle name="Note 7 3 2 4 2 6" xfId="30698"/>
    <cellStyle name="Note 7 3 2 4 2 6 2" xfId="39452"/>
    <cellStyle name="Note 7 3 2 4 2 7" xfId="31084"/>
    <cellStyle name="Note 7 3 2 4 2 7 2" xfId="39838"/>
    <cellStyle name="Note 7 3 2 4 2 8" xfId="31462"/>
    <cellStyle name="Note 7 3 2 4 2 8 2" xfId="40216"/>
    <cellStyle name="Note 7 3 2 4 2 9" xfId="31828"/>
    <cellStyle name="Note 7 3 2 4 2 9 2" xfId="40582"/>
    <cellStyle name="Note 7 3 2 4 3" xfId="27657"/>
    <cellStyle name="Note 7 3 2 4 3 2" xfId="36417"/>
    <cellStyle name="Note 7 3 2 4 4" xfId="27932"/>
    <cellStyle name="Note 7 3 2 4 4 2" xfId="36692"/>
    <cellStyle name="Note 7 3 2 4 5" xfId="25898"/>
    <cellStyle name="Note 7 3 2 4 5 2" xfId="34664"/>
    <cellStyle name="Note 7 3 2 4 6" xfId="28460"/>
    <cellStyle name="Note 7 3 2 4 6 2" xfId="37217"/>
    <cellStyle name="Note 7 3 2 4 7" xfId="26478"/>
    <cellStyle name="Note 7 3 2 4 7 2" xfId="35243"/>
    <cellStyle name="Note 7 3 2 4 8" xfId="27026"/>
    <cellStyle name="Note 7 3 2 4 8 2" xfId="35786"/>
    <cellStyle name="Note 7 3 2 4 9" xfId="27983"/>
    <cellStyle name="Note 7 3 2 4 9 2" xfId="36743"/>
    <cellStyle name="Note 7 3 2 5" xfId="23609"/>
    <cellStyle name="Note 7 3 2 5 10" xfId="25725"/>
    <cellStyle name="Note 7 3 2 5 10 2" xfId="34492"/>
    <cellStyle name="Note 7 3 2 5 11" xfId="27866"/>
    <cellStyle name="Note 7 3 2 5 11 2" xfId="36626"/>
    <cellStyle name="Note 7 3 2 5 12" xfId="33079"/>
    <cellStyle name="Note 7 3 2 5 2" xfId="24664"/>
    <cellStyle name="Note 7 3 2 5 2 10" xfId="32365"/>
    <cellStyle name="Note 7 3 2 5 2 10 2" xfId="41119"/>
    <cellStyle name="Note 7 3 2 5 2 11" xfId="33440"/>
    <cellStyle name="Note 7 3 2 5 2 2" xfId="29229"/>
    <cellStyle name="Note 7 3 2 5 2 2 2" xfId="37983"/>
    <cellStyle name="Note 7 3 2 5 2 3" xfId="29639"/>
    <cellStyle name="Note 7 3 2 5 2 3 2" xfId="38393"/>
    <cellStyle name="Note 7 3 2 5 2 4" xfId="30059"/>
    <cellStyle name="Note 7 3 2 5 2 4 2" xfId="38813"/>
    <cellStyle name="Note 7 3 2 5 2 5" xfId="30475"/>
    <cellStyle name="Note 7 3 2 5 2 5 2" xfId="39229"/>
    <cellStyle name="Note 7 3 2 5 2 6" xfId="30876"/>
    <cellStyle name="Note 7 3 2 5 2 6 2" xfId="39630"/>
    <cellStyle name="Note 7 3 2 5 2 7" xfId="31262"/>
    <cellStyle name="Note 7 3 2 5 2 7 2" xfId="40016"/>
    <cellStyle name="Note 7 3 2 5 2 8" xfId="31638"/>
    <cellStyle name="Note 7 3 2 5 2 8 2" xfId="40392"/>
    <cellStyle name="Note 7 3 2 5 2 9" xfId="32004"/>
    <cellStyle name="Note 7 3 2 5 2 9 2" xfId="40758"/>
    <cellStyle name="Note 7 3 2 5 3" xfId="28725"/>
    <cellStyle name="Note 7 3 2 5 3 2" xfId="37481"/>
    <cellStyle name="Note 7 3 2 5 4" xfId="25067"/>
    <cellStyle name="Note 7 3 2 5 4 2" xfId="33841"/>
    <cellStyle name="Note 7 3 2 5 5" xfId="27087"/>
    <cellStyle name="Note 7 3 2 5 5 2" xfId="35847"/>
    <cellStyle name="Note 7 3 2 5 6" xfId="27631"/>
    <cellStyle name="Note 7 3 2 5 6 2" xfId="36391"/>
    <cellStyle name="Note 7 3 2 5 7" xfId="25345"/>
    <cellStyle name="Note 7 3 2 5 7 2" xfId="34114"/>
    <cellStyle name="Note 7 3 2 5 8" xfId="27962"/>
    <cellStyle name="Note 7 3 2 5 8 2" xfId="36722"/>
    <cellStyle name="Note 7 3 2 5 9" xfId="27860"/>
    <cellStyle name="Note 7 3 2 5 9 2" xfId="36620"/>
    <cellStyle name="Note 7 3 2 6" xfId="26219"/>
    <cellStyle name="Note 7 3 2 6 2" xfId="34985"/>
    <cellStyle name="Note 7 3 2 7" xfId="28618"/>
    <cellStyle name="Note 7 3 2 7 2" xfId="37374"/>
    <cellStyle name="Note 7 3 2 8" xfId="27061"/>
    <cellStyle name="Note 7 3 2 8 2" xfId="35821"/>
    <cellStyle name="Note 7 3 2 9" xfId="26217"/>
    <cellStyle name="Note 7 3 2 9 2" xfId="34983"/>
    <cellStyle name="Note 7 3 3" xfId="5871"/>
    <cellStyle name="Note 7 3 3 10" xfId="27974"/>
    <cellStyle name="Note 7 3 3 10 2" xfId="36734"/>
    <cellStyle name="Note 7 3 3 11" xfId="2188"/>
    <cellStyle name="Note 7 3 3 11 2" xfId="32628"/>
    <cellStyle name="Note 7 3 3 12" xfId="25862"/>
    <cellStyle name="Note 7 3 3 12 2" xfId="34628"/>
    <cellStyle name="Note 7 3 3 13" xfId="26291"/>
    <cellStyle name="Note 7 3 3 13 2" xfId="35057"/>
    <cellStyle name="Note 7 3 3 14" xfId="28112"/>
    <cellStyle name="Note 7 3 3 14 2" xfId="36871"/>
    <cellStyle name="Note 7 3 3 15" xfId="29759"/>
    <cellStyle name="Note 7 3 3 15 2" xfId="38513"/>
    <cellStyle name="Note 7 3 3 16" xfId="28221"/>
    <cellStyle name="Note 7 3 3 16 2" xfId="36980"/>
    <cellStyle name="Note 7 3 3 17" xfId="32708"/>
    <cellStyle name="Note 7 3 3 2" xfId="6559"/>
    <cellStyle name="Note 7 3 3 2 10" xfId="30586"/>
    <cellStyle name="Note 7 3 3 2 10 2" xfId="39340"/>
    <cellStyle name="Note 7 3 3 2 11" xfId="30978"/>
    <cellStyle name="Note 7 3 3 2 11 2" xfId="39732"/>
    <cellStyle name="Note 7 3 3 2 12" xfId="31362"/>
    <cellStyle name="Note 7 3 3 2 12 2" xfId="40116"/>
    <cellStyle name="Note 7 3 3 2 13" xfId="31734"/>
    <cellStyle name="Note 7 3 3 2 13 2" xfId="40488"/>
    <cellStyle name="Note 7 3 3 2 14" xfId="32757"/>
    <cellStyle name="Note 7 3 3 2 2" xfId="18233"/>
    <cellStyle name="Note 7 3 3 2 2 10" xfId="26984"/>
    <cellStyle name="Note 7 3 3 2 2 10 2" xfId="35744"/>
    <cellStyle name="Note 7 3 3 2 2 11" xfId="28641"/>
    <cellStyle name="Note 7 3 3 2 2 11 2" xfId="37397"/>
    <cellStyle name="Note 7 3 3 2 2 12" xfId="32977"/>
    <cellStyle name="Note 7 3 3 2 2 2" xfId="24503"/>
    <cellStyle name="Note 7 3 3 2 2 2 10" xfId="32256"/>
    <cellStyle name="Note 7 3 3 2 2 2 10 2" xfId="41010"/>
    <cellStyle name="Note 7 3 3 2 2 2 11" xfId="33331"/>
    <cellStyle name="Note 7 3 3 2 2 2 2" xfId="29111"/>
    <cellStyle name="Note 7 3 3 2 2 2 2 2" xfId="37865"/>
    <cellStyle name="Note 7 3 3 2 2 2 3" xfId="29524"/>
    <cellStyle name="Note 7 3 3 2 2 2 3 2" xfId="38278"/>
    <cellStyle name="Note 7 3 3 2 2 2 4" xfId="29944"/>
    <cellStyle name="Note 7 3 3 2 2 2 4 2" xfId="38698"/>
    <cellStyle name="Note 7 3 3 2 2 2 5" xfId="30363"/>
    <cellStyle name="Note 7 3 3 2 2 2 5 2" xfId="39117"/>
    <cellStyle name="Note 7 3 3 2 2 2 6" xfId="30764"/>
    <cellStyle name="Note 7 3 3 2 2 2 6 2" xfId="39518"/>
    <cellStyle name="Note 7 3 3 2 2 2 7" xfId="31150"/>
    <cellStyle name="Note 7 3 3 2 2 2 7 2" xfId="39904"/>
    <cellStyle name="Note 7 3 3 2 2 2 8" xfId="31528"/>
    <cellStyle name="Note 7 3 3 2 2 2 8 2" xfId="40282"/>
    <cellStyle name="Note 7 3 3 2 2 2 9" xfId="31894"/>
    <cellStyle name="Note 7 3 3 2 2 2 9 2" xfId="40648"/>
    <cellStyle name="Note 7 3 3 2 2 3" xfId="27723"/>
    <cellStyle name="Note 7 3 3 2 2 3 2" xfId="36483"/>
    <cellStyle name="Note 7 3 3 2 2 4" xfId="28312"/>
    <cellStyle name="Note 7 3 3 2 2 4 2" xfId="37071"/>
    <cellStyle name="Note 7 3 3 2 2 5" xfId="27002"/>
    <cellStyle name="Note 7 3 3 2 2 5 2" xfId="35762"/>
    <cellStyle name="Note 7 3 3 2 2 6" xfId="27855"/>
    <cellStyle name="Note 7 3 3 2 2 6 2" xfId="36615"/>
    <cellStyle name="Note 7 3 3 2 2 7" xfId="28928"/>
    <cellStyle name="Note 7 3 3 2 2 7 2" xfId="37683"/>
    <cellStyle name="Note 7 3 3 2 2 8" xfId="24810"/>
    <cellStyle name="Note 7 3 3 2 2 8 2" xfId="33586"/>
    <cellStyle name="Note 7 3 3 2 2 9" xfId="26398"/>
    <cellStyle name="Note 7 3 3 2 2 9 2" xfId="35164"/>
    <cellStyle name="Note 7 3 3 2 3" xfId="15359"/>
    <cellStyle name="Note 7 3 3 2 3 10" xfId="25237"/>
    <cellStyle name="Note 7 3 3 2 3 10 2" xfId="34007"/>
    <cellStyle name="Note 7 3 3 2 3 11" xfId="32878"/>
    <cellStyle name="Note 7 3 3 2 3 2" xfId="27186"/>
    <cellStyle name="Note 7 3 3 2 3 2 2" xfId="35946"/>
    <cellStyle name="Note 7 3 3 2 3 3" xfId="26322"/>
    <cellStyle name="Note 7 3 3 2 3 3 2" xfId="35088"/>
    <cellStyle name="Note 7 3 3 2 3 4" xfId="26758"/>
    <cellStyle name="Note 7 3 3 2 3 4 2" xfId="35520"/>
    <cellStyle name="Note 7 3 3 2 3 5" xfId="28826"/>
    <cellStyle name="Note 7 3 3 2 3 5 2" xfId="37582"/>
    <cellStyle name="Note 7 3 3 2 3 6" xfId="28009"/>
    <cellStyle name="Note 7 3 3 2 3 6 2" xfId="36768"/>
    <cellStyle name="Note 7 3 3 2 3 7" xfId="25206"/>
    <cellStyle name="Note 7 3 3 2 3 7 2" xfId="33977"/>
    <cellStyle name="Note 7 3 3 2 3 8" xfId="2890"/>
    <cellStyle name="Note 7 3 3 2 3 8 2" xfId="32676"/>
    <cellStyle name="Note 7 3 3 2 3 9" xfId="26615"/>
    <cellStyle name="Note 7 3 3 2 3 9 2" xfId="35380"/>
    <cellStyle name="Note 7 3 3 2 4" xfId="24374"/>
    <cellStyle name="Note 7 3 3 2 4 10" xfId="32153"/>
    <cellStyle name="Note 7 3 3 2 4 10 2" xfId="40907"/>
    <cellStyle name="Note 7 3 3 2 4 11" xfId="33228"/>
    <cellStyle name="Note 7 3 3 2 4 2" xfId="29005"/>
    <cellStyle name="Note 7 3 3 2 4 2 2" xfId="37759"/>
    <cellStyle name="Note 7 3 3 2 4 3" xfId="29418"/>
    <cellStyle name="Note 7 3 3 2 4 3 2" xfId="38172"/>
    <cellStyle name="Note 7 3 3 2 4 4" xfId="29841"/>
    <cellStyle name="Note 7 3 3 2 4 4 2" xfId="38595"/>
    <cellStyle name="Note 7 3 3 2 4 5" xfId="30256"/>
    <cellStyle name="Note 7 3 3 2 4 5 2" xfId="39010"/>
    <cellStyle name="Note 7 3 3 2 4 6" xfId="30657"/>
    <cellStyle name="Note 7 3 3 2 4 6 2" xfId="39411"/>
    <cellStyle name="Note 7 3 3 2 4 7" xfId="31044"/>
    <cellStyle name="Note 7 3 3 2 4 7 2" xfId="39798"/>
    <cellStyle name="Note 7 3 3 2 4 8" xfId="31423"/>
    <cellStyle name="Note 7 3 3 2 4 8 2" xfId="40177"/>
    <cellStyle name="Note 7 3 3 2 4 9" xfId="31791"/>
    <cellStyle name="Note 7 3 3 2 4 9 2" xfId="40545"/>
    <cellStyle name="Note 7 3 3 2 5" xfId="25646"/>
    <cellStyle name="Note 7 3 3 2 5 2" xfId="34413"/>
    <cellStyle name="Note 7 3 3 2 6" xfId="27021"/>
    <cellStyle name="Note 7 3 3 2 6 2" xfId="35781"/>
    <cellStyle name="Note 7 3 3 2 7" xfId="28570"/>
    <cellStyle name="Note 7 3 3 2 7 2" xfId="37326"/>
    <cellStyle name="Note 7 3 3 2 8" xfId="27917"/>
    <cellStyle name="Note 7 3 3 2 8 2" xfId="36677"/>
    <cellStyle name="Note 7 3 3 2 9" xfId="30182"/>
    <cellStyle name="Note 7 3 3 2 9 2" xfId="38936"/>
    <cellStyle name="Note 7 3 3 3" xfId="9457"/>
    <cellStyle name="Note 7 3 3 3 10" xfId="25370"/>
    <cellStyle name="Note 7 3 3 3 10 2" xfId="34139"/>
    <cellStyle name="Note 7 3 3 3 11" xfId="25710"/>
    <cellStyle name="Note 7 3 3 3 11 2" xfId="34477"/>
    <cellStyle name="Note 7 3 3 3 12" xfId="27049"/>
    <cellStyle name="Note 7 3 3 3 12 2" xfId="35809"/>
    <cellStyle name="Note 7 3 3 3 13" xfId="24763"/>
    <cellStyle name="Note 7 3 3 3 13 2" xfId="33539"/>
    <cellStyle name="Note 7 3 3 3 14" xfId="32805"/>
    <cellStyle name="Note 7 3 3 3 2" xfId="18286"/>
    <cellStyle name="Note 7 3 3 3 2 10" xfId="25753"/>
    <cellStyle name="Note 7 3 3 3 2 10 2" xfId="34520"/>
    <cellStyle name="Note 7 3 3 3 2 11" xfId="26439"/>
    <cellStyle name="Note 7 3 3 3 2 11 2" xfId="35204"/>
    <cellStyle name="Note 7 3 3 3 2 12" xfId="33030"/>
    <cellStyle name="Note 7 3 3 3 2 2" xfId="24556"/>
    <cellStyle name="Note 7 3 3 3 2 2 10" xfId="32309"/>
    <cellStyle name="Note 7 3 3 3 2 2 10 2" xfId="41063"/>
    <cellStyle name="Note 7 3 3 3 2 2 11" xfId="33384"/>
    <cellStyle name="Note 7 3 3 3 2 2 2" xfId="29164"/>
    <cellStyle name="Note 7 3 3 3 2 2 2 2" xfId="37918"/>
    <cellStyle name="Note 7 3 3 3 2 2 3" xfId="29577"/>
    <cellStyle name="Note 7 3 3 3 2 2 3 2" xfId="38331"/>
    <cellStyle name="Note 7 3 3 3 2 2 4" xfId="29997"/>
    <cellStyle name="Note 7 3 3 3 2 2 4 2" xfId="38751"/>
    <cellStyle name="Note 7 3 3 3 2 2 5" xfId="30416"/>
    <cellStyle name="Note 7 3 3 3 2 2 5 2" xfId="39170"/>
    <cellStyle name="Note 7 3 3 3 2 2 6" xfId="30817"/>
    <cellStyle name="Note 7 3 3 3 2 2 6 2" xfId="39571"/>
    <cellStyle name="Note 7 3 3 3 2 2 7" xfId="31203"/>
    <cellStyle name="Note 7 3 3 3 2 2 7 2" xfId="39957"/>
    <cellStyle name="Note 7 3 3 3 2 2 8" xfId="31581"/>
    <cellStyle name="Note 7 3 3 3 2 2 8 2" xfId="40335"/>
    <cellStyle name="Note 7 3 3 3 2 2 9" xfId="31947"/>
    <cellStyle name="Note 7 3 3 3 2 2 9 2" xfId="40701"/>
    <cellStyle name="Note 7 3 3 3 2 3" xfId="27776"/>
    <cellStyle name="Note 7 3 3 3 2 3 2" xfId="36536"/>
    <cellStyle name="Note 7 3 3 3 2 4" xfId="26814"/>
    <cellStyle name="Note 7 3 3 3 2 4 2" xfId="35575"/>
    <cellStyle name="Note 7 3 3 3 2 5" xfId="25712"/>
    <cellStyle name="Note 7 3 3 3 2 5 2" xfId="34479"/>
    <cellStyle name="Note 7 3 3 3 2 6" xfId="25884"/>
    <cellStyle name="Note 7 3 3 3 2 6 2" xfId="34650"/>
    <cellStyle name="Note 7 3 3 3 2 7" xfId="27514"/>
    <cellStyle name="Note 7 3 3 3 2 7 2" xfId="36274"/>
    <cellStyle name="Note 7 3 3 3 2 8" xfId="27326"/>
    <cellStyle name="Note 7 3 3 3 2 8 2" xfId="36086"/>
    <cellStyle name="Note 7 3 3 3 2 9" xfId="26313"/>
    <cellStyle name="Note 7 3 3 3 2 9 2" xfId="35079"/>
    <cellStyle name="Note 7 3 3 3 3" xfId="18063"/>
    <cellStyle name="Note 7 3 3 3 3 10" xfId="25357"/>
    <cellStyle name="Note 7 3 3 3 3 10 2" xfId="34126"/>
    <cellStyle name="Note 7 3 3 3 3 11" xfId="32888"/>
    <cellStyle name="Note 7 3 3 3 3 2" xfId="27620"/>
    <cellStyle name="Note 7 3 3 3 3 2 2" xfId="36380"/>
    <cellStyle name="Note 7 3 3 3 3 3" xfId="25191"/>
    <cellStyle name="Note 7 3 3 3 3 3 2" xfId="33962"/>
    <cellStyle name="Note 7 3 3 3 3 4" xfId="25102"/>
    <cellStyle name="Note 7 3 3 3 3 4 2" xfId="33874"/>
    <cellStyle name="Note 7 3 3 3 3 5" xfId="24788"/>
    <cellStyle name="Note 7 3 3 3 3 5 2" xfId="33564"/>
    <cellStyle name="Note 7 3 3 3 3 6" xfId="26696"/>
    <cellStyle name="Note 7 3 3 3 3 6 2" xfId="35460"/>
    <cellStyle name="Note 7 3 3 3 3 7" xfId="1751"/>
    <cellStyle name="Note 7 3 3 3 3 7 2" xfId="32559"/>
    <cellStyle name="Note 7 3 3 3 3 8" xfId="27063"/>
    <cellStyle name="Note 7 3 3 3 3 8 2" xfId="35823"/>
    <cellStyle name="Note 7 3 3 3 3 9" xfId="27503"/>
    <cellStyle name="Note 7 3 3 3 3 9 2" xfId="36263"/>
    <cellStyle name="Note 7 3 3 3 4" xfId="24414"/>
    <cellStyle name="Note 7 3 3 3 4 10" xfId="32167"/>
    <cellStyle name="Note 7 3 3 3 4 10 2" xfId="40921"/>
    <cellStyle name="Note 7 3 3 3 4 11" xfId="33242"/>
    <cellStyle name="Note 7 3 3 3 4 2" xfId="29022"/>
    <cellStyle name="Note 7 3 3 3 4 2 2" xfId="37776"/>
    <cellStyle name="Note 7 3 3 3 4 3" xfId="29435"/>
    <cellStyle name="Note 7 3 3 3 4 3 2" xfId="38189"/>
    <cellStyle name="Note 7 3 3 3 4 4" xfId="29855"/>
    <cellStyle name="Note 7 3 3 3 4 4 2" xfId="38609"/>
    <cellStyle name="Note 7 3 3 3 4 5" xfId="30274"/>
    <cellStyle name="Note 7 3 3 3 4 5 2" xfId="39028"/>
    <cellStyle name="Note 7 3 3 3 4 6" xfId="30675"/>
    <cellStyle name="Note 7 3 3 3 4 6 2" xfId="39429"/>
    <cellStyle name="Note 7 3 3 3 4 7" xfId="31061"/>
    <cellStyle name="Note 7 3 3 3 4 7 2" xfId="39815"/>
    <cellStyle name="Note 7 3 3 3 4 8" xfId="31439"/>
    <cellStyle name="Note 7 3 3 3 4 8 2" xfId="40193"/>
    <cellStyle name="Note 7 3 3 3 4 9" xfId="31805"/>
    <cellStyle name="Note 7 3 3 3 4 9 2" xfId="40559"/>
    <cellStyle name="Note 7 3 3 3 5" xfId="26128"/>
    <cellStyle name="Note 7 3 3 3 5 2" xfId="34894"/>
    <cellStyle name="Note 7 3 3 3 6" xfId="28058"/>
    <cellStyle name="Note 7 3 3 3 6 2" xfId="36817"/>
    <cellStyle name="Note 7 3 3 3 7" xfId="27853"/>
    <cellStyle name="Note 7 3 3 3 7 2" xfId="36613"/>
    <cellStyle name="Note 7 3 3 3 8" xfId="27627"/>
    <cellStyle name="Note 7 3 3 3 8 2" xfId="36387"/>
    <cellStyle name="Note 7 3 3 3 9" xfId="26789"/>
    <cellStyle name="Note 7 3 3 3 9 2" xfId="35551"/>
    <cellStyle name="Note 7 3 3 4" xfId="15026"/>
    <cellStyle name="Note 7 3 3 4 10" xfId="30592"/>
    <cellStyle name="Note 7 3 3 4 10 2" xfId="39346"/>
    <cellStyle name="Note 7 3 3 4 11" xfId="30982"/>
    <cellStyle name="Note 7 3 3 4 11 2" xfId="39736"/>
    <cellStyle name="Note 7 3 3 4 12" xfId="32852"/>
    <cellStyle name="Note 7 3 3 4 2" xfId="24342"/>
    <cellStyle name="Note 7 3 3 4 2 10" xfId="32126"/>
    <cellStyle name="Note 7 3 3 4 2 10 2" xfId="40880"/>
    <cellStyle name="Note 7 3 3 4 2 11" xfId="33201"/>
    <cellStyle name="Note 7 3 3 4 2 2" xfId="28977"/>
    <cellStyle name="Note 7 3 3 4 2 2 2" xfId="37731"/>
    <cellStyle name="Note 7 3 3 4 2 3" xfId="29390"/>
    <cellStyle name="Note 7 3 3 4 2 3 2" xfId="38144"/>
    <cellStyle name="Note 7 3 3 4 2 4" xfId="29814"/>
    <cellStyle name="Note 7 3 3 4 2 4 2" xfId="38568"/>
    <cellStyle name="Note 7 3 3 4 2 5" xfId="30229"/>
    <cellStyle name="Note 7 3 3 4 2 5 2" xfId="38983"/>
    <cellStyle name="Note 7 3 3 4 2 6" xfId="30630"/>
    <cellStyle name="Note 7 3 3 4 2 6 2" xfId="39384"/>
    <cellStyle name="Note 7 3 3 4 2 7" xfId="31017"/>
    <cellStyle name="Note 7 3 3 4 2 7 2" xfId="39771"/>
    <cellStyle name="Note 7 3 3 4 2 8" xfId="31396"/>
    <cellStyle name="Note 7 3 3 4 2 8 2" xfId="40150"/>
    <cellStyle name="Note 7 3 3 4 2 9" xfId="31764"/>
    <cellStyle name="Note 7 3 3 4 2 9 2" xfId="40518"/>
    <cellStyle name="Note 7 3 3 4 3" xfId="27107"/>
    <cellStyle name="Note 7 3 3 4 3 2" xfId="35867"/>
    <cellStyle name="Note 7 3 3 4 4" xfId="25258"/>
    <cellStyle name="Note 7 3 3 4 4 2" xfId="34028"/>
    <cellStyle name="Note 7 3 3 4 5" xfId="27967"/>
    <cellStyle name="Note 7 3 3 4 5 2" xfId="36727"/>
    <cellStyle name="Note 7 3 3 4 6" xfId="26078"/>
    <cellStyle name="Note 7 3 3 4 6 2" xfId="34844"/>
    <cellStyle name="Note 7 3 3 4 7" xfId="29345"/>
    <cellStyle name="Note 7 3 3 4 7 2" xfId="38099"/>
    <cellStyle name="Note 7 3 3 4 8" xfId="28620"/>
    <cellStyle name="Note 7 3 3 4 8 2" xfId="37376"/>
    <cellStyle name="Note 7 3 3 4 9" xfId="30189"/>
    <cellStyle name="Note 7 3 3 4 9 2" xfId="38943"/>
    <cellStyle name="Note 7 3 3 5" xfId="18168"/>
    <cellStyle name="Note 7 3 3 5 10" xfId="25625"/>
    <cellStyle name="Note 7 3 3 5 10 2" xfId="34392"/>
    <cellStyle name="Note 7 3 3 5 11" xfId="26484"/>
    <cellStyle name="Note 7 3 3 5 11 2" xfId="35249"/>
    <cellStyle name="Note 7 3 3 5 12" xfId="32912"/>
    <cellStyle name="Note 7 3 3 5 2" xfId="24438"/>
    <cellStyle name="Note 7 3 3 5 2 10" xfId="32191"/>
    <cellStyle name="Note 7 3 3 5 2 10 2" xfId="40945"/>
    <cellStyle name="Note 7 3 3 5 2 11" xfId="33266"/>
    <cellStyle name="Note 7 3 3 5 2 2" xfId="29046"/>
    <cellStyle name="Note 7 3 3 5 2 2 2" xfId="37800"/>
    <cellStyle name="Note 7 3 3 5 2 3" xfId="29459"/>
    <cellStyle name="Note 7 3 3 5 2 3 2" xfId="38213"/>
    <cellStyle name="Note 7 3 3 5 2 4" xfId="29879"/>
    <cellStyle name="Note 7 3 3 5 2 4 2" xfId="38633"/>
    <cellStyle name="Note 7 3 3 5 2 5" xfId="30298"/>
    <cellStyle name="Note 7 3 3 5 2 5 2" xfId="39052"/>
    <cellStyle name="Note 7 3 3 5 2 6" xfId="30699"/>
    <cellStyle name="Note 7 3 3 5 2 6 2" xfId="39453"/>
    <cellStyle name="Note 7 3 3 5 2 7" xfId="31085"/>
    <cellStyle name="Note 7 3 3 5 2 7 2" xfId="39839"/>
    <cellStyle name="Note 7 3 3 5 2 8" xfId="31463"/>
    <cellStyle name="Note 7 3 3 5 2 8 2" xfId="40217"/>
    <cellStyle name="Note 7 3 3 5 2 9" xfId="31829"/>
    <cellStyle name="Note 7 3 3 5 2 9 2" xfId="40583"/>
    <cellStyle name="Note 7 3 3 5 3" xfId="27658"/>
    <cellStyle name="Note 7 3 3 5 3 2" xfId="36418"/>
    <cellStyle name="Note 7 3 3 5 4" xfId="26826"/>
    <cellStyle name="Note 7 3 3 5 4 2" xfId="35587"/>
    <cellStyle name="Note 7 3 3 5 5" xfId="26408"/>
    <cellStyle name="Note 7 3 3 5 5 2" xfId="35174"/>
    <cellStyle name="Note 7 3 3 5 6" xfId="29350"/>
    <cellStyle name="Note 7 3 3 5 6 2" xfId="38104"/>
    <cellStyle name="Note 7 3 3 5 7" xfId="28230"/>
    <cellStyle name="Note 7 3 3 5 7 2" xfId="36989"/>
    <cellStyle name="Note 7 3 3 5 8" xfId="27523"/>
    <cellStyle name="Note 7 3 3 5 8 2" xfId="36283"/>
    <cellStyle name="Note 7 3 3 5 9" xfId="28547"/>
    <cellStyle name="Note 7 3 3 5 9 2" xfId="37303"/>
    <cellStyle name="Note 7 3 3 6" xfId="23610"/>
    <cellStyle name="Note 7 3 3 6 10" xfId="25857"/>
    <cellStyle name="Note 7 3 3 6 10 2" xfId="34623"/>
    <cellStyle name="Note 7 3 3 6 11" xfId="27288"/>
    <cellStyle name="Note 7 3 3 6 11 2" xfId="36048"/>
    <cellStyle name="Note 7 3 3 6 12" xfId="33080"/>
    <cellStyle name="Note 7 3 3 6 2" xfId="24665"/>
    <cellStyle name="Note 7 3 3 6 2 10" xfId="32366"/>
    <cellStyle name="Note 7 3 3 6 2 10 2" xfId="41120"/>
    <cellStyle name="Note 7 3 3 6 2 11" xfId="33441"/>
    <cellStyle name="Note 7 3 3 6 2 2" xfId="29230"/>
    <cellStyle name="Note 7 3 3 6 2 2 2" xfId="37984"/>
    <cellStyle name="Note 7 3 3 6 2 3" xfId="29640"/>
    <cellStyle name="Note 7 3 3 6 2 3 2" xfId="38394"/>
    <cellStyle name="Note 7 3 3 6 2 4" xfId="30060"/>
    <cellStyle name="Note 7 3 3 6 2 4 2" xfId="38814"/>
    <cellStyle name="Note 7 3 3 6 2 5" xfId="30476"/>
    <cellStyle name="Note 7 3 3 6 2 5 2" xfId="39230"/>
    <cellStyle name="Note 7 3 3 6 2 6" xfId="30877"/>
    <cellStyle name="Note 7 3 3 6 2 6 2" xfId="39631"/>
    <cellStyle name="Note 7 3 3 6 2 7" xfId="31263"/>
    <cellStyle name="Note 7 3 3 6 2 7 2" xfId="40017"/>
    <cellStyle name="Note 7 3 3 6 2 8" xfId="31639"/>
    <cellStyle name="Note 7 3 3 6 2 8 2" xfId="40393"/>
    <cellStyle name="Note 7 3 3 6 2 9" xfId="32005"/>
    <cellStyle name="Note 7 3 3 6 2 9 2" xfId="40759"/>
    <cellStyle name="Note 7 3 3 6 3" xfId="28726"/>
    <cellStyle name="Note 7 3 3 6 3 2" xfId="37482"/>
    <cellStyle name="Note 7 3 3 6 4" xfId="2892"/>
    <cellStyle name="Note 7 3 3 6 4 2" xfId="32678"/>
    <cellStyle name="Note 7 3 3 6 5" xfId="26572"/>
    <cellStyle name="Note 7 3 3 6 5 2" xfId="35337"/>
    <cellStyle name="Note 7 3 3 6 6" xfId="27964"/>
    <cellStyle name="Note 7 3 3 6 6 2" xfId="36724"/>
    <cellStyle name="Note 7 3 3 6 7" xfId="27146"/>
    <cellStyle name="Note 7 3 3 6 7 2" xfId="35906"/>
    <cellStyle name="Note 7 3 3 6 8" xfId="26857"/>
    <cellStyle name="Note 7 3 3 6 8 2" xfId="35618"/>
    <cellStyle name="Note 7 3 3 6 9" xfId="24952"/>
    <cellStyle name="Note 7 3 3 6 9 2" xfId="33726"/>
    <cellStyle name="Note 7 3 3 7" xfId="12275"/>
    <cellStyle name="Note 7 3 3 7 10" xfId="26036"/>
    <cellStyle name="Note 7 3 3 7 10 2" xfId="34802"/>
    <cellStyle name="Note 7 3 3 7 11" xfId="32827"/>
    <cellStyle name="Note 7 3 3 7 2" xfId="26612"/>
    <cellStyle name="Note 7 3 3 7 2 2" xfId="35377"/>
    <cellStyle name="Note 7 3 3 7 3" xfId="25595"/>
    <cellStyle name="Note 7 3 3 7 3 2" xfId="34362"/>
    <cellStyle name="Note 7 3 3 7 4" xfId="26292"/>
    <cellStyle name="Note 7 3 3 7 4 2" xfId="35058"/>
    <cellStyle name="Note 7 3 3 7 5" xfId="25133"/>
    <cellStyle name="Note 7 3 3 7 5 2" xfId="33904"/>
    <cellStyle name="Note 7 3 3 7 6" xfId="27175"/>
    <cellStyle name="Note 7 3 3 7 6 2" xfId="35935"/>
    <cellStyle name="Note 7 3 3 7 7" xfId="24950"/>
    <cellStyle name="Note 7 3 3 7 7 2" xfId="33724"/>
    <cellStyle name="Note 7 3 3 7 8" xfId="28680"/>
    <cellStyle name="Note 7 3 3 7 8 2" xfId="37436"/>
    <cellStyle name="Note 7 3 3 7 9" xfId="25974"/>
    <cellStyle name="Note 7 3 3 7 9 2" xfId="34740"/>
    <cellStyle name="Note 7 3 3 8" xfId="25531"/>
    <cellStyle name="Note 7 3 3 8 2" xfId="34298"/>
    <cellStyle name="Note 7 3 3 9" xfId="26721"/>
    <cellStyle name="Note 7 3 3 9 2" xfId="35484"/>
    <cellStyle name="Note 7 3 4" xfId="6203"/>
    <cellStyle name="Note 7 3 4 10" xfId="26619"/>
    <cellStyle name="Note 7 3 4 10 2" xfId="35384"/>
    <cellStyle name="Note 7 3 4 11" xfId="25672"/>
    <cellStyle name="Note 7 3 4 11 2" xfId="34439"/>
    <cellStyle name="Note 7 3 4 12" xfId="27477"/>
    <cellStyle name="Note 7 3 4 12 2" xfId="36237"/>
    <cellStyle name="Note 7 3 4 13" xfId="30195"/>
    <cellStyle name="Note 7 3 4 13 2" xfId="38949"/>
    <cellStyle name="Note 7 3 4 14" xfId="32754"/>
    <cellStyle name="Note 7 3 4 2" xfId="18230"/>
    <cellStyle name="Note 7 3 4 2 10" xfId="26783"/>
    <cellStyle name="Note 7 3 4 2 10 2" xfId="35545"/>
    <cellStyle name="Note 7 3 4 2 11" xfId="27095"/>
    <cellStyle name="Note 7 3 4 2 11 2" xfId="35855"/>
    <cellStyle name="Note 7 3 4 2 12" xfId="32974"/>
    <cellStyle name="Note 7 3 4 2 2" xfId="24500"/>
    <cellStyle name="Note 7 3 4 2 2 10" xfId="32253"/>
    <cellStyle name="Note 7 3 4 2 2 10 2" xfId="41007"/>
    <cellStyle name="Note 7 3 4 2 2 11" xfId="33328"/>
    <cellStyle name="Note 7 3 4 2 2 2" xfId="29108"/>
    <cellStyle name="Note 7 3 4 2 2 2 2" xfId="37862"/>
    <cellStyle name="Note 7 3 4 2 2 3" xfId="29521"/>
    <cellStyle name="Note 7 3 4 2 2 3 2" xfId="38275"/>
    <cellStyle name="Note 7 3 4 2 2 4" xfId="29941"/>
    <cellStyle name="Note 7 3 4 2 2 4 2" xfId="38695"/>
    <cellStyle name="Note 7 3 4 2 2 5" xfId="30360"/>
    <cellStyle name="Note 7 3 4 2 2 5 2" xfId="39114"/>
    <cellStyle name="Note 7 3 4 2 2 6" xfId="30761"/>
    <cellStyle name="Note 7 3 4 2 2 6 2" xfId="39515"/>
    <cellStyle name="Note 7 3 4 2 2 7" xfId="31147"/>
    <cellStyle name="Note 7 3 4 2 2 7 2" xfId="39901"/>
    <cellStyle name="Note 7 3 4 2 2 8" xfId="31525"/>
    <cellStyle name="Note 7 3 4 2 2 8 2" xfId="40279"/>
    <cellStyle name="Note 7 3 4 2 2 9" xfId="31891"/>
    <cellStyle name="Note 7 3 4 2 2 9 2" xfId="40645"/>
    <cellStyle name="Note 7 3 4 2 3" xfId="27720"/>
    <cellStyle name="Note 7 3 4 2 3 2" xfId="36480"/>
    <cellStyle name="Note 7 3 4 2 4" xfId="27926"/>
    <cellStyle name="Note 7 3 4 2 4 2" xfId="36686"/>
    <cellStyle name="Note 7 3 4 2 5" xfId="28219"/>
    <cellStyle name="Note 7 3 4 2 5 2" xfId="36978"/>
    <cellStyle name="Note 7 3 4 2 6" xfId="25868"/>
    <cellStyle name="Note 7 3 4 2 6 2" xfId="34634"/>
    <cellStyle name="Note 7 3 4 2 7" xfId="25520"/>
    <cellStyle name="Note 7 3 4 2 7 2" xfId="34289"/>
    <cellStyle name="Note 7 3 4 2 8" xfId="25101"/>
    <cellStyle name="Note 7 3 4 2 8 2" xfId="33873"/>
    <cellStyle name="Note 7 3 4 2 9" xfId="29381"/>
    <cellStyle name="Note 7 3 4 2 9 2" xfId="38135"/>
    <cellStyle name="Note 7 3 4 3" xfId="15083"/>
    <cellStyle name="Note 7 3 4 3 10" xfId="27007"/>
    <cellStyle name="Note 7 3 4 3 10 2" xfId="35767"/>
    <cellStyle name="Note 7 3 4 3 11" xfId="32875"/>
    <cellStyle name="Note 7 3 4 3 2" xfId="27138"/>
    <cellStyle name="Note 7 3 4 3 2 2" xfId="35898"/>
    <cellStyle name="Note 7 3 4 3 3" xfId="28487"/>
    <cellStyle name="Note 7 3 4 3 3 2" xfId="37243"/>
    <cellStyle name="Note 7 3 4 3 4" xfId="28284"/>
    <cellStyle name="Note 7 3 4 3 4 2" xfId="37043"/>
    <cellStyle name="Note 7 3 4 3 5" xfId="27496"/>
    <cellStyle name="Note 7 3 4 3 5 2" xfId="36256"/>
    <cellStyle name="Note 7 3 4 3 6" xfId="28901"/>
    <cellStyle name="Note 7 3 4 3 6 2" xfId="37657"/>
    <cellStyle name="Note 7 3 4 3 7" xfId="28136"/>
    <cellStyle name="Note 7 3 4 3 7 2" xfId="36895"/>
    <cellStyle name="Note 7 3 4 3 8" xfId="25778"/>
    <cellStyle name="Note 7 3 4 3 8 2" xfId="34545"/>
    <cellStyle name="Note 7 3 4 3 9" xfId="29349"/>
    <cellStyle name="Note 7 3 4 3 9 2" xfId="38103"/>
    <cellStyle name="Note 7 3 4 4" xfId="24365"/>
    <cellStyle name="Note 7 3 4 4 10" xfId="32149"/>
    <cellStyle name="Note 7 3 4 4 10 2" xfId="40903"/>
    <cellStyle name="Note 7 3 4 4 11" xfId="33224"/>
    <cellStyle name="Note 7 3 4 4 2" xfId="29000"/>
    <cellStyle name="Note 7 3 4 4 2 2" xfId="37754"/>
    <cellStyle name="Note 7 3 4 4 3" xfId="29413"/>
    <cellStyle name="Note 7 3 4 4 3 2" xfId="38167"/>
    <cellStyle name="Note 7 3 4 4 4" xfId="29837"/>
    <cellStyle name="Note 7 3 4 4 4 2" xfId="38591"/>
    <cellStyle name="Note 7 3 4 4 5" xfId="30252"/>
    <cellStyle name="Note 7 3 4 4 5 2" xfId="39006"/>
    <cellStyle name="Note 7 3 4 4 6" xfId="30653"/>
    <cellStyle name="Note 7 3 4 4 6 2" xfId="39407"/>
    <cellStyle name="Note 7 3 4 4 7" xfId="31040"/>
    <cellStyle name="Note 7 3 4 4 7 2" xfId="39794"/>
    <cellStyle name="Note 7 3 4 4 8" xfId="31419"/>
    <cellStyle name="Note 7 3 4 4 8 2" xfId="40173"/>
    <cellStyle name="Note 7 3 4 4 9" xfId="31787"/>
    <cellStyle name="Note 7 3 4 4 9 2" xfId="40541"/>
    <cellStyle name="Note 7 3 4 5" xfId="25592"/>
    <cellStyle name="Note 7 3 4 5 2" xfId="34359"/>
    <cellStyle name="Note 7 3 4 6" xfId="27221"/>
    <cellStyle name="Note 7 3 4 6 2" xfId="35981"/>
    <cellStyle name="Note 7 3 4 7" xfId="27574"/>
    <cellStyle name="Note 7 3 4 7 2" xfId="36334"/>
    <cellStyle name="Note 7 3 4 8" xfId="28110"/>
    <cellStyle name="Note 7 3 4 8 2" xfId="36869"/>
    <cellStyle name="Note 7 3 4 9" xfId="26173"/>
    <cellStyle name="Note 7 3 4 9 2" xfId="34939"/>
    <cellStyle name="Note 7 3 5" xfId="9553"/>
    <cellStyle name="Note 7 3 5 10" xfId="28921"/>
    <cellStyle name="Note 7 3 5 10 2" xfId="37676"/>
    <cellStyle name="Note 7 3 5 11" xfId="26393"/>
    <cellStyle name="Note 7 3 5 11 2" xfId="35159"/>
    <cellStyle name="Note 7 3 5 12" xfId="30171"/>
    <cellStyle name="Note 7 3 5 12 2" xfId="38925"/>
    <cellStyle name="Note 7 3 5 13" xfId="30579"/>
    <cellStyle name="Note 7 3 5 13 2" xfId="39333"/>
    <cellStyle name="Note 7 3 5 14" xfId="32811"/>
    <cellStyle name="Note 7 3 5 2" xfId="18292"/>
    <cellStyle name="Note 7 3 5 2 10" xfId="26487"/>
    <cellStyle name="Note 7 3 5 2 10 2" xfId="35252"/>
    <cellStyle name="Note 7 3 5 2 11" xfId="30196"/>
    <cellStyle name="Note 7 3 5 2 11 2" xfId="38950"/>
    <cellStyle name="Note 7 3 5 2 12" xfId="33036"/>
    <cellStyle name="Note 7 3 5 2 2" xfId="24562"/>
    <cellStyle name="Note 7 3 5 2 2 10" xfId="32315"/>
    <cellStyle name="Note 7 3 5 2 2 10 2" xfId="41069"/>
    <cellStyle name="Note 7 3 5 2 2 11" xfId="33390"/>
    <cellStyle name="Note 7 3 5 2 2 2" xfId="29170"/>
    <cellStyle name="Note 7 3 5 2 2 2 2" xfId="37924"/>
    <cellStyle name="Note 7 3 5 2 2 3" xfId="29583"/>
    <cellStyle name="Note 7 3 5 2 2 3 2" xfId="38337"/>
    <cellStyle name="Note 7 3 5 2 2 4" xfId="30003"/>
    <cellStyle name="Note 7 3 5 2 2 4 2" xfId="38757"/>
    <cellStyle name="Note 7 3 5 2 2 5" xfId="30422"/>
    <cellStyle name="Note 7 3 5 2 2 5 2" xfId="39176"/>
    <cellStyle name="Note 7 3 5 2 2 6" xfId="30823"/>
    <cellStyle name="Note 7 3 5 2 2 6 2" xfId="39577"/>
    <cellStyle name="Note 7 3 5 2 2 7" xfId="31209"/>
    <cellStyle name="Note 7 3 5 2 2 7 2" xfId="39963"/>
    <cellStyle name="Note 7 3 5 2 2 8" xfId="31587"/>
    <cellStyle name="Note 7 3 5 2 2 8 2" xfId="40341"/>
    <cellStyle name="Note 7 3 5 2 2 9" xfId="31953"/>
    <cellStyle name="Note 7 3 5 2 2 9 2" xfId="40707"/>
    <cellStyle name="Note 7 3 5 2 3" xfId="27782"/>
    <cellStyle name="Note 7 3 5 2 3 2" xfId="36542"/>
    <cellStyle name="Note 7 3 5 2 4" xfId="27919"/>
    <cellStyle name="Note 7 3 5 2 4 2" xfId="36679"/>
    <cellStyle name="Note 7 3 5 2 5" xfId="26667"/>
    <cellStyle name="Note 7 3 5 2 5 2" xfId="35431"/>
    <cellStyle name="Note 7 3 5 2 6" xfId="27565"/>
    <cellStyle name="Note 7 3 5 2 6 2" xfId="36325"/>
    <cellStyle name="Note 7 3 5 2 7" xfId="26025"/>
    <cellStyle name="Note 7 3 5 2 7 2" xfId="34791"/>
    <cellStyle name="Note 7 3 5 2 8" xfId="27328"/>
    <cellStyle name="Note 7 3 5 2 8 2" xfId="36088"/>
    <cellStyle name="Note 7 3 5 2 9" xfId="28939"/>
    <cellStyle name="Note 7 3 5 2 9 2" xfId="37694"/>
    <cellStyle name="Note 7 3 5 3" xfId="18146"/>
    <cellStyle name="Note 7 3 5 3 10" xfId="27589"/>
    <cellStyle name="Note 7 3 5 3 10 2" xfId="36349"/>
    <cellStyle name="Note 7 3 5 3 11" xfId="32890"/>
    <cellStyle name="Note 7 3 5 3 2" xfId="27636"/>
    <cellStyle name="Note 7 3 5 3 2 2" xfId="36396"/>
    <cellStyle name="Note 7 3 5 3 3" xfId="27555"/>
    <cellStyle name="Note 7 3 5 3 3 2" xfId="36315"/>
    <cellStyle name="Note 7 3 5 3 4" xfId="28553"/>
    <cellStyle name="Note 7 3 5 3 4 2" xfId="37309"/>
    <cellStyle name="Note 7 3 5 3 5" xfId="26257"/>
    <cellStyle name="Note 7 3 5 3 5 2" xfId="35023"/>
    <cellStyle name="Note 7 3 5 3 6" xfId="26697"/>
    <cellStyle name="Note 7 3 5 3 6 2" xfId="35461"/>
    <cellStyle name="Note 7 3 5 3 7" xfId="24943"/>
    <cellStyle name="Note 7 3 5 3 7 2" xfId="33717"/>
    <cellStyle name="Note 7 3 5 3 8" xfId="27447"/>
    <cellStyle name="Note 7 3 5 3 8 2" xfId="36207"/>
    <cellStyle name="Note 7 3 5 3 9" xfId="27330"/>
    <cellStyle name="Note 7 3 5 3 9 2" xfId="36090"/>
    <cellStyle name="Note 7 3 5 4" xfId="24416"/>
    <cellStyle name="Note 7 3 5 4 10" xfId="32169"/>
    <cellStyle name="Note 7 3 5 4 10 2" xfId="40923"/>
    <cellStyle name="Note 7 3 5 4 11" xfId="33244"/>
    <cellStyle name="Note 7 3 5 4 2" xfId="29024"/>
    <cellStyle name="Note 7 3 5 4 2 2" xfId="37778"/>
    <cellStyle name="Note 7 3 5 4 3" xfId="29437"/>
    <cellStyle name="Note 7 3 5 4 3 2" xfId="38191"/>
    <cellStyle name="Note 7 3 5 4 4" xfId="29857"/>
    <cellStyle name="Note 7 3 5 4 4 2" xfId="38611"/>
    <cellStyle name="Note 7 3 5 4 5" xfId="30276"/>
    <cellStyle name="Note 7 3 5 4 5 2" xfId="39030"/>
    <cellStyle name="Note 7 3 5 4 6" xfId="30677"/>
    <cellStyle name="Note 7 3 5 4 6 2" xfId="39431"/>
    <cellStyle name="Note 7 3 5 4 7" xfId="31063"/>
    <cellStyle name="Note 7 3 5 4 7 2" xfId="39817"/>
    <cellStyle name="Note 7 3 5 4 8" xfId="31441"/>
    <cellStyle name="Note 7 3 5 4 8 2" xfId="40195"/>
    <cellStyle name="Note 7 3 5 4 9" xfId="31807"/>
    <cellStyle name="Note 7 3 5 4 9 2" xfId="40561"/>
    <cellStyle name="Note 7 3 5 5" xfId="26143"/>
    <cellStyle name="Note 7 3 5 5 2" xfId="34909"/>
    <cellStyle name="Note 7 3 5 6" xfId="27244"/>
    <cellStyle name="Note 7 3 5 6 2" xfId="36004"/>
    <cellStyle name="Note 7 3 5 7" xfId="24973"/>
    <cellStyle name="Note 7 3 5 7 2" xfId="33747"/>
    <cellStyle name="Note 7 3 5 8" xfId="26967"/>
    <cellStyle name="Note 7 3 5 8 2" xfId="35727"/>
    <cellStyle name="Note 7 3 5 9" xfId="25559"/>
    <cellStyle name="Note 7 3 5 9 2" xfId="34326"/>
    <cellStyle name="Note 7 3 6" xfId="15024"/>
    <cellStyle name="Note 7 3 6 10" xfId="25085"/>
    <cellStyle name="Note 7 3 6 10 2" xfId="33857"/>
    <cellStyle name="Note 7 3 6 11" xfId="28340"/>
    <cellStyle name="Note 7 3 6 11 2" xfId="37099"/>
    <cellStyle name="Note 7 3 6 12" xfId="32850"/>
    <cellStyle name="Note 7 3 6 2" xfId="24340"/>
    <cellStyle name="Note 7 3 6 2 10" xfId="32124"/>
    <cellStyle name="Note 7 3 6 2 10 2" xfId="40878"/>
    <cellStyle name="Note 7 3 6 2 11" xfId="33199"/>
    <cellStyle name="Note 7 3 6 2 2" xfId="28975"/>
    <cellStyle name="Note 7 3 6 2 2 2" xfId="37729"/>
    <cellStyle name="Note 7 3 6 2 3" xfId="29388"/>
    <cellStyle name="Note 7 3 6 2 3 2" xfId="38142"/>
    <cellStyle name="Note 7 3 6 2 4" xfId="29812"/>
    <cellStyle name="Note 7 3 6 2 4 2" xfId="38566"/>
    <cellStyle name="Note 7 3 6 2 5" xfId="30227"/>
    <cellStyle name="Note 7 3 6 2 5 2" xfId="38981"/>
    <cellStyle name="Note 7 3 6 2 6" xfId="30628"/>
    <cellStyle name="Note 7 3 6 2 6 2" xfId="39382"/>
    <cellStyle name="Note 7 3 6 2 7" xfId="31015"/>
    <cellStyle name="Note 7 3 6 2 7 2" xfId="39769"/>
    <cellStyle name="Note 7 3 6 2 8" xfId="31394"/>
    <cellStyle name="Note 7 3 6 2 8 2" xfId="40148"/>
    <cellStyle name="Note 7 3 6 2 9" xfId="31762"/>
    <cellStyle name="Note 7 3 6 2 9 2" xfId="40516"/>
    <cellStyle name="Note 7 3 6 3" xfId="27105"/>
    <cellStyle name="Note 7 3 6 3 2" xfId="35865"/>
    <cellStyle name="Note 7 3 6 4" xfId="28554"/>
    <cellStyle name="Note 7 3 6 4 2" xfId="37310"/>
    <cellStyle name="Note 7 3 6 5" xfId="26797"/>
    <cellStyle name="Note 7 3 6 5 2" xfId="35559"/>
    <cellStyle name="Note 7 3 6 6" xfId="29332"/>
    <cellStyle name="Note 7 3 6 6 2" xfId="38086"/>
    <cellStyle name="Note 7 3 6 7" xfId="25626"/>
    <cellStyle name="Note 7 3 6 7 2" xfId="34393"/>
    <cellStyle name="Note 7 3 6 8" xfId="27838"/>
    <cellStyle name="Note 7 3 6 8 2" xfId="36598"/>
    <cellStyle name="Note 7 3 6 9" xfId="26859"/>
    <cellStyle name="Note 7 3 6 9 2" xfId="35620"/>
    <cellStyle name="Note 7 3 7" xfId="18166"/>
    <cellStyle name="Note 7 3 7 10" xfId="30199"/>
    <cellStyle name="Note 7 3 7 10 2" xfId="38953"/>
    <cellStyle name="Note 7 3 7 11" xfId="30600"/>
    <cellStyle name="Note 7 3 7 11 2" xfId="39354"/>
    <cellStyle name="Note 7 3 7 12" xfId="32910"/>
    <cellStyle name="Note 7 3 7 2" xfId="24436"/>
    <cellStyle name="Note 7 3 7 2 10" xfId="32189"/>
    <cellStyle name="Note 7 3 7 2 10 2" xfId="40943"/>
    <cellStyle name="Note 7 3 7 2 11" xfId="33264"/>
    <cellStyle name="Note 7 3 7 2 2" xfId="29044"/>
    <cellStyle name="Note 7 3 7 2 2 2" xfId="37798"/>
    <cellStyle name="Note 7 3 7 2 3" xfId="29457"/>
    <cellStyle name="Note 7 3 7 2 3 2" xfId="38211"/>
    <cellStyle name="Note 7 3 7 2 4" xfId="29877"/>
    <cellStyle name="Note 7 3 7 2 4 2" xfId="38631"/>
    <cellStyle name="Note 7 3 7 2 5" xfId="30296"/>
    <cellStyle name="Note 7 3 7 2 5 2" xfId="39050"/>
    <cellStyle name="Note 7 3 7 2 6" xfId="30697"/>
    <cellStyle name="Note 7 3 7 2 6 2" xfId="39451"/>
    <cellStyle name="Note 7 3 7 2 7" xfId="31083"/>
    <cellStyle name="Note 7 3 7 2 7 2" xfId="39837"/>
    <cellStyle name="Note 7 3 7 2 8" xfId="31461"/>
    <cellStyle name="Note 7 3 7 2 8 2" xfId="40215"/>
    <cellStyle name="Note 7 3 7 2 9" xfId="31827"/>
    <cellStyle name="Note 7 3 7 2 9 2" xfId="40581"/>
    <cellStyle name="Note 7 3 7 3" xfId="27656"/>
    <cellStyle name="Note 7 3 7 3 2" xfId="36416"/>
    <cellStyle name="Note 7 3 7 4" xfId="26685"/>
    <cellStyle name="Note 7 3 7 4 2" xfId="35449"/>
    <cellStyle name="Note 7 3 7 5" xfId="25742"/>
    <cellStyle name="Note 7 3 7 5 2" xfId="34509"/>
    <cellStyle name="Note 7 3 7 6" xfId="25630"/>
    <cellStyle name="Note 7 3 7 6 2" xfId="34397"/>
    <cellStyle name="Note 7 3 7 7" xfId="29775"/>
    <cellStyle name="Note 7 3 7 7 2" xfId="38529"/>
    <cellStyle name="Note 7 3 7 8" xfId="28339"/>
    <cellStyle name="Note 7 3 7 8 2" xfId="37098"/>
    <cellStyle name="Note 7 3 7 9" xfId="26103"/>
    <cellStyle name="Note 7 3 7 9 2" xfId="34869"/>
    <cellStyle name="Note 7 3 8" xfId="23608"/>
    <cellStyle name="Note 7 3 8 10" xfId="26038"/>
    <cellStyle name="Note 7 3 8 10 2" xfId="34804"/>
    <cellStyle name="Note 7 3 8 11" xfId="28106"/>
    <cellStyle name="Note 7 3 8 11 2" xfId="36865"/>
    <cellStyle name="Note 7 3 8 12" xfId="33078"/>
    <cellStyle name="Note 7 3 8 2" xfId="24663"/>
    <cellStyle name="Note 7 3 8 2 10" xfId="32364"/>
    <cellStyle name="Note 7 3 8 2 10 2" xfId="41118"/>
    <cellStyle name="Note 7 3 8 2 11" xfId="33439"/>
    <cellStyle name="Note 7 3 8 2 2" xfId="29228"/>
    <cellStyle name="Note 7 3 8 2 2 2" xfId="37982"/>
    <cellStyle name="Note 7 3 8 2 3" xfId="29638"/>
    <cellStyle name="Note 7 3 8 2 3 2" xfId="38392"/>
    <cellStyle name="Note 7 3 8 2 4" xfId="30058"/>
    <cellStyle name="Note 7 3 8 2 4 2" xfId="38812"/>
    <cellStyle name="Note 7 3 8 2 5" xfId="30474"/>
    <cellStyle name="Note 7 3 8 2 5 2" xfId="39228"/>
    <cellStyle name="Note 7 3 8 2 6" xfId="30875"/>
    <cellStyle name="Note 7 3 8 2 6 2" xfId="39629"/>
    <cellStyle name="Note 7 3 8 2 7" xfId="31261"/>
    <cellStyle name="Note 7 3 8 2 7 2" xfId="40015"/>
    <cellStyle name="Note 7 3 8 2 8" xfId="31637"/>
    <cellStyle name="Note 7 3 8 2 8 2" xfId="40391"/>
    <cellStyle name="Note 7 3 8 2 9" xfId="32003"/>
    <cellStyle name="Note 7 3 8 2 9 2" xfId="40757"/>
    <cellStyle name="Note 7 3 8 3" xfId="28724"/>
    <cellStyle name="Note 7 3 8 3 2" xfId="37480"/>
    <cellStyle name="Note 7 3 8 4" xfId="24894"/>
    <cellStyle name="Note 7 3 8 4 2" xfId="33668"/>
    <cellStyle name="Note 7 3 8 5" xfId="27319"/>
    <cellStyle name="Note 7 3 8 5 2" xfId="36079"/>
    <cellStyle name="Note 7 3 8 6" xfId="25025"/>
    <cellStyle name="Note 7 3 8 6 2" xfId="33799"/>
    <cellStyle name="Note 7 3 8 7" xfId="25280"/>
    <cellStyle name="Note 7 3 8 7 2" xfId="34050"/>
    <cellStyle name="Note 7 3 8 8" xfId="28310"/>
    <cellStyle name="Note 7 3 8 8 2" xfId="37069"/>
    <cellStyle name="Note 7 3 8 9" xfId="25973"/>
    <cellStyle name="Note 7 3 8 9 2" xfId="34739"/>
    <cellStyle name="Note 7 3 9" xfId="27819"/>
    <cellStyle name="Note 7 3 9 2" xfId="36579"/>
    <cellStyle name="Note 7 4" xfId="5872"/>
    <cellStyle name="Note 7 4 10" xfId="25632"/>
    <cellStyle name="Note 7 4 10 2" xfId="34399"/>
    <cellStyle name="Note 7 4 11" xfId="26678"/>
    <cellStyle name="Note 7 4 11 2" xfId="35442"/>
    <cellStyle name="Note 7 4 12" xfId="27295"/>
    <cellStyle name="Note 7 4 12 2" xfId="36055"/>
    <cellStyle name="Note 7 4 13" xfId="28076"/>
    <cellStyle name="Note 7 4 13 2" xfId="36835"/>
    <cellStyle name="Note 7 4 14" xfId="27327"/>
    <cellStyle name="Note 7 4 14 2" xfId="36087"/>
    <cellStyle name="Note 7 4 15" xfId="26363"/>
    <cellStyle name="Note 7 4 15 2" xfId="35129"/>
    <cellStyle name="Note 7 4 16" xfId="27945"/>
    <cellStyle name="Note 7 4 16 2" xfId="36705"/>
    <cellStyle name="Note 7 4 17" xfId="32709"/>
    <cellStyle name="Note 7 4 18" xfId="43186"/>
    <cellStyle name="Note 7 4 2" xfId="6243"/>
    <cellStyle name="Note 7 4 2 10" xfId="27944"/>
    <cellStyle name="Note 7 4 2 10 2" xfId="36704"/>
    <cellStyle name="Note 7 4 2 11" xfId="29737"/>
    <cellStyle name="Note 7 4 2 11 2" xfId="38491"/>
    <cellStyle name="Note 7 4 2 12" xfId="30163"/>
    <cellStyle name="Note 7 4 2 12 2" xfId="38917"/>
    <cellStyle name="Note 7 4 2 13" xfId="30574"/>
    <cellStyle name="Note 7 4 2 13 2" xfId="39328"/>
    <cellStyle name="Note 7 4 2 14" xfId="32756"/>
    <cellStyle name="Note 7 4 2 2" xfId="18232"/>
    <cellStyle name="Note 7 4 2 2 10" xfId="27454"/>
    <cellStyle name="Note 7 4 2 2 10 2" xfId="36214"/>
    <cellStyle name="Note 7 4 2 2 11" xfId="25042"/>
    <cellStyle name="Note 7 4 2 2 11 2" xfId="33816"/>
    <cellStyle name="Note 7 4 2 2 12" xfId="32976"/>
    <cellStyle name="Note 7 4 2 2 2" xfId="24502"/>
    <cellStyle name="Note 7 4 2 2 2 10" xfId="32255"/>
    <cellStyle name="Note 7 4 2 2 2 10 2" xfId="41009"/>
    <cellStyle name="Note 7 4 2 2 2 11" xfId="33330"/>
    <cellStyle name="Note 7 4 2 2 2 2" xfId="29110"/>
    <cellStyle name="Note 7 4 2 2 2 2 2" xfId="37864"/>
    <cellStyle name="Note 7 4 2 2 2 3" xfId="29523"/>
    <cellStyle name="Note 7 4 2 2 2 3 2" xfId="38277"/>
    <cellStyle name="Note 7 4 2 2 2 4" xfId="29943"/>
    <cellStyle name="Note 7 4 2 2 2 4 2" xfId="38697"/>
    <cellStyle name="Note 7 4 2 2 2 5" xfId="30362"/>
    <cellStyle name="Note 7 4 2 2 2 5 2" xfId="39116"/>
    <cellStyle name="Note 7 4 2 2 2 6" xfId="30763"/>
    <cellStyle name="Note 7 4 2 2 2 6 2" xfId="39517"/>
    <cellStyle name="Note 7 4 2 2 2 7" xfId="31149"/>
    <cellStyle name="Note 7 4 2 2 2 7 2" xfId="39903"/>
    <cellStyle name="Note 7 4 2 2 2 8" xfId="31527"/>
    <cellStyle name="Note 7 4 2 2 2 8 2" xfId="40281"/>
    <cellStyle name="Note 7 4 2 2 2 9" xfId="31893"/>
    <cellStyle name="Note 7 4 2 2 2 9 2" xfId="40647"/>
    <cellStyle name="Note 7 4 2 2 3" xfId="27722"/>
    <cellStyle name="Note 7 4 2 2 3 2" xfId="36482"/>
    <cellStyle name="Note 7 4 2 2 4" xfId="27254"/>
    <cellStyle name="Note 7 4 2 2 4 2" xfId="36014"/>
    <cellStyle name="Note 7 4 2 2 5" xfId="26079"/>
    <cellStyle name="Note 7 4 2 2 5 2" xfId="34845"/>
    <cellStyle name="Note 7 4 2 2 6" xfId="25387"/>
    <cellStyle name="Note 7 4 2 2 6 2" xfId="34156"/>
    <cellStyle name="Note 7 4 2 2 7" xfId="25817"/>
    <cellStyle name="Note 7 4 2 2 7 2" xfId="34583"/>
    <cellStyle name="Note 7 4 2 2 8" xfId="26074"/>
    <cellStyle name="Note 7 4 2 2 8 2" xfId="34840"/>
    <cellStyle name="Note 7 4 2 2 9" xfId="28461"/>
    <cellStyle name="Note 7 4 2 2 9 2" xfId="37218"/>
    <cellStyle name="Note 7 4 2 3" xfId="15086"/>
    <cellStyle name="Note 7 4 2 3 10" xfId="27913"/>
    <cellStyle name="Note 7 4 2 3 10 2" xfId="36673"/>
    <cellStyle name="Note 7 4 2 3 11" xfId="32877"/>
    <cellStyle name="Note 7 4 2 3 2" xfId="27140"/>
    <cellStyle name="Note 7 4 2 3 2 2" xfId="35900"/>
    <cellStyle name="Note 7 4 2 3 3" xfId="26324"/>
    <cellStyle name="Note 7 4 2 3 3 2" xfId="35090"/>
    <cellStyle name="Note 7 4 2 3 4" xfId="26552"/>
    <cellStyle name="Note 7 4 2 3 4 2" xfId="35317"/>
    <cellStyle name="Note 7 4 2 3 5" xfId="26407"/>
    <cellStyle name="Note 7 4 2 3 5 2" xfId="35173"/>
    <cellStyle name="Note 7 4 2 3 6" xfId="25900"/>
    <cellStyle name="Note 7 4 2 3 6 2" xfId="34666"/>
    <cellStyle name="Note 7 4 2 3 7" xfId="25416"/>
    <cellStyle name="Note 7 4 2 3 7 2" xfId="34185"/>
    <cellStyle name="Note 7 4 2 3 8" xfId="26663"/>
    <cellStyle name="Note 7 4 2 3 8 2" xfId="35427"/>
    <cellStyle name="Note 7 4 2 3 9" xfId="25621"/>
    <cellStyle name="Note 7 4 2 3 9 2" xfId="34388"/>
    <cellStyle name="Note 7 4 2 4" xfId="24367"/>
    <cellStyle name="Note 7 4 2 4 10" xfId="32151"/>
    <cellStyle name="Note 7 4 2 4 10 2" xfId="40905"/>
    <cellStyle name="Note 7 4 2 4 11" xfId="33226"/>
    <cellStyle name="Note 7 4 2 4 2" xfId="29002"/>
    <cellStyle name="Note 7 4 2 4 2 2" xfId="37756"/>
    <cellStyle name="Note 7 4 2 4 3" xfId="29415"/>
    <cellStyle name="Note 7 4 2 4 3 2" xfId="38169"/>
    <cellStyle name="Note 7 4 2 4 4" xfId="29839"/>
    <cellStyle name="Note 7 4 2 4 4 2" xfId="38593"/>
    <cellStyle name="Note 7 4 2 4 5" xfId="30254"/>
    <cellStyle name="Note 7 4 2 4 5 2" xfId="39008"/>
    <cellStyle name="Note 7 4 2 4 6" xfId="30655"/>
    <cellStyle name="Note 7 4 2 4 6 2" xfId="39409"/>
    <cellStyle name="Note 7 4 2 4 7" xfId="31042"/>
    <cellStyle name="Note 7 4 2 4 7 2" xfId="39796"/>
    <cellStyle name="Note 7 4 2 4 8" xfId="31421"/>
    <cellStyle name="Note 7 4 2 4 8 2" xfId="40175"/>
    <cellStyle name="Note 7 4 2 4 9" xfId="31789"/>
    <cellStyle name="Note 7 4 2 4 9 2" xfId="40543"/>
    <cellStyle name="Note 7 4 2 5" xfId="25598"/>
    <cellStyle name="Note 7 4 2 5 2" xfId="34365"/>
    <cellStyle name="Note 7 4 2 6" xfId="28834"/>
    <cellStyle name="Note 7 4 2 6 2" xfId="37590"/>
    <cellStyle name="Note 7 4 2 7" xfId="24777"/>
    <cellStyle name="Note 7 4 2 7 2" xfId="33553"/>
    <cellStyle name="Note 7 4 2 8" xfId="26573"/>
    <cellStyle name="Note 7 4 2 8 2" xfId="35338"/>
    <cellStyle name="Note 7 4 2 9" xfId="26485"/>
    <cellStyle name="Note 7 4 2 9 2" xfId="35250"/>
    <cellStyle name="Note 7 4 3" xfId="9557"/>
    <cellStyle name="Note 7 4 3 10" xfId="27462"/>
    <cellStyle name="Note 7 4 3 10 2" xfId="36222"/>
    <cellStyle name="Note 7 4 3 11" xfId="2186"/>
    <cellStyle name="Note 7 4 3 11 2" xfId="32627"/>
    <cellStyle name="Note 7 4 3 12" xfId="27847"/>
    <cellStyle name="Note 7 4 3 12 2" xfId="36607"/>
    <cellStyle name="Note 7 4 3 13" xfId="27608"/>
    <cellStyle name="Note 7 4 3 13 2" xfId="36368"/>
    <cellStyle name="Note 7 4 3 14" xfId="32812"/>
    <cellStyle name="Note 7 4 3 2" xfId="18293"/>
    <cellStyle name="Note 7 4 3 2 10" xfId="26982"/>
    <cellStyle name="Note 7 4 3 2 10 2" xfId="35742"/>
    <cellStyle name="Note 7 4 3 2 11" xfId="26194"/>
    <cellStyle name="Note 7 4 3 2 11 2" xfId="34960"/>
    <cellStyle name="Note 7 4 3 2 12" xfId="33037"/>
    <cellStyle name="Note 7 4 3 2 2" xfId="24563"/>
    <cellStyle name="Note 7 4 3 2 2 10" xfId="32316"/>
    <cellStyle name="Note 7 4 3 2 2 10 2" xfId="41070"/>
    <cellStyle name="Note 7 4 3 2 2 11" xfId="33391"/>
    <cellStyle name="Note 7 4 3 2 2 2" xfId="29171"/>
    <cellStyle name="Note 7 4 3 2 2 2 2" xfId="37925"/>
    <cellStyle name="Note 7 4 3 2 2 3" xfId="29584"/>
    <cellStyle name="Note 7 4 3 2 2 3 2" xfId="38338"/>
    <cellStyle name="Note 7 4 3 2 2 4" xfId="30004"/>
    <cellStyle name="Note 7 4 3 2 2 4 2" xfId="38758"/>
    <cellStyle name="Note 7 4 3 2 2 5" xfId="30423"/>
    <cellStyle name="Note 7 4 3 2 2 5 2" xfId="39177"/>
    <cellStyle name="Note 7 4 3 2 2 6" xfId="30824"/>
    <cellStyle name="Note 7 4 3 2 2 6 2" xfId="39578"/>
    <cellStyle name="Note 7 4 3 2 2 7" xfId="31210"/>
    <cellStyle name="Note 7 4 3 2 2 7 2" xfId="39964"/>
    <cellStyle name="Note 7 4 3 2 2 8" xfId="31588"/>
    <cellStyle name="Note 7 4 3 2 2 8 2" xfId="40342"/>
    <cellStyle name="Note 7 4 3 2 2 9" xfId="31954"/>
    <cellStyle name="Note 7 4 3 2 2 9 2" xfId="40708"/>
    <cellStyle name="Note 7 4 3 2 3" xfId="27783"/>
    <cellStyle name="Note 7 4 3 2 3 2" xfId="36543"/>
    <cellStyle name="Note 7 4 3 2 4" xfId="26813"/>
    <cellStyle name="Note 7 4 3 2 4 2" xfId="35574"/>
    <cellStyle name="Note 7 4 3 2 5" xfId="26904"/>
    <cellStyle name="Note 7 4 3 2 5 2" xfId="35664"/>
    <cellStyle name="Note 7 4 3 2 6" xfId="25222"/>
    <cellStyle name="Note 7 4 3 2 6 2" xfId="33993"/>
    <cellStyle name="Note 7 4 3 2 7" xfId="28638"/>
    <cellStyle name="Note 7 4 3 2 7 2" xfId="37394"/>
    <cellStyle name="Note 7 4 3 2 8" xfId="28305"/>
    <cellStyle name="Note 7 4 3 2 8 2" xfId="37064"/>
    <cellStyle name="Note 7 4 3 2 9" xfId="25543"/>
    <cellStyle name="Note 7 4 3 2 9 2" xfId="34310"/>
    <cellStyle name="Note 7 4 3 3" xfId="18147"/>
    <cellStyle name="Note 7 4 3 3 10" xfId="26730"/>
    <cellStyle name="Note 7 4 3 3 10 2" xfId="35493"/>
    <cellStyle name="Note 7 4 3 3 11" xfId="32891"/>
    <cellStyle name="Note 7 4 3 3 2" xfId="27637"/>
    <cellStyle name="Note 7 4 3 3 2 2" xfId="36397"/>
    <cellStyle name="Note 7 4 3 3 3" xfId="28630"/>
    <cellStyle name="Note 7 4 3 3 3 2" xfId="37386"/>
    <cellStyle name="Note 7 4 3 3 4" xfId="28649"/>
    <cellStyle name="Note 7 4 3 3 4 2" xfId="37405"/>
    <cellStyle name="Note 7 4 3 3 5" xfId="1732"/>
    <cellStyle name="Note 7 4 3 3 5 2" xfId="32543"/>
    <cellStyle name="Note 7 4 3 3 6" xfId="29747"/>
    <cellStyle name="Note 7 4 3 3 6 2" xfId="38501"/>
    <cellStyle name="Note 7 4 3 3 7" xfId="28354"/>
    <cellStyle name="Note 7 4 3 3 7 2" xfId="37113"/>
    <cellStyle name="Note 7 4 3 3 8" xfId="26467"/>
    <cellStyle name="Note 7 4 3 3 8 2" xfId="35232"/>
    <cellStyle name="Note 7 4 3 3 9" xfId="27884"/>
    <cellStyle name="Note 7 4 3 3 9 2" xfId="36644"/>
    <cellStyle name="Note 7 4 3 4" xfId="24417"/>
    <cellStyle name="Note 7 4 3 4 10" xfId="32170"/>
    <cellStyle name="Note 7 4 3 4 10 2" xfId="40924"/>
    <cellStyle name="Note 7 4 3 4 11" xfId="33245"/>
    <cellStyle name="Note 7 4 3 4 2" xfId="29025"/>
    <cellStyle name="Note 7 4 3 4 2 2" xfId="37779"/>
    <cellStyle name="Note 7 4 3 4 3" xfId="29438"/>
    <cellStyle name="Note 7 4 3 4 3 2" xfId="38192"/>
    <cellStyle name="Note 7 4 3 4 4" xfId="29858"/>
    <cellStyle name="Note 7 4 3 4 4 2" xfId="38612"/>
    <cellStyle name="Note 7 4 3 4 5" xfId="30277"/>
    <cellStyle name="Note 7 4 3 4 5 2" xfId="39031"/>
    <cellStyle name="Note 7 4 3 4 6" xfId="30678"/>
    <cellStyle name="Note 7 4 3 4 6 2" xfId="39432"/>
    <cellStyle name="Note 7 4 3 4 7" xfId="31064"/>
    <cellStyle name="Note 7 4 3 4 7 2" xfId="39818"/>
    <cellStyle name="Note 7 4 3 4 8" xfId="31442"/>
    <cellStyle name="Note 7 4 3 4 8 2" xfId="40196"/>
    <cellStyle name="Note 7 4 3 4 9" xfId="31808"/>
    <cellStyle name="Note 7 4 3 4 9 2" xfId="40562"/>
    <cellStyle name="Note 7 4 3 5" xfId="26145"/>
    <cellStyle name="Note 7 4 3 5 2" xfId="34911"/>
    <cellStyle name="Note 7 4 3 6" xfId="28055"/>
    <cellStyle name="Note 7 4 3 6 2" xfId="36814"/>
    <cellStyle name="Note 7 4 3 7" xfId="28575"/>
    <cellStyle name="Note 7 4 3 7 2" xfId="37331"/>
    <cellStyle name="Note 7 4 3 8" xfId="26493"/>
    <cellStyle name="Note 7 4 3 8 2" xfId="35258"/>
    <cellStyle name="Note 7 4 3 9" xfId="28175"/>
    <cellStyle name="Note 7 4 3 9 2" xfId="36934"/>
    <cellStyle name="Note 7 4 4" xfId="15027"/>
    <cellStyle name="Note 7 4 4 10" xfId="28612"/>
    <cellStyle name="Note 7 4 4 10 2" xfId="37368"/>
    <cellStyle name="Note 7 4 4 11" xfId="25847"/>
    <cellStyle name="Note 7 4 4 11 2" xfId="34613"/>
    <cellStyle name="Note 7 4 4 12" xfId="32853"/>
    <cellStyle name="Note 7 4 4 2" xfId="24343"/>
    <cellStyle name="Note 7 4 4 2 10" xfId="32127"/>
    <cellStyle name="Note 7 4 4 2 10 2" xfId="40881"/>
    <cellStyle name="Note 7 4 4 2 11" xfId="33202"/>
    <cellStyle name="Note 7 4 4 2 2" xfId="28978"/>
    <cellStyle name="Note 7 4 4 2 2 2" xfId="37732"/>
    <cellStyle name="Note 7 4 4 2 3" xfId="29391"/>
    <cellStyle name="Note 7 4 4 2 3 2" xfId="38145"/>
    <cellStyle name="Note 7 4 4 2 4" xfId="29815"/>
    <cellStyle name="Note 7 4 4 2 4 2" xfId="38569"/>
    <cellStyle name="Note 7 4 4 2 5" xfId="30230"/>
    <cellStyle name="Note 7 4 4 2 5 2" xfId="38984"/>
    <cellStyle name="Note 7 4 4 2 6" xfId="30631"/>
    <cellStyle name="Note 7 4 4 2 6 2" xfId="39385"/>
    <cellStyle name="Note 7 4 4 2 7" xfId="31018"/>
    <cellStyle name="Note 7 4 4 2 7 2" xfId="39772"/>
    <cellStyle name="Note 7 4 4 2 8" xfId="31397"/>
    <cellStyle name="Note 7 4 4 2 8 2" xfId="40151"/>
    <cellStyle name="Note 7 4 4 2 9" xfId="31765"/>
    <cellStyle name="Note 7 4 4 2 9 2" xfId="40519"/>
    <cellStyle name="Note 7 4 4 3" xfId="27108"/>
    <cellStyle name="Note 7 4 4 3 2" xfId="35868"/>
    <cellStyle name="Note 7 4 4 4" xfId="25257"/>
    <cellStyle name="Note 7 4 4 4 2" xfId="34027"/>
    <cellStyle name="Note 7 4 4 5" xfId="27397"/>
    <cellStyle name="Note 7 4 4 5 2" xfId="36157"/>
    <cellStyle name="Note 7 4 4 6" xfId="28293"/>
    <cellStyle name="Note 7 4 4 6 2" xfId="37052"/>
    <cellStyle name="Note 7 4 4 7" xfId="25978"/>
    <cellStyle name="Note 7 4 4 7 2" xfId="34744"/>
    <cellStyle name="Note 7 4 4 8" xfId="26301"/>
    <cellStyle name="Note 7 4 4 8 2" xfId="35067"/>
    <cellStyle name="Note 7 4 4 9" xfId="27417"/>
    <cellStyle name="Note 7 4 4 9 2" xfId="36177"/>
    <cellStyle name="Note 7 4 5" xfId="18169"/>
    <cellStyle name="Note 7 4 5 10" xfId="25835"/>
    <cellStyle name="Note 7 4 5 10 2" xfId="34601"/>
    <cellStyle name="Note 7 4 5 11" xfId="26416"/>
    <cellStyle name="Note 7 4 5 11 2" xfId="35181"/>
    <cellStyle name="Note 7 4 5 12" xfId="32913"/>
    <cellStyle name="Note 7 4 5 2" xfId="24439"/>
    <cellStyle name="Note 7 4 5 2 10" xfId="32192"/>
    <cellStyle name="Note 7 4 5 2 10 2" xfId="40946"/>
    <cellStyle name="Note 7 4 5 2 11" xfId="33267"/>
    <cellStyle name="Note 7 4 5 2 2" xfId="29047"/>
    <cellStyle name="Note 7 4 5 2 2 2" xfId="37801"/>
    <cellStyle name="Note 7 4 5 2 3" xfId="29460"/>
    <cellStyle name="Note 7 4 5 2 3 2" xfId="38214"/>
    <cellStyle name="Note 7 4 5 2 4" xfId="29880"/>
    <cellStyle name="Note 7 4 5 2 4 2" xfId="38634"/>
    <cellStyle name="Note 7 4 5 2 5" xfId="30299"/>
    <cellStyle name="Note 7 4 5 2 5 2" xfId="39053"/>
    <cellStyle name="Note 7 4 5 2 6" xfId="30700"/>
    <cellStyle name="Note 7 4 5 2 6 2" xfId="39454"/>
    <cellStyle name="Note 7 4 5 2 7" xfId="31086"/>
    <cellStyle name="Note 7 4 5 2 7 2" xfId="39840"/>
    <cellStyle name="Note 7 4 5 2 8" xfId="31464"/>
    <cellStyle name="Note 7 4 5 2 8 2" xfId="40218"/>
    <cellStyle name="Note 7 4 5 2 9" xfId="31830"/>
    <cellStyle name="Note 7 4 5 2 9 2" xfId="40584"/>
    <cellStyle name="Note 7 4 5 3" xfId="27659"/>
    <cellStyle name="Note 7 4 5 3 2" xfId="36419"/>
    <cellStyle name="Note 7 4 5 4" xfId="27625"/>
    <cellStyle name="Note 7 4 5 4 2" xfId="36385"/>
    <cellStyle name="Note 7 4 5 5" xfId="25763"/>
    <cellStyle name="Note 7 4 5 5 2" xfId="34530"/>
    <cellStyle name="Note 7 4 5 6" xfId="26221"/>
    <cellStyle name="Note 7 4 5 6 2" xfId="34987"/>
    <cellStyle name="Note 7 4 5 7" xfId="26064"/>
    <cellStyle name="Note 7 4 5 7 2" xfId="34830"/>
    <cellStyle name="Note 7 4 5 8" xfId="27419"/>
    <cellStyle name="Note 7 4 5 8 2" xfId="36179"/>
    <cellStyle name="Note 7 4 5 9" xfId="28891"/>
    <cellStyle name="Note 7 4 5 9 2" xfId="37647"/>
    <cellStyle name="Note 7 4 6" xfId="23611"/>
    <cellStyle name="Note 7 4 6 10" xfId="26351"/>
    <cellStyle name="Note 7 4 6 10 2" xfId="35117"/>
    <cellStyle name="Note 7 4 6 11" xfId="26517"/>
    <cellStyle name="Note 7 4 6 11 2" xfId="35282"/>
    <cellStyle name="Note 7 4 6 12" xfId="33081"/>
    <cellStyle name="Note 7 4 6 2" xfId="24666"/>
    <cellStyle name="Note 7 4 6 2 10" xfId="32367"/>
    <cellStyle name="Note 7 4 6 2 10 2" xfId="41121"/>
    <cellStyle name="Note 7 4 6 2 11" xfId="33442"/>
    <cellStyle name="Note 7 4 6 2 2" xfId="29231"/>
    <cellStyle name="Note 7 4 6 2 2 2" xfId="37985"/>
    <cellStyle name="Note 7 4 6 2 3" xfId="29641"/>
    <cellStyle name="Note 7 4 6 2 3 2" xfId="38395"/>
    <cellStyle name="Note 7 4 6 2 4" xfId="30061"/>
    <cellStyle name="Note 7 4 6 2 4 2" xfId="38815"/>
    <cellStyle name="Note 7 4 6 2 5" xfId="30477"/>
    <cellStyle name="Note 7 4 6 2 5 2" xfId="39231"/>
    <cellStyle name="Note 7 4 6 2 6" xfId="30878"/>
    <cellStyle name="Note 7 4 6 2 6 2" xfId="39632"/>
    <cellStyle name="Note 7 4 6 2 7" xfId="31264"/>
    <cellStyle name="Note 7 4 6 2 7 2" xfId="40018"/>
    <cellStyle name="Note 7 4 6 2 8" xfId="31640"/>
    <cellStyle name="Note 7 4 6 2 8 2" xfId="40394"/>
    <cellStyle name="Note 7 4 6 2 9" xfId="32006"/>
    <cellStyle name="Note 7 4 6 2 9 2" xfId="40760"/>
    <cellStyle name="Note 7 4 6 3" xfId="28727"/>
    <cellStyle name="Note 7 4 6 3 2" xfId="37483"/>
    <cellStyle name="Note 7 4 6 4" xfId="2121"/>
    <cellStyle name="Note 7 4 6 4 2" xfId="32625"/>
    <cellStyle name="Note 7 4 6 5" xfId="27321"/>
    <cellStyle name="Note 7 4 6 5 2" xfId="36081"/>
    <cellStyle name="Note 7 4 6 6" xfId="25368"/>
    <cellStyle name="Note 7 4 6 6 2" xfId="34137"/>
    <cellStyle name="Note 7 4 6 7" xfId="26168"/>
    <cellStyle name="Note 7 4 6 7 2" xfId="34934"/>
    <cellStyle name="Note 7 4 6 8" xfId="28458"/>
    <cellStyle name="Note 7 4 6 8 2" xfId="37215"/>
    <cellStyle name="Note 7 4 6 9" xfId="28071"/>
    <cellStyle name="Note 7 4 6 9 2" xfId="36830"/>
    <cellStyle name="Note 7 4 7" xfId="11937"/>
    <cellStyle name="Note 7 4 7 10" xfId="26530"/>
    <cellStyle name="Note 7 4 7 10 2" xfId="35295"/>
    <cellStyle name="Note 7 4 7 11" xfId="32826"/>
    <cellStyle name="Note 7 4 7 2" xfId="26554"/>
    <cellStyle name="Note 7 4 7 2 2" xfId="35319"/>
    <cellStyle name="Note 7 4 7 3" xfId="28386"/>
    <cellStyle name="Note 7 4 7 3 2" xfId="37144"/>
    <cellStyle name="Note 7 4 7 4" xfId="1652"/>
    <cellStyle name="Note 7 4 7 4 2" xfId="32467"/>
    <cellStyle name="Note 7 4 7 5" xfId="27113"/>
    <cellStyle name="Note 7 4 7 5 2" xfId="35873"/>
    <cellStyle name="Note 7 4 7 6" xfId="28676"/>
    <cellStyle name="Note 7 4 7 6 2" xfId="37432"/>
    <cellStyle name="Note 7 4 7 7" xfId="26954"/>
    <cellStyle name="Note 7 4 7 7 2" xfId="35714"/>
    <cellStyle name="Note 7 4 7 8" xfId="24974"/>
    <cellStyle name="Note 7 4 7 8 2" xfId="33748"/>
    <cellStyle name="Note 7 4 7 9" xfId="27553"/>
    <cellStyle name="Note 7 4 7 9 2" xfId="36313"/>
    <cellStyle name="Note 7 4 8" xfId="25532"/>
    <cellStyle name="Note 7 4 8 2" xfId="34299"/>
    <cellStyle name="Note 7 4 9" xfId="26196"/>
    <cellStyle name="Note 7 4 9 2" xfId="34962"/>
    <cellStyle name="Note 7 5" xfId="9544"/>
    <cellStyle name="Note 7 5 10" xfId="29325"/>
    <cellStyle name="Note 7 5 10 2" xfId="38079"/>
    <cellStyle name="Note 7 5 11" xfId="27797"/>
    <cellStyle name="Note 7 5 11 2" xfId="36557"/>
    <cellStyle name="Note 7 5 12" xfId="28564"/>
    <cellStyle name="Note 7 5 12 2" xfId="37320"/>
    <cellStyle name="Note 7 5 13" xfId="28001"/>
    <cellStyle name="Note 7 5 13 2" xfId="36760"/>
    <cellStyle name="Note 7 5 14" xfId="32810"/>
    <cellStyle name="Note 7 5 2" xfId="18291"/>
    <cellStyle name="Note 7 5 2 10" xfId="27449"/>
    <cellStyle name="Note 7 5 2 10 2" xfId="36209"/>
    <cellStyle name="Note 7 5 2 11" xfId="28357"/>
    <cellStyle name="Note 7 5 2 11 2" xfId="37116"/>
    <cellStyle name="Note 7 5 2 12" xfId="33035"/>
    <cellStyle name="Note 7 5 2 2" xfId="24561"/>
    <cellStyle name="Note 7 5 2 2 10" xfId="32314"/>
    <cellStyle name="Note 7 5 2 2 10 2" xfId="41068"/>
    <cellStyle name="Note 7 5 2 2 11" xfId="33389"/>
    <cellStyle name="Note 7 5 2 2 2" xfId="29169"/>
    <cellStyle name="Note 7 5 2 2 2 2" xfId="37923"/>
    <cellStyle name="Note 7 5 2 2 3" xfId="29582"/>
    <cellStyle name="Note 7 5 2 2 3 2" xfId="38336"/>
    <cellStyle name="Note 7 5 2 2 4" xfId="30002"/>
    <cellStyle name="Note 7 5 2 2 4 2" xfId="38756"/>
    <cellStyle name="Note 7 5 2 2 5" xfId="30421"/>
    <cellStyle name="Note 7 5 2 2 5 2" xfId="39175"/>
    <cellStyle name="Note 7 5 2 2 6" xfId="30822"/>
    <cellStyle name="Note 7 5 2 2 6 2" xfId="39576"/>
    <cellStyle name="Note 7 5 2 2 7" xfId="31208"/>
    <cellStyle name="Note 7 5 2 2 7 2" xfId="39962"/>
    <cellStyle name="Note 7 5 2 2 8" xfId="31586"/>
    <cellStyle name="Note 7 5 2 2 8 2" xfId="40340"/>
    <cellStyle name="Note 7 5 2 2 9" xfId="31952"/>
    <cellStyle name="Note 7 5 2 2 9 2" xfId="40706"/>
    <cellStyle name="Note 7 5 2 3" xfId="27781"/>
    <cellStyle name="Note 7 5 2 3 2" xfId="36541"/>
    <cellStyle name="Note 7 5 2 4" xfId="26305"/>
    <cellStyle name="Note 7 5 2 4 2" xfId="35071"/>
    <cellStyle name="Note 7 5 2 5" xfId="25950"/>
    <cellStyle name="Note 7 5 2 5 2" xfId="34716"/>
    <cellStyle name="Note 7 5 2 6" xfId="26947"/>
    <cellStyle name="Note 7 5 2 6 2" xfId="35707"/>
    <cellStyle name="Note 7 5 2 7" xfId="27852"/>
    <cellStyle name="Note 7 5 2 7 2" xfId="36612"/>
    <cellStyle name="Note 7 5 2 8" xfId="27224"/>
    <cellStyle name="Note 7 5 2 8 2" xfId="35984"/>
    <cellStyle name="Note 7 5 2 9" xfId="28000"/>
    <cellStyle name="Note 7 5 2 9 2" xfId="36759"/>
    <cellStyle name="Note 7 5 3" xfId="18144"/>
    <cellStyle name="Note 7 5 3 10" xfId="25797"/>
    <cellStyle name="Note 7 5 3 10 2" xfId="34564"/>
    <cellStyle name="Note 7 5 3 11" xfId="32889"/>
    <cellStyle name="Note 7 5 3 2" xfId="27634"/>
    <cellStyle name="Note 7 5 3 2 2" xfId="36394"/>
    <cellStyle name="Note 7 5 3 3" xfId="27934"/>
    <cellStyle name="Note 7 5 3 3 2" xfId="36694"/>
    <cellStyle name="Note 7 5 3 4" xfId="25313"/>
    <cellStyle name="Note 7 5 3 4 2" xfId="34082"/>
    <cellStyle name="Note 7 5 3 5" xfId="25197"/>
    <cellStyle name="Note 7 5 3 5 2" xfId="33968"/>
    <cellStyle name="Note 7 5 3 6" xfId="27039"/>
    <cellStyle name="Note 7 5 3 6 2" xfId="35799"/>
    <cellStyle name="Note 7 5 3 7" xfId="28514"/>
    <cellStyle name="Note 7 5 3 7 2" xfId="37270"/>
    <cellStyle name="Note 7 5 3 8" xfId="26507"/>
    <cellStyle name="Note 7 5 3 8 2" xfId="35272"/>
    <cellStyle name="Note 7 5 3 9" xfId="28475"/>
    <cellStyle name="Note 7 5 3 9 2" xfId="37232"/>
    <cellStyle name="Note 7 5 4" xfId="24415"/>
    <cellStyle name="Note 7 5 4 10" xfId="32168"/>
    <cellStyle name="Note 7 5 4 10 2" xfId="40922"/>
    <cellStyle name="Note 7 5 4 11" xfId="33243"/>
    <cellStyle name="Note 7 5 4 2" xfId="29023"/>
    <cellStyle name="Note 7 5 4 2 2" xfId="37777"/>
    <cellStyle name="Note 7 5 4 3" xfId="29436"/>
    <cellStyle name="Note 7 5 4 3 2" xfId="38190"/>
    <cellStyle name="Note 7 5 4 4" xfId="29856"/>
    <cellStyle name="Note 7 5 4 4 2" xfId="38610"/>
    <cellStyle name="Note 7 5 4 5" xfId="30275"/>
    <cellStyle name="Note 7 5 4 5 2" xfId="39029"/>
    <cellStyle name="Note 7 5 4 6" xfId="30676"/>
    <cellStyle name="Note 7 5 4 6 2" xfId="39430"/>
    <cellStyle name="Note 7 5 4 7" xfId="31062"/>
    <cellStyle name="Note 7 5 4 7 2" xfId="39816"/>
    <cellStyle name="Note 7 5 4 8" xfId="31440"/>
    <cellStyle name="Note 7 5 4 8 2" xfId="40194"/>
    <cellStyle name="Note 7 5 4 9" xfId="31806"/>
    <cellStyle name="Note 7 5 4 9 2" xfId="40560"/>
    <cellStyle name="Note 7 5 5" xfId="26141"/>
    <cellStyle name="Note 7 5 5 2" xfId="34907"/>
    <cellStyle name="Note 7 5 6" xfId="28497"/>
    <cellStyle name="Note 7 5 6 2" xfId="37253"/>
    <cellStyle name="Note 7 5 7" xfId="27597"/>
    <cellStyle name="Note 7 5 7 2" xfId="36357"/>
    <cellStyle name="Note 7 5 8" xfId="26855"/>
    <cellStyle name="Note 7 5 8 2" xfId="35616"/>
    <cellStyle name="Note 7 5 9" xfId="28261"/>
    <cellStyle name="Note 7 5 9 2" xfId="37020"/>
    <cellStyle name="Note 7 6" xfId="2768"/>
    <cellStyle name="Note 7 6 2" xfId="32656"/>
    <cellStyle name="Note 7 7" xfId="42215"/>
    <cellStyle name="Note 8" xfId="5873"/>
    <cellStyle name="Note 8 2" xfId="6741"/>
    <cellStyle name="Note 8 2 10" xfId="30194"/>
    <cellStyle name="Note 8 2 10 2" xfId="38948"/>
    <cellStyle name="Note 8 2 11" xfId="30597"/>
    <cellStyle name="Note 8 2 11 2" xfId="39351"/>
    <cellStyle name="Note 8 2 12" xfId="30986"/>
    <cellStyle name="Note 8 2 12 2" xfId="39740"/>
    <cellStyle name="Note 8 2 13" xfId="31366"/>
    <cellStyle name="Note 8 2 13 2" xfId="40120"/>
    <cellStyle name="Note 8 2 14" xfId="32758"/>
    <cellStyle name="Note 8 2 15" xfId="42219"/>
    <cellStyle name="Note 8 2 2" xfId="18235"/>
    <cellStyle name="Note 8 2 2 10" xfId="25336"/>
    <cellStyle name="Note 8 2 2 10 2" xfId="34105"/>
    <cellStyle name="Note 8 2 2 11" xfId="25635"/>
    <cellStyle name="Note 8 2 2 11 2" xfId="34402"/>
    <cellStyle name="Note 8 2 2 12" xfId="32979"/>
    <cellStyle name="Note 8 2 2 2" xfId="24505"/>
    <cellStyle name="Note 8 2 2 2 10" xfId="32258"/>
    <cellStyle name="Note 8 2 2 2 10 2" xfId="41012"/>
    <cellStyle name="Note 8 2 2 2 11" xfId="33333"/>
    <cellStyle name="Note 8 2 2 2 2" xfId="29113"/>
    <cellStyle name="Note 8 2 2 2 2 2" xfId="37867"/>
    <cellStyle name="Note 8 2 2 2 3" xfId="29526"/>
    <cellStyle name="Note 8 2 2 2 3 2" xfId="38280"/>
    <cellStyle name="Note 8 2 2 2 4" xfId="29946"/>
    <cellStyle name="Note 8 2 2 2 4 2" xfId="38700"/>
    <cellStyle name="Note 8 2 2 2 5" xfId="30365"/>
    <cellStyle name="Note 8 2 2 2 5 2" xfId="39119"/>
    <cellStyle name="Note 8 2 2 2 6" xfId="30766"/>
    <cellStyle name="Note 8 2 2 2 6 2" xfId="39520"/>
    <cellStyle name="Note 8 2 2 2 7" xfId="31152"/>
    <cellStyle name="Note 8 2 2 2 7 2" xfId="39906"/>
    <cellStyle name="Note 8 2 2 2 8" xfId="31530"/>
    <cellStyle name="Note 8 2 2 2 8 2" xfId="40284"/>
    <cellStyle name="Note 8 2 2 2 9" xfId="31896"/>
    <cellStyle name="Note 8 2 2 2 9 2" xfId="40650"/>
    <cellStyle name="Note 8 2 2 3" xfId="27725"/>
    <cellStyle name="Note 8 2 2 3 2" xfId="36485"/>
    <cellStyle name="Note 8 2 2 4" xfId="26561"/>
    <cellStyle name="Note 8 2 2 4 2" xfId="35326"/>
    <cellStyle name="Note 8 2 2 5" xfId="26446"/>
    <cellStyle name="Note 8 2 2 5 2" xfId="35211"/>
    <cellStyle name="Note 8 2 2 6" xfId="26805"/>
    <cellStyle name="Note 8 2 2 6 2" xfId="35567"/>
    <cellStyle name="Note 8 2 2 7" xfId="28413"/>
    <cellStyle name="Note 8 2 2 7 2" xfId="37170"/>
    <cellStyle name="Note 8 2 2 8" xfId="28467"/>
    <cellStyle name="Note 8 2 2 8 2" xfId="37224"/>
    <cellStyle name="Note 8 2 2 9" xfId="28364"/>
    <cellStyle name="Note 8 2 2 9 2" xfId="37122"/>
    <cellStyle name="Note 8 2 3" xfId="15430"/>
    <cellStyle name="Note 8 2 3 10" xfId="27443"/>
    <cellStyle name="Note 8 2 3 10 2" xfId="36203"/>
    <cellStyle name="Note 8 2 3 11" xfId="32880"/>
    <cellStyle name="Note 8 2 3 2" xfId="27195"/>
    <cellStyle name="Note 8 2 3 2 2" xfId="35955"/>
    <cellStyle name="Note 8 2 3 3" xfId="25608"/>
    <cellStyle name="Note 8 2 3 3 2" xfId="34375"/>
    <cellStyle name="Note 8 2 3 4" xfId="26207"/>
    <cellStyle name="Note 8 2 3 4 2" xfId="34973"/>
    <cellStyle name="Note 8 2 3 5" xfId="26354"/>
    <cellStyle name="Note 8 2 3 5 2" xfId="35120"/>
    <cellStyle name="Note 8 2 3 6" xfId="25391"/>
    <cellStyle name="Note 8 2 3 6 2" xfId="34160"/>
    <cellStyle name="Note 8 2 3 7" xfId="25703"/>
    <cellStyle name="Note 8 2 3 7 2" xfId="34470"/>
    <cellStyle name="Note 8 2 3 8" xfId="27194"/>
    <cellStyle name="Note 8 2 3 8 2" xfId="35954"/>
    <cellStyle name="Note 8 2 3 9" xfId="28243"/>
    <cellStyle name="Note 8 2 3 9 2" xfId="37002"/>
    <cellStyle name="Note 8 2 4" xfId="24376"/>
    <cellStyle name="Note 8 2 4 10" xfId="32155"/>
    <cellStyle name="Note 8 2 4 10 2" xfId="40909"/>
    <cellStyle name="Note 8 2 4 11" xfId="33230"/>
    <cellStyle name="Note 8 2 4 2" xfId="29007"/>
    <cellStyle name="Note 8 2 4 2 2" xfId="37761"/>
    <cellStyle name="Note 8 2 4 3" xfId="29420"/>
    <cellStyle name="Note 8 2 4 3 2" xfId="38174"/>
    <cellStyle name="Note 8 2 4 4" xfId="29843"/>
    <cellStyle name="Note 8 2 4 4 2" xfId="38597"/>
    <cellStyle name="Note 8 2 4 5" xfId="30258"/>
    <cellStyle name="Note 8 2 4 5 2" xfId="39012"/>
    <cellStyle name="Note 8 2 4 6" xfId="30659"/>
    <cellStyle name="Note 8 2 4 6 2" xfId="39413"/>
    <cellStyle name="Note 8 2 4 7" xfId="31046"/>
    <cellStyle name="Note 8 2 4 7 2" xfId="39800"/>
    <cellStyle name="Note 8 2 4 8" xfId="31425"/>
    <cellStyle name="Note 8 2 4 8 2" xfId="40179"/>
    <cellStyle name="Note 8 2 4 9" xfId="31793"/>
    <cellStyle name="Note 8 2 4 9 2" xfId="40547"/>
    <cellStyle name="Note 8 2 5" xfId="25680"/>
    <cellStyle name="Note 8 2 5 2" xfId="34447"/>
    <cellStyle name="Note 8 2 6" xfId="25998"/>
    <cellStyle name="Note 8 2 6 2" xfId="34764"/>
    <cellStyle name="Note 8 2 7" xfId="25851"/>
    <cellStyle name="Note 8 2 7 2" xfId="34617"/>
    <cellStyle name="Note 8 2 8" xfId="28678"/>
    <cellStyle name="Note 8 2 8 2" xfId="37434"/>
    <cellStyle name="Note 8 2 9" xfId="27300"/>
    <cellStyle name="Note 8 2 9 2" xfId="36060"/>
    <cellStyle name="Note 8 3" xfId="15028"/>
    <cellStyle name="Note 8 3 10" xfId="24964"/>
    <cellStyle name="Note 8 3 10 2" xfId="33738"/>
    <cellStyle name="Note 8 3 11" xfId="28968"/>
    <cellStyle name="Note 8 3 11 2" xfId="37722"/>
    <cellStyle name="Note 8 3 12" xfId="32854"/>
    <cellStyle name="Note 8 3 2" xfId="24344"/>
    <cellStyle name="Note 8 3 2 10" xfId="32128"/>
    <cellStyle name="Note 8 3 2 10 2" xfId="40882"/>
    <cellStyle name="Note 8 3 2 11" xfId="33203"/>
    <cellStyle name="Note 8 3 2 2" xfId="28979"/>
    <cellStyle name="Note 8 3 2 2 2" xfId="37733"/>
    <cellStyle name="Note 8 3 2 3" xfId="29392"/>
    <cellStyle name="Note 8 3 2 3 2" xfId="38146"/>
    <cellStyle name="Note 8 3 2 4" xfId="29816"/>
    <cellStyle name="Note 8 3 2 4 2" xfId="38570"/>
    <cellStyle name="Note 8 3 2 5" xfId="30231"/>
    <cellStyle name="Note 8 3 2 5 2" xfId="38985"/>
    <cellStyle name="Note 8 3 2 6" xfId="30632"/>
    <cellStyle name="Note 8 3 2 6 2" xfId="39386"/>
    <cellStyle name="Note 8 3 2 7" xfId="31019"/>
    <cellStyle name="Note 8 3 2 7 2" xfId="39773"/>
    <cellStyle name="Note 8 3 2 8" xfId="31398"/>
    <cellStyle name="Note 8 3 2 8 2" xfId="40152"/>
    <cellStyle name="Note 8 3 2 9" xfId="31766"/>
    <cellStyle name="Note 8 3 2 9 2" xfId="40520"/>
    <cellStyle name="Note 8 3 3" xfId="27109"/>
    <cellStyle name="Note 8 3 3 2" xfId="35869"/>
    <cellStyle name="Note 8 3 4" xfId="26357"/>
    <cellStyle name="Note 8 3 4 2" xfId="35123"/>
    <cellStyle name="Note 8 3 5" xfId="28091"/>
    <cellStyle name="Note 8 3 5 2" xfId="36850"/>
    <cellStyle name="Note 8 3 6" xfId="28688"/>
    <cellStyle name="Note 8 3 6 2" xfId="37444"/>
    <cellStyle name="Note 8 3 7" xfId="1788"/>
    <cellStyle name="Note 8 3 7 2" xfId="32596"/>
    <cellStyle name="Note 8 3 8" xfId="1794"/>
    <cellStyle name="Note 8 3 8 2" xfId="32602"/>
    <cellStyle name="Note 8 3 9" xfId="25086"/>
    <cellStyle name="Note 8 3 9 2" xfId="33858"/>
    <cellStyle name="Note 8 4" xfId="18170"/>
    <cellStyle name="Note 8 4 10" xfId="26870"/>
    <cellStyle name="Note 8 4 10 2" xfId="35630"/>
    <cellStyle name="Note 8 4 11" xfId="29780"/>
    <cellStyle name="Note 8 4 11 2" xfId="38534"/>
    <cellStyle name="Note 8 4 12" xfId="32914"/>
    <cellStyle name="Note 8 4 2" xfId="24440"/>
    <cellStyle name="Note 8 4 2 10" xfId="32193"/>
    <cellStyle name="Note 8 4 2 10 2" xfId="40947"/>
    <cellStyle name="Note 8 4 2 11" xfId="33268"/>
    <cellStyle name="Note 8 4 2 2" xfId="29048"/>
    <cellStyle name="Note 8 4 2 2 2" xfId="37802"/>
    <cellStyle name="Note 8 4 2 3" xfId="29461"/>
    <cellStyle name="Note 8 4 2 3 2" xfId="38215"/>
    <cellStyle name="Note 8 4 2 4" xfId="29881"/>
    <cellStyle name="Note 8 4 2 4 2" xfId="38635"/>
    <cellStyle name="Note 8 4 2 5" xfId="30300"/>
    <cellStyle name="Note 8 4 2 5 2" xfId="39054"/>
    <cellStyle name="Note 8 4 2 6" xfId="30701"/>
    <cellStyle name="Note 8 4 2 6 2" xfId="39455"/>
    <cellStyle name="Note 8 4 2 7" xfId="31087"/>
    <cellStyle name="Note 8 4 2 7 2" xfId="39841"/>
    <cellStyle name="Note 8 4 2 8" xfId="31465"/>
    <cellStyle name="Note 8 4 2 8 2" xfId="40219"/>
    <cellStyle name="Note 8 4 2 9" xfId="31831"/>
    <cellStyle name="Note 8 4 2 9 2" xfId="40585"/>
    <cellStyle name="Note 8 4 3" xfId="27660"/>
    <cellStyle name="Note 8 4 3 2" xfId="36420"/>
    <cellStyle name="Note 8 4 4" xfId="28698"/>
    <cellStyle name="Note 8 4 4 2" xfId="37454"/>
    <cellStyle name="Note 8 4 5" xfId="25110"/>
    <cellStyle name="Note 8 4 5 2" xfId="33882"/>
    <cellStyle name="Note 8 4 6" xfId="26199"/>
    <cellStyle name="Note 8 4 6 2" xfId="34965"/>
    <cellStyle name="Note 8 4 7" xfId="27266"/>
    <cellStyle name="Note 8 4 7 2" xfId="36026"/>
    <cellStyle name="Note 8 4 8" xfId="25170"/>
    <cellStyle name="Note 8 4 8 2" xfId="33941"/>
    <cellStyle name="Note 8 4 9" xfId="28572"/>
    <cellStyle name="Note 8 4 9 2" xfId="37328"/>
    <cellStyle name="Note 8 5" xfId="23612"/>
    <cellStyle name="Note 8 5 10" xfId="27870"/>
    <cellStyle name="Note 8 5 10 2" xfId="36630"/>
    <cellStyle name="Note 8 5 11" xfId="1681"/>
    <cellStyle name="Note 8 5 11 2" xfId="32494"/>
    <cellStyle name="Note 8 5 12" xfId="33082"/>
    <cellStyle name="Note 8 5 2" xfId="24667"/>
    <cellStyle name="Note 8 5 2 10" xfId="32368"/>
    <cellStyle name="Note 8 5 2 10 2" xfId="41122"/>
    <cellStyle name="Note 8 5 2 11" xfId="33443"/>
    <cellStyle name="Note 8 5 2 2" xfId="29232"/>
    <cellStyle name="Note 8 5 2 2 2" xfId="37986"/>
    <cellStyle name="Note 8 5 2 3" xfId="29642"/>
    <cellStyle name="Note 8 5 2 3 2" xfId="38396"/>
    <cellStyle name="Note 8 5 2 4" xfId="30062"/>
    <cellStyle name="Note 8 5 2 4 2" xfId="38816"/>
    <cellStyle name="Note 8 5 2 5" xfId="30478"/>
    <cellStyle name="Note 8 5 2 5 2" xfId="39232"/>
    <cellStyle name="Note 8 5 2 6" xfId="30879"/>
    <cellStyle name="Note 8 5 2 6 2" xfId="39633"/>
    <cellStyle name="Note 8 5 2 7" xfId="31265"/>
    <cellStyle name="Note 8 5 2 7 2" xfId="40019"/>
    <cellStyle name="Note 8 5 2 8" xfId="31641"/>
    <cellStyle name="Note 8 5 2 8 2" xfId="40395"/>
    <cellStyle name="Note 8 5 2 9" xfId="32007"/>
    <cellStyle name="Note 8 5 2 9 2" xfId="40761"/>
    <cellStyle name="Note 8 5 3" xfId="28728"/>
    <cellStyle name="Note 8 5 3 2" xfId="37484"/>
    <cellStyle name="Note 8 5 4" xfId="28884"/>
    <cellStyle name="Note 8 5 4 2" xfId="37640"/>
    <cellStyle name="Note 8 5 5" xfId="27082"/>
    <cellStyle name="Note 8 5 5 2" xfId="35842"/>
    <cellStyle name="Note 8 5 6" xfId="28072"/>
    <cellStyle name="Note 8 5 6 2" xfId="36831"/>
    <cellStyle name="Note 8 5 7" xfId="26989"/>
    <cellStyle name="Note 8 5 7 2" xfId="35749"/>
    <cellStyle name="Note 8 5 8" xfId="25340"/>
    <cellStyle name="Note 8 5 8 2" xfId="34109"/>
    <cellStyle name="Note 8 5 9" xfId="27423"/>
    <cellStyle name="Note 8 5 9 2" xfId="36183"/>
    <cellStyle name="Note 8 6" xfId="24286"/>
    <cellStyle name="Note 8 6 10" xfId="32099"/>
    <cellStyle name="Note 8 6 10 2" xfId="40853"/>
    <cellStyle name="Note 8 6 11" xfId="33174"/>
    <cellStyle name="Note 8 6 2" xfId="28944"/>
    <cellStyle name="Note 8 6 2 2" xfId="37699"/>
    <cellStyle name="Note 8 6 3" xfId="29358"/>
    <cellStyle name="Note 8 6 3 2" xfId="38112"/>
    <cellStyle name="Note 8 6 4" xfId="29783"/>
    <cellStyle name="Note 8 6 4 2" xfId="38537"/>
    <cellStyle name="Note 8 6 5" xfId="30200"/>
    <cellStyle name="Note 8 6 5 2" xfId="38954"/>
    <cellStyle name="Note 8 6 6" xfId="30601"/>
    <cellStyle name="Note 8 6 6 2" xfId="39355"/>
    <cellStyle name="Note 8 6 7" xfId="30988"/>
    <cellStyle name="Note 8 6 7 2" xfId="39742"/>
    <cellStyle name="Note 8 6 8" xfId="31368"/>
    <cellStyle name="Note 8 6 8 2" xfId="40122"/>
    <cellStyle name="Note 8 6 9" xfId="31736"/>
    <cellStyle name="Note 8 6 9 2" xfId="40490"/>
    <cellStyle name="Note 8 7" xfId="32710"/>
    <cellStyle name="Note 9" xfId="42220"/>
    <cellStyle name="Note 9 2" xfId="42221"/>
    <cellStyle name="Note 9 2 2" xfId="43406"/>
    <cellStyle name="Note 9 2 3" xfId="43280"/>
    <cellStyle name="Note 9 2 4" xfId="44084"/>
    <cellStyle name="Note 9 3" xfId="43405"/>
    <cellStyle name="Note 9 4" xfId="43281"/>
    <cellStyle name="Note 9 5" xfId="44081"/>
    <cellStyle name="Number" xfId="988"/>
    <cellStyle name="Output" xfId="26" builtinId="21" customBuiltin="1"/>
    <cellStyle name="Output 2" xfId="90"/>
    <cellStyle name="Output 2 2" xfId="989"/>
    <cellStyle name="Output 2 2 2" xfId="9312"/>
    <cellStyle name="Output 2 2 2 10" xfId="26838"/>
    <cellStyle name="Output 2 2 2 10 2" xfId="35599"/>
    <cellStyle name="Output 2 2 2 11" xfId="27212"/>
    <cellStyle name="Output 2 2 2 11 2" xfId="35972"/>
    <cellStyle name="Output 2 2 2 12" xfId="32783"/>
    <cellStyle name="Output 2 2 2 2" xfId="18264"/>
    <cellStyle name="Output 2 2 2 2 10" xfId="27843"/>
    <cellStyle name="Output 2 2 2 2 10 2" xfId="36603"/>
    <cellStyle name="Output 2 2 2 2 11" xfId="25196"/>
    <cellStyle name="Output 2 2 2 2 11 2" xfId="33967"/>
    <cellStyle name="Output 2 2 2 2 12" xfId="33008"/>
    <cellStyle name="Output 2 2 2 2 2" xfId="24534"/>
    <cellStyle name="Output 2 2 2 2 2 10" xfId="32287"/>
    <cellStyle name="Output 2 2 2 2 2 10 2" xfId="41041"/>
    <cellStyle name="Output 2 2 2 2 2 11" xfId="33362"/>
    <cellStyle name="Output 2 2 2 2 2 2" xfId="29142"/>
    <cellStyle name="Output 2 2 2 2 2 2 2" xfId="37896"/>
    <cellStyle name="Output 2 2 2 2 2 3" xfId="29555"/>
    <cellStyle name="Output 2 2 2 2 2 3 2" xfId="38309"/>
    <cellStyle name="Output 2 2 2 2 2 4" xfId="29975"/>
    <cellStyle name="Output 2 2 2 2 2 4 2" xfId="38729"/>
    <cellStyle name="Output 2 2 2 2 2 5" xfId="30394"/>
    <cellStyle name="Output 2 2 2 2 2 5 2" xfId="39148"/>
    <cellStyle name="Output 2 2 2 2 2 6" xfId="30795"/>
    <cellStyle name="Output 2 2 2 2 2 6 2" xfId="39549"/>
    <cellStyle name="Output 2 2 2 2 2 7" xfId="31181"/>
    <cellStyle name="Output 2 2 2 2 2 7 2" xfId="39935"/>
    <cellStyle name="Output 2 2 2 2 2 8" xfId="31559"/>
    <cellStyle name="Output 2 2 2 2 2 8 2" xfId="40313"/>
    <cellStyle name="Output 2 2 2 2 2 9" xfId="31925"/>
    <cellStyle name="Output 2 2 2 2 2 9 2" xfId="40679"/>
    <cellStyle name="Output 2 2 2 2 3" xfId="27754"/>
    <cellStyle name="Output 2 2 2 2 3 2" xfId="36514"/>
    <cellStyle name="Output 2 2 2 2 4" xfId="27923"/>
    <cellStyle name="Output 2 2 2 2 4 2" xfId="36683"/>
    <cellStyle name="Output 2 2 2 2 5" xfId="26029"/>
    <cellStyle name="Output 2 2 2 2 5 2" xfId="34795"/>
    <cellStyle name="Output 2 2 2 2 6" xfId="25172"/>
    <cellStyle name="Output 2 2 2 2 6 2" xfId="33943"/>
    <cellStyle name="Output 2 2 2 2 7" xfId="26955"/>
    <cellStyle name="Output 2 2 2 2 7 2" xfId="35715"/>
    <cellStyle name="Output 2 2 2 2 8" xfId="25587"/>
    <cellStyle name="Output 2 2 2 2 8 2" xfId="34354"/>
    <cellStyle name="Output 2 2 2 2 9" xfId="29176"/>
    <cellStyle name="Output 2 2 2 2 9 2" xfId="37930"/>
    <cellStyle name="Output 2 2 2 3" xfId="23675"/>
    <cellStyle name="Output 2 2 2 3 10" xfId="26875"/>
    <cellStyle name="Output 2 2 2 3 10 2" xfId="35635"/>
    <cellStyle name="Output 2 2 2 3 11" xfId="26263"/>
    <cellStyle name="Output 2 2 2 3 11 2" xfId="35029"/>
    <cellStyle name="Output 2 2 2 3 12" xfId="33145"/>
    <cellStyle name="Output 2 2 2 3 2" xfId="24730"/>
    <cellStyle name="Output 2 2 2 3 2 10" xfId="32431"/>
    <cellStyle name="Output 2 2 2 3 2 10 2" xfId="41185"/>
    <cellStyle name="Output 2 2 2 3 2 11" xfId="33506"/>
    <cellStyle name="Output 2 2 2 3 2 2" xfId="29295"/>
    <cellStyle name="Output 2 2 2 3 2 2 2" xfId="38049"/>
    <cellStyle name="Output 2 2 2 3 2 3" xfId="29705"/>
    <cellStyle name="Output 2 2 2 3 2 3 2" xfId="38459"/>
    <cellStyle name="Output 2 2 2 3 2 4" xfId="30125"/>
    <cellStyle name="Output 2 2 2 3 2 4 2" xfId="38879"/>
    <cellStyle name="Output 2 2 2 3 2 5" xfId="30541"/>
    <cellStyle name="Output 2 2 2 3 2 5 2" xfId="39295"/>
    <cellStyle name="Output 2 2 2 3 2 6" xfId="30942"/>
    <cellStyle name="Output 2 2 2 3 2 6 2" xfId="39696"/>
    <cellStyle name="Output 2 2 2 3 2 7" xfId="31328"/>
    <cellStyle name="Output 2 2 2 3 2 7 2" xfId="40082"/>
    <cellStyle name="Output 2 2 2 3 2 8" xfId="31704"/>
    <cellStyle name="Output 2 2 2 3 2 8 2" xfId="40458"/>
    <cellStyle name="Output 2 2 2 3 2 9" xfId="32070"/>
    <cellStyle name="Output 2 2 2 3 2 9 2" xfId="40824"/>
    <cellStyle name="Output 2 2 2 3 3" xfId="28791"/>
    <cellStyle name="Output 2 2 2 3 3 2" xfId="37547"/>
    <cellStyle name="Output 2 2 2 3 4" xfId="1699"/>
    <cellStyle name="Output 2 2 2 3 4 2" xfId="32511"/>
    <cellStyle name="Output 2 2 2 3 5" xfId="1667"/>
    <cellStyle name="Output 2 2 2 3 5 2" xfId="32480"/>
    <cellStyle name="Output 2 2 2 3 6" xfId="29341"/>
    <cellStyle name="Output 2 2 2 3 6 2" xfId="38095"/>
    <cellStyle name="Output 2 2 2 3 7" xfId="26239"/>
    <cellStyle name="Output 2 2 2 3 7 2" xfId="35005"/>
    <cellStyle name="Output 2 2 2 3 8" xfId="25305"/>
    <cellStyle name="Output 2 2 2 3 8 2" xfId="34074"/>
    <cellStyle name="Output 2 2 2 3 9" xfId="25985"/>
    <cellStyle name="Output 2 2 2 3 9 2" xfId="34751"/>
    <cellStyle name="Output 2 2 2 4" xfId="25972"/>
    <cellStyle name="Output 2 2 2 4 2" xfId="34738"/>
    <cellStyle name="Output 2 2 2 5" xfId="28893"/>
    <cellStyle name="Output 2 2 2 5 2" xfId="37649"/>
    <cellStyle name="Output 2 2 2 6" xfId="26119"/>
    <cellStyle name="Output 2 2 2 6 2" xfId="34885"/>
    <cellStyle name="Output 2 2 2 7" xfId="28897"/>
    <cellStyle name="Output 2 2 2 7 2" xfId="37653"/>
    <cellStyle name="Output 2 2 2 8" xfId="26148"/>
    <cellStyle name="Output 2 2 2 8 2" xfId="34914"/>
    <cellStyle name="Output 2 2 2 9" xfId="28637"/>
    <cellStyle name="Output 2 2 2 9 2" xfId="37393"/>
    <cellStyle name="Output 2 3" xfId="6826"/>
    <cellStyle name="Output 2 3 10" xfId="25517"/>
    <cellStyle name="Output 2 3 10 2" xfId="34286"/>
    <cellStyle name="Output 2 3 11" xfId="26390"/>
    <cellStyle name="Output 2 3 11 2" xfId="35156"/>
    <cellStyle name="Output 2 3 12" xfId="32766"/>
    <cellStyle name="Output 2 3 2" xfId="18247"/>
    <cellStyle name="Output 2 3 2 10" xfId="27882"/>
    <cellStyle name="Output 2 3 2 10 2" xfId="36642"/>
    <cellStyle name="Output 2 3 2 11" xfId="26031"/>
    <cellStyle name="Output 2 3 2 11 2" xfId="34797"/>
    <cellStyle name="Output 2 3 2 12" xfId="32991"/>
    <cellStyle name="Output 2 3 2 2" xfId="24517"/>
    <cellStyle name="Output 2 3 2 2 10" xfId="32270"/>
    <cellStyle name="Output 2 3 2 2 10 2" xfId="41024"/>
    <cellStyle name="Output 2 3 2 2 11" xfId="33345"/>
    <cellStyle name="Output 2 3 2 2 2" xfId="29125"/>
    <cellStyle name="Output 2 3 2 2 2 2" xfId="37879"/>
    <cellStyle name="Output 2 3 2 2 3" xfId="29538"/>
    <cellStyle name="Output 2 3 2 2 3 2" xfId="38292"/>
    <cellStyle name="Output 2 3 2 2 4" xfId="29958"/>
    <cellStyle name="Output 2 3 2 2 4 2" xfId="38712"/>
    <cellStyle name="Output 2 3 2 2 5" xfId="30377"/>
    <cellStyle name="Output 2 3 2 2 5 2" xfId="39131"/>
    <cellStyle name="Output 2 3 2 2 6" xfId="30778"/>
    <cellStyle name="Output 2 3 2 2 6 2" xfId="39532"/>
    <cellStyle name="Output 2 3 2 2 7" xfId="31164"/>
    <cellStyle name="Output 2 3 2 2 7 2" xfId="39918"/>
    <cellStyle name="Output 2 3 2 2 8" xfId="31542"/>
    <cellStyle name="Output 2 3 2 2 8 2" xfId="40296"/>
    <cellStyle name="Output 2 3 2 2 9" xfId="31908"/>
    <cellStyle name="Output 2 3 2 2 9 2" xfId="40662"/>
    <cellStyle name="Output 2 3 2 3" xfId="27737"/>
    <cellStyle name="Output 2 3 2 3 2" xfId="36497"/>
    <cellStyle name="Output 2 3 2 4" xfId="28405"/>
    <cellStyle name="Output 2 3 2 4 2" xfId="37162"/>
    <cellStyle name="Output 2 3 2 5" xfId="27257"/>
    <cellStyle name="Output 2 3 2 5 2" xfId="36017"/>
    <cellStyle name="Output 2 3 2 6" xfId="28227"/>
    <cellStyle name="Output 2 3 2 6 2" xfId="36986"/>
    <cellStyle name="Output 2 3 2 7" xfId="28501"/>
    <cellStyle name="Output 2 3 2 7 2" xfId="37257"/>
    <cellStyle name="Output 2 3 2 8" xfId="25365"/>
    <cellStyle name="Output 2 3 2 8 2" xfId="34134"/>
    <cellStyle name="Output 2 3 2 9" xfId="27537"/>
    <cellStyle name="Output 2 3 2 9 2" xfId="36297"/>
    <cellStyle name="Output 2 3 3" xfId="23658"/>
    <cellStyle name="Output 2 3 3 10" xfId="27024"/>
    <cellStyle name="Output 2 3 3 10 2" xfId="35784"/>
    <cellStyle name="Output 2 3 3 11" xfId="25975"/>
    <cellStyle name="Output 2 3 3 11 2" xfId="34741"/>
    <cellStyle name="Output 2 3 3 12" xfId="33128"/>
    <cellStyle name="Output 2 3 3 2" xfId="24713"/>
    <cellStyle name="Output 2 3 3 2 10" xfId="32414"/>
    <cellStyle name="Output 2 3 3 2 10 2" xfId="41168"/>
    <cellStyle name="Output 2 3 3 2 11" xfId="33489"/>
    <cellStyle name="Output 2 3 3 2 2" xfId="29278"/>
    <cellStyle name="Output 2 3 3 2 2 2" xfId="38032"/>
    <cellStyle name="Output 2 3 3 2 3" xfId="29688"/>
    <cellStyle name="Output 2 3 3 2 3 2" xfId="38442"/>
    <cellStyle name="Output 2 3 3 2 4" xfId="30108"/>
    <cellStyle name="Output 2 3 3 2 4 2" xfId="38862"/>
    <cellStyle name="Output 2 3 3 2 5" xfId="30524"/>
    <cellStyle name="Output 2 3 3 2 5 2" xfId="39278"/>
    <cellStyle name="Output 2 3 3 2 6" xfId="30925"/>
    <cellStyle name="Output 2 3 3 2 6 2" xfId="39679"/>
    <cellStyle name="Output 2 3 3 2 7" xfId="31311"/>
    <cellStyle name="Output 2 3 3 2 7 2" xfId="40065"/>
    <cellStyle name="Output 2 3 3 2 8" xfId="31687"/>
    <cellStyle name="Output 2 3 3 2 8 2" xfId="40441"/>
    <cellStyle name="Output 2 3 3 2 9" xfId="32053"/>
    <cellStyle name="Output 2 3 3 2 9 2" xfId="40807"/>
    <cellStyle name="Output 2 3 3 3" xfId="28774"/>
    <cellStyle name="Output 2 3 3 3 2" xfId="37530"/>
    <cellStyle name="Output 2 3 3 4" xfId="24812"/>
    <cellStyle name="Output 2 3 3 4 2" xfId="33588"/>
    <cellStyle name="Output 2 3 3 5" xfId="28163"/>
    <cellStyle name="Output 2 3 3 5 2" xfId="36922"/>
    <cellStyle name="Output 2 3 3 6" xfId="25741"/>
    <cellStyle name="Output 2 3 3 6 2" xfId="34508"/>
    <cellStyle name="Output 2 3 3 7" xfId="28137"/>
    <cellStyle name="Output 2 3 3 7 2" xfId="36896"/>
    <cellStyle name="Output 2 3 3 8" xfId="28397"/>
    <cellStyle name="Output 2 3 3 8 2" xfId="37154"/>
    <cellStyle name="Output 2 3 3 9" xfId="27554"/>
    <cellStyle name="Output 2 3 3 9 2" xfId="36314"/>
    <cellStyle name="Output 2 3 4" xfId="28505"/>
    <cellStyle name="Output 2 3 4 2" xfId="37261"/>
    <cellStyle name="Output 2 3 5" xfId="28604"/>
    <cellStyle name="Output 2 3 5 2" xfId="37360"/>
    <cellStyle name="Output 2 3 6" xfId="25596"/>
    <cellStyle name="Output 2 3 6 2" xfId="34363"/>
    <cellStyle name="Output 2 3 7" xfId="28015"/>
    <cellStyle name="Output 2 3 7 2" xfId="36774"/>
    <cellStyle name="Output 2 3 8" xfId="28451"/>
    <cellStyle name="Output 2 3 8 2" xfId="37208"/>
    <cellStyle name="Output 2 3 9" xfId="24907"/>
    <cellStyle name="Output 2 3 9 2" xfId="33681"/>
    <cellStyle name="Output 2 4" xfId="43082"/>
    <cellStyle name="Output 2 5" xfId="44211"/>
    <cellStyle name="Output 2 6" xfId="285"/>
    <cellStyle name="Output 3" xfId="916"/>
    <cellStyle name="Output 3 2" xfId="5874"/>
    <cellStyle name="Output 3 2 10" xfId="27560"/>
    <cellStyle name="Output 3 2 10 2" xfId="36320"/>
    <cellStyle name="Output 3 2 11" xfId="27979"/>
    <cellStyle name="Output 3 2 11 2" xfId="36739"/>
    <cellStyle name="Output 3 2 12" xfId="27879"/>
    <cellStyle name="Output 3 2 12 2" xfId="36639"/>
    <cellStyle name="Output 3 2 13" xfId="27841"/>
    <cellStyle name="Output 3 2 13 2" xfId="36601"/>
    <cellStyle name="Output 3 2 14" xfId="32711"/>
    <cellStyle name="Output 3 2 15" xfId="42222"/>
    <cellStyle name="Output 3 2 16" xfId="43249"/>
    <cellStyle name="Output 3 2 17" xfId="43407"/>
    <cellStyle name="Output 3 2 18" xfId="43279"/>
    <cellStyle name="Output 3 2 19" xfId="44062"/>
    <cellStyle name="Output 3 2 2" xfId="6748"/>
    <cellStyle name="Output 3 2 2 10" xfId="28285"/>
    <cellStyle name="Output 3 2 2 10 2" xfId="37044"/>
    <cellStyle name="Output 3 2 2 11" xfId="27297"/>
    <cellStyle name="Output 3 2 2 11 2" xfId="36057"/>
    <cellStyle name="Output 3 2 2 12" xfId="26510"/>
    <cellStyle name="Output 3 2 2 12 2" xfId="35275"/>
    <cellStyle name="Output 3 2 2 13" xfId="28225"/>
    <cellStyle name="Output 3 2 2 13 2" xfId="36984"/>
    <cellStyle name="Output 3 2 2 2" xfId="18239"/>
    <cellStyle name="Output 3 2 2 2 10" xfId="26436"/>
    <cellStyle name="Output 3 2 2 2 10 2" xfId="35201"/>
    <cellStyle name="Output 3 2 2 2 11" xfId="25764"/>
    <cellStyle name="Output 3 2 2 2 11 2" xfId="34531"/>
    <cellStyle name="Output 3 2 2 2 12" xfId="32983"/>
    <cellStyle name="Output 3 2 2 2 2" xfId="24509"/>
    <cellStyle name="Output 3 2 2 2 2 10" xfId="32262"/>
    <cellStyle name="Output 3 2 2 2 2 10 2" xfId="41016"/>
    <cellStyle name="Output 3 2 2 2 2 11" xfId="33337"/>
    <cellStyle name="Output 3 2 2 2 2 2" xfId="29117"/>
    <cellStyle name="Output 3 2 2 2 2 2 2" xfId="37871"/>
    <cellStyle name="Output 3 2 2 2 2 3" xfId="29530"/>
    <cellStyle name="Output 3 2 2 2 2 3 2" xfId="38284"/>
    <cellStyle name="Output 3 2 2 2 2 4" xfId="29950"/>
    <cellStyle name="Output 3 2 2 2 2 4 2" xfId="38704"/>
    <cellStyle name="Output 3 2 2 2 2 5" xfId="30369"/>
    <cellStyle name="Output 3 2 2 2 2 5 2" xfId="39123"/>
    <cellStyle name="Output 3 2 2 2 2 6" xfId="30770"/>
    <cellStyle name="Output 3 2 2 2 2 6 2" xfId="39524"/>
    <cellStyle name="Output 3 2 2 2 2 7" xfId="31156"/>
    <cellStyle name="Output 3 2 2 2 2 7 2" xfId="39910"/>
    <cellStyle name="Output 3 2 2 2 2 8" xfId="31534"/>
    <cellStyle name="Output 3 2 2 2 2 8 2" xfId="40288"/>
    <cellStyle name="Output 3 2 2 2 2 9" xfId="31900"/>
    <cellStyle name="Output 3 2 2 2 2 9 2" xfId="40654"/>
    <cellStyle name="Output 3 2 2 2 3" xfId="27729"/>
    <cellStyle name="Output 3 2 2 2 3 2" xfId="36489"/>
    <cellStyle name="Output 3 2 2 2 4" xfId="28571"/>
    <cellStyle name="Output 3 2 2 2 4 2" xfId="37327"/>
    <cellStyle name="Output 3 2 2 2 5" xfId="25361"/>
    <cellStyle name="Output 3 2 2 2 5 2" xfId="34130"/>
    <cellStyle name="Output 3 2 2 2 6" xfId="26256"/>
    <cellStyle name="Output 3 2 2 2 6 2" xfId="35022"/>
    <cellStyle name="Output 3 2 2 2 7" xfId="26255"/>
    <cellStyle name="Output 3 2 2 2 7 2" xfId="35021"/>
    <cellStyle name="Output 3 2 2 2 8" xfId="27788"/>
    <cellStyle name="Output 3 2 2 2 8 2" xfId="36548"/>
    <cellStyle name="Output 3 2 2 2 9" xfId="28445"/>
    <cellStyle name="Output 3 2 2 2 9 2" xfId="37202"/>
    <cellStyle name="Output 3 2 2 3" xfId="15434"/>
    <cellStyle name="Output 3 2 2 3 10" xfId="2189"/>
    <cellStyle name="Output 3 2 2 3 10 2" xfId="32629"/>
    <cellStyle name="Output 3 2 2 3 11" xfId="32884"/>
    <cellStyle name="Output 3 2 2 3 2" xfId="27199"/>
    <cellStyle name="Output 3 2 2 3 2 2" xfId="35959"/>
    <cellStyle name="Output 3 2 2 3 3" xfId="27984"/>
    <cellStyle name="Output 3 2 2 3 3 2" xfId="36744"/>
    <cellStyle name="Output 3 2 2 3 4" xfId="26011"/>
    <cellStyle name="Output 3 2 2 3 4 2" xfId="34777"/>
    <cellStyle name="Output 3 2 2 3 5" xfId="28926"/>
    <cellStyle name="Output 3 2 2 3 5 2" xfId="37681"/>
    <cellStyle name="Output 3 2 2 3 6" xfId="25475"/>
    <cellStyle name="Output 3 2 2 3 6 2" xfId="34244"/>
    <cellStyle name="Output 3 2 2 3 7" xfId="27828"/>
    <cellStyle name="Output 3 2 2 3 7 2" xfId="36588"/>
    <cellStyle name="Output 3 2 2 3 8" xfId="26536"/>
    <cellStyle name="Output 3 2 2 3 8 2" xfId="35301"/>
    <cellStyle name="Output 3 2 2 3 9" xfId="25215"/>
    <cellStyle name="Output 3 2 2 3 9 2" xfId="33986"/>
    <cellStyle name="Output 3 2 2 4" xfId="24380"/>
    <cellStyle name="Output 3 2 2 4 10" xfId="32159"/>
    <cellStyle name="Output 3 2 2 4 10 2" xfId="40913"/>
    <cellStyle name="Output 3 2 2 4 11" xfId="33234"/>
    <cellStyle name="Output 3 2 2 4 2" xfId="29011"/>
    <cellStyle name="Output 3 2 2 4 2 2" xfId="37765"/>
    <cellStyle name="Output 3 2 2 4 3" xfId="29424"/>
    <cellStyle name="Output 3 2 2 4 3 2" xfId="38178"/>
    <cellStyle name="Output 3 2 2 4 4" xfId="29847"/>
    <cellStyle name="Output 3 2 2 4 4 2" xfId="38601"/>
    <cellStyle name="Output 3 2 2 4 5" xfId="30262"/>
    <cellStyle name="Output 3 2 2 4 5 2" xfId="39016"/>
    <cellStyle name="Output 3 2 2 4 6" xfId="30663"/>
    <cellStyle name="Output 3 2 2 4 6 2" xfId="39417"/>
    <cellStyle name="Output 3 2 2 4 7" xfId="31050"/>
    <cellStyle name="Output 3 2 2 4 7 2" xfId="39804"/>
    <cellStyle name="Output 3 2 2 4 8" xfId="31429"/>
    <cellStyle name="Output 3 2 2 4 8 2" xfId="40183"/>
    <cellStyle name="Output 3 2 2 4 9" xfId="31797"/>
    <cellStyle name="Output 3 2 2 4 9 2" xfId="40551"/>
    <cellStyle name="Output 3 2 2 5" xfId="25685"/>
    <cellStyle name="Output 3 2 2 5 2" xfId="34452"/>
    <cellStyle name="Output 3 2 2 6" xfId="27323"/>
    <cellStyle name="Output 3 2 2 6 2" xfId="36083"/>
    <cellStyle name="Output 3 2 2 7" xfId="26096"/>
    <cellStyle name="Output 3 2 2 7 2" xfId="34862"/>
    <cellStyle name="Output 3 2 2 8" xfId="28898"/>
    <cellStyle name="Output 3 2 2 8 2" xfId="37654"/>
    <cellStyle name="Output 3 2 2 9" xfId="26987"/>
    <cellStyle name="Output 3 2 2 9 2" xfId="35747"/>
    <cellStyle name="Output 3 2 3" xfId="15029"/>
    <cellStyle name="Output 3 2 3 10" xfId="25031"/>
    <cellStyle name="Output 3 2 3 10 2" xfId="33805"/>
    <cellStyle name="Output 3 2 3 11" xfId="26230"/>
    <cellStyle name="Output 3 2 3 11 2" xfId="34996"/>
    <cellStyle name="Output 3 2 3 12" xfId="32855"/>
    <cellStyle name="Output 3 2 3 2" xfId="24345"/>
    <cellStyle name="Output 3 2 3 2 10" xfId="32129"/>
    <cellStyle name="Output 3 2 3 2 10 2" xfId="40883"/>
    <cellStyle name="Output 3 2 3 2 11" xfId="33204"/>
    <cellStyle name="Output 3 2 3 2 2" xfId="28980"/>
    <cellStyle name="Output 3 2 3 2 2 2" xfId="37734"/>
    <cellStyle name="Output 3 2 3 2 3" xfId="29393"/>
    <cellStyle name="Output 3 2 3 2 3 2" xfId="38147"/>
    <cellStyle name="Output 3 2 3 2 4" xfId="29817"/>
    <cellStyle name="Output 3 2 3 2 4 2" xfId="38571"/>
    <cellStyle name="Output 3 2 3 2 5" xfId="30232"/>
    <cellStyle name="Output 3 2 3 2 5 2" xfId="38986"/>
    <cellStyle name="Output 3 2 3 2 6" xfId="30633"/>
    <cellStyle name="Output 3 2 3 2 6 2" xfId="39387"/>
    <cellStyle name="Output 3 2 3 2 7" xfId="31020"/>
    <cellStyle name="Output 3 2 3 2 7 2" xfId="39774"/>
    <cellStyle name="Output 3 2 3 2 8" xfId="31399"/>
    <cellStyle name="Output 3 2 3 2 8 2" xfId="40153"/>
    <cellStyle name="Output 3 2 3 2 9" xfId="31767"/>
    <cellStyle name="Output 3 2 3 2 9 2" xfId="40521"/>
    <cellStyle name="Output 3 2 3 3" xfId="27110"/>
    <cellStyle name="Output 3 2 3 3 2" xfId="35870"/>
    <cellStyle name="Output 3 2 3 4" xfId="27989"/>
    <cellStyle name="Output 3 2 3 4 2" xfId="36749"/>
    <cellStyle name="Output 3 2 3 5" xfId="25300"/>
    <cellStyle name="Output 3 2 3 5 2" xfId="34070"/>
    <cellStyle name="Output 3 2 3 6" xfId="25637"/>
    <cellStyle name="Output 3 2 3 6 2" xfId="34404"/>
    <cellStyle name="Output 3 2 3 7" xfId="25650"/>
    <cellStyle name="Output 3 2 3 7 2" xfId="34417"/>
    <cellStyle name="Output 3 2 3 8" xfId="28673"/>
    <cellStyle name="Output 3 2 3 8 2" xfId="37429"/>
    <cellStyle name="Output 3 2 3 9" xfId="26852"/>
    <cellStyle name="Output 3 2 3 9 2" xfId="35613"/>
    <cellStyle name="Output 3 2 4" xfId="18171"/>
    <cellStyle name="Output 3 2 4 10" xfId="28639"/>
    <cellStyle name="Output 3 2 4 10 2" xfId="37395"/>
    <cellStyle name="Output 3 2 4 11" xfId="25407"/>
    <cellStyle name="Output 3 2 4 11 2" xfId="34176"/>
    <cellStyle name="Output 3 2 4 12" xfId="32915"/>
    <cellStyle name="Output 3 2 4 2" xfId="24441"/>
    <cellStyle name="Output 3 2 4 2 10" xfId="32194"/>
    <cellStyle name="Output 3 2 4 2 10 2" xfId="40948"/>
    <cellStyle name="Output 3 2 4 2 11" xfId="33269"/>
    <cellStyle name="Output 3 2 4 2 2" xfId="29049"/>
    <cellStyle name="Output 3 2 4 2 2 2" xfId="37803"/>
    <cellStyle name="Output 3 2 4 2 3" xfId="29462"/>
    <cellStyle name="Output 3 2 4 2 3 2" xfId="38216"/>
    <cellStyle name="Output 3 2 4 2 4" xfId="29882"/>
    <cellStyle name="Output 3 2 4 2 4 2" xfId="38636"/>
    <cellStyle name="Output 3 2 4 2 5" xfId="30301"/>
    <cellStyle name="Output 3 2 4 2 5 2" xfId="39055"/>
    <cellStyle name="Output 3 2 4 2 6" xfId="30702"/>
    <cellStyle name="Output 3 2 4 2 6 2" xfId="39456"/>
    <cellStyle name="Output 3 2 4 2 7" xfId="31088"/>
    <cellStyle name="Output 3 2 4 2 7 2" xfId="39842"/>
    <cellStyle name="Output 3 2 4 2 8" xfId="31466"/>
    <cellStyle name="Output 3 2 4 2 8 2" xfId="40220"/>
    <cellStyle name="Output 3 2 4 2 9" xfId="31832"/>
    <cellStyle name="Output 3 2 4 2 9 2" xfId="40586"/>
    <cellStyle name="Output 3 2 4 3" xfId="27661"/>
    <cellStyle name="Output 3 2 4 3 2" xfId="36421"/>
    <cellStyle name="Output 3 2 4 4" xfId="26137"/>
    <cellStyle name="Output 3 2 4 4 2" xfId="34903"/>
    <cellStyle name="Output 3 2 4 5" xfId="26362"/>
    <cellStyle name="Output 3 2 4 5 2" xfId="35128"/>
    <cellStyle name="Output 3 2 4 6" xfId="25113"/>
    <cellStyle name="Output 3 2 4 6 2" xfId="33885"/>
    <cellStyle name="Output 3 2 4 7" xfId="27825"/>
    <cellStyle name="Output 3 2 4 7 2" xfId="36585"/>
    <cellStyle name="Output 3 2 4 8" xfId="28203"/>
    <cellStyle name="Output 3 2 4 8 2" xfId="36962"/>
    <cellStyle name="Output 3 2 4 9" xfId="25840"/>
    <cellStyle name="Output 3 2 4 9 2" xfId="34606"/>
    <cellStyle name="Output 3 2 5" xfId="23613"/>
    <cellStyle name="Output 3 2 5 10" xfId="26714"/>
    <cellStyle name="Output 3 2 5 10 2" xfId="35477"/>
    <cellStyle name="Output 3 2 5 11" xfId="1799"/>
    <cellStyle name="Output 3 2 5 11 2" xfId="32607"/>
    <cellStyle name="Output 3 2 5 12" xfId="33083"/>
    <cellStyle name="Output 3 2 5 2" xfId="24668"/>
    <cellStyle name="Output 3 2 5 2 10" xfId="32369"/>
    <cellStyle name="Output 3 2 5 2 10 2" xfId="41123"/>
    <cellStyle name="Output 3 2 5 2 11" xfId="33444"/>
    <cellStyle name="Output 3 2 5 2 2" xfId="29233"/>
    <cellStyle name="Output 3 2 5 2 2 2" xfId="37987"/>
    <cellStyle name="Output 3 2 5 2 3" xfId="29643"/>
    <cellStyle name="Output 3 2 5 2 3 2" xfId="38397"/>
    <cellStyle name="Output 3 2 5 2 4" xfId="30063"/>
    <cellStyle name="Output 3 2 5 2 4 2" xfId="38817"/>
    <cellStyle name="Output 3 2 5 2 5" xfId="30479"/>
    <cellStyle name="Output 3 2 5 2 5 2" xfId="39233"/>
    <cellStyle name="Output 3 2 5 2 6" xfId="30880"/>
    <cellStyle name="Output 3 2 5 2 6 2" xfId="39634"/>
    <cellStyle name="Output 3 2 5 2 7" xfId="31266"/>
    <cellStyle name="Output 3 2 5 2 7 2" xfId="40020"/>
    <cellStyle name="Output 3 2 5 2 8" xfId="31642"/>
    <cellStyle name="Output 3 2 5 2 8 2" xfId="40396"/>
    <cellStyle name="Output 3 2 5 2 9" xfId="32008"/>
    <cellStyle name="Output 3 2 5 2 9 2" xfId="40762"/>
    <cellStyle name="Output 3 2 5 3" xfId="28729"/>
    <cellStyle name="Output 3 2 5 3 2" xfId="37485"/>
    <cellStyle name="Output 3 2 5 4" xfId="24914"/>
    <cellStyle name="Output 3 2 5 4 2" xfId="33688"/>
    <cellStyle name="Output 3 2 5 5" xfId="26026"/>
    <cellStyle name="Output 3 2 5 5 2" xfId="34792"/>
    <cellStyle name="Output 3 2 5 6" xfId="26299"/>
    <cellStyle name="Output 3 2 5 6 2" xfId="35065"/>
    <cellStyle name="Output 3 2 5 7" xfId="27880"/>
    <cellStyle name="Output 3 2 5 7 2" xfId="36640"/>
    <cellStyle name="Output 3 2 5 8" xfId="25405"/>
    <cellStyle name="Output 3 2 5 8 2" xfId="34174"/>
    <cellStyle name="Output 3 2 5 9" xfId="25803"/>
    <cellStyle name="Output 3 2 5 9 2" xfId="34570"/>
    <cellStyle name="Output 3 2 6" xfId="26008"/>
    <cellStyle name="Output 3 2 6 2" xfId="34774"/>
    <cellStyle name="Output 3 2 7" xfId="2876"/>
    <cellStyle name="Output 3 2 7 2" xfId="32671"/>
    <cellStyle name="Output 3 2 8" xfId="1718"/>
    <cellStyle name="Output 3 2 8 2" xfId="32529"/>
    <cellStyle name="Output 3 2 9" xfId="25647"/>
    <cellStyle name="Output 3 2 9 2" xfId="34414"/>
    <cellStyle name="Output 3 3" xfId="6089"/>
    <cellStyle name="Output 3 3 10" xfId="27383"/>
    <cellStyle name="Output 3 3 10 2" xfId="36143"/>
    <cellStyle name="Output 3 3 11" xfId="28119"/>
    <cellStyle name="Output 3 3 11 2" xfId="36878"/>
    <cellStyle name="Output 3 3 12" xfId="1724"/>
    <cellStyle name="Output 3 3 12 2" xfId="32535"/>
    <cellStyle name="Output 3 3 13" xfId="25665"/>
    <cellStyle name="Output 3 3 13 2" xfId="34432"/>
    <cellStyle name="Output 3 3 14" xfId="42223"/>
    <cellStyle name="Output 3 3 15" xfId="43250"/>
    <cellStyle name="Output 3 3 16" xfId="43408"/>
    <cellStyle name="Output 3 3 17" xfId="43278"/>
    <cellStyle name="Output 3 3 18" xfId="44059"/>
    <cellStyle name="Output 3 3 2" xfId="18211"/>
    <cellStyle name="Output 3 3 2 10" xfId="28544"/>
    <cellStyle name="Output 3 3 2 10 2" xfId="37300"/>
    <cellStyle name="Output 3 3 2 11" xfId="29776"/>
    <cellStyle name="Output 3 3 2 11 2" xfId="38530"/>
    <cellStyle name="Output 3 3 2 12" xfId="32955"/>
    <cellStyle name="Output 3 3 2 2" xfId="24481"/>
    <cellStyle name="Output 3 3 2 2 10" xfId="32234"/>
    <cellStyle name="Output 3 3 2 2 10 2" xfId="40988"/>
    <cellStyle name="Output 3 3 2 2 11" xfId="33309"/>
    <cellStyle name="Output 3 3 2 2 2" xfId="29089"/>
    <cellStyle name="Output 3 3 2 2 2 2" xfId="37843"/>
    <cellStyle name="Output 3 3 2 2 3" xfId="29502"/>
    <cellStyle name="Output 3 3 2 2 3 2" xfId="38256"/>
    <cellStyle name="Output 3 3 2 2 4" xfId="29922"/>
    <cellStyle name="Output 3 3 2 2 4 2" xfId="38676"/>
    <cellStyle name="Output 3 3 2 2 5" xfId="30341"/>
    <cellStyle name="Output 3 3 2 2 5 2" xfId="39095"/>
    <cellStyle name="Output 3 3 2 2 6" xfId="30742"/>
    <cellStyle name="Output 3 3 2 2 6 2" xfId="39496"/>
    <cellStyle name="Output 3 3 2 2 7" xfId="31128"/>
    <cellStyle name="Output 3 3 2 2 7 2" xfId="39882"/>
    <cellStyle name="Output 3 3 2 2 8" xfId="31506"/>
    <cellStyle name="Output 3 3 2 2 8 2" xfId="40260"/>
    <cellStyle name="Output 3 3 2 2 9" xfId="31872"/>
    <cellStyle name="Output 3 3 2 2 9 2" xfId="40626"/>
    <cellStyle name="Output 3 3 2 3" xfId="27701"/>
    <cellStyle name="Output 3 3 2 3 2" xfId="36461"/>
    <cellStyle name="Output 3 3 2 4" xfId="26242"/>
    <cellStyle name="Output 3 3 2 4 2" xfId="35008"/>
    <cellStyle name="Output 3 3 2 5" xfId="26980"/>
    <cellStyle name="Output 3 3 2 5 2" xfId="35740"/>
    <cellStyle name="Output 3 3 2 6" xfId="27457"/>
    <cellStyle name="Output 3 3 2 6 2" xfId="36217"/>
    <cellStyle name="Output 3 3 2 7" xfId="25948"/>
    <cellStyle name="Output 3 3 2 7 2" xfId="34714"/>
    <cellStyle name="Output 3 3 2 8" xfId="27285"/>
    <cellStyle name="Output 3 3 2 8 2" xfId="36045"/>
    <cellStyle name="Output 3 3 2 9" xfId="26496"/>
    <cellStyle name="Output 3 3 2 9 2" xfId="35261"/>
    <cellStyle name="Output 3 3 3" xfId="15056"/>
    <cellStyle name="Output 3 3 3 10" xfId="25464"/>
    <cellStyle name="Output 3 3 3 10 2" xfId="34233"/>
    <cellStyle name="Output 3 3 3 11" xfId="32857"/>
    <cellStyle name="Output 3 3 3 2" xfId="27118"/>
    <cellStyle name="Output 3 3 3 2 2" xfId="35878"/>
    <cellStyle name="Output 3 3 3 3" xfId="25887"/>
    <cellStyle name="Output 3 3 3 3 2" xfId="34653"/>
    <cellStyle name="Output 3 3 3 4" xfId="26348"/>
    <cellStyle name="Output 3 3 3 4 2" xfId="35114"/>
    <cellStyle name="Output 3 3 3 5" xfId="25382"/>
    <cellStyle name="Output 3 3 3 5 2" xfId="34151"/>
    <cellStyle name="Output 3 3 3 6" xfId="26608"/>
    <cellStyle name="Output 3 3 3 6 2" xfId="35373"/>
    <cellStyle name="Output 3 3 3 7" xfId="26413"/>
    <cellStyle name="Output 3 3 3 7 2" xfId="35179"/>
    <cellStyle name="Output 3 3 3 8" xfId="28914"/>
    <cellStyle name="Output 3 3 3 8 2" xfId="37669"/>
    <cellStyle name="Output 3 3 3 9" xfId="28064"/>
    <cellStyle name="Output 3 3 3 9 2" xfId="36823"/>
    <cellStyle name="Output 3 3 4" xfId="24347"/>
    <cellStyle name="Output 3 3 4 10" xfId="32131"/>
    <cellStyle name="Output 3 3 4 10 2" xfId="40885"/>
    <cellStyle name="Output 3 3 4 11" xfId="33206"/>
    <cellStyle name="Output 3 3 4 2" xfId="28982"/>
    <cellStyle name="Output 3 3 4 2 2" xfId="37736"/>
    <cellStyle name="Output 3 3 4 3" xfId="29395"/>
    <cellStyle name="Output 3 3 4 3 2" xfId="38149"/>
    <cellStyle name="Output 3 3 4 4" xfId="29819"/>
    <cellStyle name="Output 3 3 4 4 2" xfId="38573"/>
    <cellStyle name="Output 3 3 4 5" xfId="30234"/>
    <cellStyle name="Output 3 3 4 5 2" xfId="38988"/>
    <cellStyle name="Output 3 3 4 6" xfId="30635"/>
    <cellStyle name="Output 3 3 4 6 2" xfId="39389"/>
    <cellStyle name="Output 3 3 4 7" xfId="31022"/>
    <cellStyle name="Output 3 3 4 7 2" xfId="39776"/>
    <cellStyle name="Output 3 3 4 8" xfId="31401"/>
    <cellStyle name="Output 3 3 4 8 2" xfId="40155"/>
    <cellStyle name="Output 3 3 4 9" xfId="31769"/>
    <cellStyle name="Output 3 3 4 9 2" xfId="40523"/>
    <cellStyle name="Output 3 3 5" xfId="25567"/>
    <cellStyle name="Output 3 3 5 2" xfId="34334"/>
    <cellStyle name="Output 3 3 6" xfId="27473"/>
    <cellStyle name="Output 3 3 6 2" xfId="36233"/>
    <cellStyle name="Output 3 3 7" xfId="28523"/>
    <cellStyle name="Output 3 3 7 2" xfId="37279"/>
    <cellStyle name="Output 3 3 8" xfId="27538"/>
    <cellStyle name="Output 3 3 8 2" xfId="36298"/>
    <cellStyle name="Output 3 3 9" xfId="25364"/>
    <cellStyle name="Output 3 3 9 2" xfId="34133"/>
    <cellStyle name="Output 3 4" xfId="9254"/>
    <cellStyle name="Output 3 4 10" xfId="27293"/>
    <cellStyle name="Output 3 4 10 2" xfId="36053"/>
    <cellStyle name="Output 3 4 11" xfId="26546"/>
    <cellStyle name="Output 3 4 11 2" xfId="35311"/>
    <cellStyle name="Output 3 4 12" xfId="32779"/>
    <cellStyle name="Output 3 4 2" xfId="18260"/>
    <cellStyle name="Output 3 4 2 10" xfId="28933"/>
    <cellStyle name="Output 3 4 2 10 2" xfId="37688"/>
    <cellStyle name="Output 3 4 2 11" xfId="28295"/>
    <cellStyle name="Output 3 4 2 11 2" xfId="37054"/>
    <cellStyle name="Output 3 4 2 12" xfId="33004"/>
    <cellStyle name="Output 3 4 2 2" xfId="24530"/>
    <cellStyle name="Output 3 4 2 2 10" xfId="32283"/>
    <cellStyle name="Output 3 4 2 2 10 2" xfId="41037"/>
    <cellStyle name="Output 3 4 2 2 11" xfId="33358"/>
    <cellStyle name="Output 3 4 2 2 2" xfId="29138"/>
    <cellStyle name="Output 3 4 2 2 2 2" xfId="37892"/>
    <cellStyle name="Output 3 4 2 2 3" xfId="29551"/>
    <cellStyle name="Output 3 4 2 2 3 2" xfId="38305"/>
    <cellStyle name="Output 3 4 2 2 4" xfId="29971"/>
    <cellStyle name="Output 3 4 2 2 4 2" xfId="38725"/>
    <cellStyle name="Output 3 4 2 2 5" xfId="30390"/>
    <cellStyle name="Output 3 4 2 2 5 2" xfId="39144"/>
    <cellStyle name="Output 3 4 2 2 6" xfId="30791"/>
    <cellStyle name="Output 3 4 2 2 6 2" xfId="39545"/>
    <cellStyle name="Output 3 4 2 2 7" xfId="31177"/>
    <cellStyle name="Output 3 4 2 2 7 2" xfId="39931"/>
    <cellStyle name="Output 3 4 2 2 8" xfId="31555"/>
    <cellStyle name="Output 3 4 2 2 8 2" xfId="40309"/>
    <cellStyle name="Output 3 4 2 2 9" xfId="31921"/>
    <cellStyle name="Output 3 4 2 2 9 2" xfId="40675"/>
    <cellStyle name="Output 3 4 2 3" xfId="27750"/>
    <cellStyle name="Output 3 4 2 3 2" xfId="36510"/>
    <cellStyle name="Output 3 4 2 4" xfId="27291"/>
    <cellStyle name="Output 3 4 2 4 2" xfId="36051"/>
    <cellStyle name="Output 3 4 2 5" xfId="25193"/>
    <cellStyle name="Output 3 4 2 5 2" xfId="33964"/>
    <cellStyle name="Output 3 4 2 6" xfId="26864"/>
    <cellStyle name="Output 3 4 2 6 2" xfId="35625"/>
    <cellStyle name="Output 3 4 2 7" xfId="28534"/>
    <cellStyle name="Output 3 4 2 7 2" xfId="37290"/>
    <cellStyle name="Output 3 4 2 8" xfId="28347"/>
    <cellStyle name="Output 3 4 2 8 2" xfId="37106"/>
    <cellStyle name="Output 3 4 2 9" xfId="28299"/>
    <cellStyle name="Output 3 4 2 9 2" xfId="37058"/>
    <cellStyle name="Output 3 4 3" xfId="23671"/>
    <cellStyle name="Output 3 4 3 10" xfId="28271"/>
    <cellStyle name="Output 3 4 3 10 2" xfId="37030"/>
    <cellStyle name="Output 3 4 3 11" xfId="27814"/>
    <cellStyle name="Output 3 4 3 11 2" xfId="36574"/>
    <cellStyle name="Output 3 4 3 12" xfId="33141"/>
    <cellStyle name="Output 3 4 3 2" xfId="24726"/>
    <cellStyle name="Output 3 4 3 2 10" xfId="32427"/>
    <cellStyle name="Output 3 4 3 2 10 2" xfId="41181"/>
    <cellStyle name="Output 3 4 3 2 11" xfId="33502"/>
    <cellStyle name="Output 3 4 3 2 2" xfId="29291"/>
    <cellStyle name="Output 3 4 3 2 2 2" xfId="38045"/>
    <cellStyle name="Output 3 4 3 2 3" xfId="29701"/>
    <cellStyle name="Output 3 4 3 2 3 2" xfId="38455"/>
    <cellStyle name="Output 3 4 3 2 4" xfId="30121"/>
    <cellStyle name="Output 3 4 3 2 4 2" xfId="38875"/>
    <cellStyle name="Output 3 4 3 2 5" xfId="30537"/>
    <cellStyle name="Output 3 4 3 2 5 2" xfId="39291"/>
    <cellStyle name="Output 3 4 3 2 6" xfId="30938"/>
    <cellStyle name="Output 3 4 3 2 6 2" xfId="39692"/>
    <cellStyle name="Output 3 4 3 2 7" xfId="31324"/>
    <cellStyle name="Output 3 4 3 2 7 2" xfId="40078"/>
    <cellStyle name="Output 3 4 3 2 8" xfId="31700"/>
    <cellStyle name="Output 3 4 3 2 8 2" xfId="40454"/>
    <cellStyle name="Output 3 4 3 2 9" xfId="32066"/>
    <cellStyle name="Output 3 4 3 2 9 2" xfId="40820"/>
    <cellStyle name="Output 3 4 3 3" xfId="28787"/>
    <cellStyle name="Output 3 4 3 3 2" xfId="37543"/>
    <cellStyle name="Output 3 4 3 4" xfId="28945"/>
    <cellStyle name="Output 3 4 3 4 2" xfId="37700"/>
    <cellStyle name="Output 3 4 3 5" xfId="24931"/>
    <cellStyle name="Output 3 4 3 5 2" xfId="33705"/>
    <cellStyle name="Output 3 4 3 6" xfId="27185"/>
    <cellStyle name="Output 3 4 3 6 2" xfId="35945"/>
    <cellStyle name="Output 3 4 3 7" xfId="25915"/>
    <cellStyle name="Output 3 4 3 7 2" xfId="34681"/>
    <cellStyle name="Output 3 4 3 8" xfId="27346"/>
    <cellStyle name="Output 3 4 3 8 2" xfId="36106"/>
    <cellStyle name="Output 3 4 3 9" xfId="26275"/>
    <cellStyle name="Output 3 4 3 9 2" xfId="35041"/>
    <cellStyle name="Output 3 4 4" xfId="27575"/>
    <cellStyle name="Output 3 4 4 2" xfId="36335"/>
    <cellStyle name="Output 3 4 5" xfId="26166"/>
    <cellStyle name="Output 3 4 5 2" xfId="34932"/>
    <cellStyle name="Output 3 4 6" xfId="26112"/>
    <cellStyle name="Output 3 4 6 2" xfId="34878"/>
    <cellStyle name="Output 3 4 7" xfId="27015"/>
    <cellStyle name="Output 3 4 7 2" xfId="35775"/>
    <cellStyle name="Output 3 4 8" xfId="25875"/>
    <cellStyle name="Output 3 4 8 2" xfId="34641"/>
    <cellStyle name="Output 3 4 9" xfId="29771"/>
    <cellStyle name="Output 3 4 9 2" xfId="38525"/>
    <cellStyle name="Output 3 5" xfId="44149"/>
    <cellStyle name="Output 4" xfId="6813"/>
    <cellStyle name="Output 4 2" xfId="9603"/>
    <cellStyle name="Output 4 2 2" xfId="18245"/>
    <cellStyle name="Output 4 2 2 10" xfId="26614"/>
    <cellStyle name="Output 4 2 2 10 2" xfId="35379"/>
    <cellStyle name="Output 4 2 2 11" xfId="32989"/>
    <cellStyle name="Output 4 2 2 2" xfId="27735"/>
    <cellStyle name="Output 4 2 2 2 2" xfId="36495"/>
    <cellStyle name="Output 4 2 2 3" xfId="26818"/>
    <cellStyle name="Output 4 2 2 3 2" xfId="35579"/>
    <cellStyle name="Output 4 2 2 4" xfId="28655"/>
    <cellStyle name="Output 4 2 2 4 2" xfId="37411"/>
    <cellStyle name="Output 4 2 2 5" xfId="28409"/>
    <cellStyle name="Output 4 2 2 5 2" xfId="37166"/>
    <cellStyle name="Output 4 2 2 6" xfId="26739"/>
    <cellStyle name="Output 4 2 2 6 2" xfId="35502"/>
    <cellStyle name="Output 4 2 2 7" xfId="25979"/>
    <cellStyle name="Output 4 2 2 7 2" xfId="34745"/>
    <cellStyle name="Output 4 2 2 8" xfId="27881"/>
    <cellStyle name="Output 4 2 2 8 2" xfId="36641"/>
    <cellStyle name="Output 4 2 2 9" xfId="25606"/>
    <cellStyle name="Output 4 2 2 9 2" xfId="34373"/>
    <cellStyle name="Output 4 2 3" xfId="24515"/>
    <cellStyle name="Output 4 2 3 10" xfId="32268"/>
    <cellStyle name="Output 4 2 3 10 2" xfId="41022"/>
    <cellStyle name="Output 4 2 3 11" xfId="33343"/>
    <cellStyle name="Output 4 2 3 2" xfId="29123"/>
    <cellStyle name="Output 4 2 3 2 2" xfId="37877"/>
    <cellStyle name="Output 4 2 3 3" xfId="29536"/>
    <cellStyle name="Output 4 2 3 3 2" xfId="38290"/>
    <cellStyle name="Output 4 2 3 4" xfId="29956"/>
    <cellStyle name="Output 4 2 3 4 2" xfId="38710"/>
    <cellStyle name="Output 4 2 3 5" xfId="30375"/>
    <cellStyle name="Output 4 2 3 5 2" xfId="39129"/>
    <cellStyle name="Output 4 2 3 6" xfId="30776"/>
    <cellStyle name="Output 4 2 3 6 2" xfId="39530"/>
    <cellStyle name="Output 4 2 3 7" xfId="31162"/>
    <cellStyle name="Output 4 2 3 7 2" xfId="39916"/>
    <cellStyle name="Output 4 2 3 8" xfId="31540"/>
    <cellStyle name="Output 4 2 3 8 2" xfId="40294"/>
    <cellStyle name="Output 4 2 3 9" xfId="31906"/>
    <cellStyle name="Output 4 2 3 9 2" xfId="40660"/>
    <cellStyle name="Output 4 2 4" xfId="32814"/>
    <cellStyle name="Output 4 2 5" xfId="42224"/>
    <cellStyle name="Output 4 2 6" xfId="43251"/>
    <cellStyle name="Output 4 2 7" xfId="43409"/>
    <cellStyle name="Output 4 2 8" xfId="43277"/>
    <cellStyle name="Output 4 2 9" xfId="44078"/>
    <cellStyle name="Output 4 3" xfId="23656"/>
    <cellStyle name="Output 4 3 10" xfId="27521"/>
    <cellStyle name="Output 4 3 10 2" xfId="36281"/>
    <cellStyle name="Output 4 3 11" xfId="25918"/>
    <cellStyle name="Output 4 3 11 2" xfId="34684"/>
    <cellStyle name="Output 4 3 12" xfId="33126"/>
    <cellStyle name="Output 4 3 2" xfId="24711"/>
    <cellStyle name="Output 4 3 2 10" xfId="32412"/>
    <cellStyle name="Output 4 3 2 10 2" xfId="41166"/>
    <cellStyle name="Output 4 3 2 11" xfId="33487"/>
    <cellStyle name="Output 4 3 2 2" xfId="29276"/>
    <cellStyle name="Output 4 3 2 2 2" xfId="38030"/>
    <cellStyle name="Output 4 3 2 3" xfId="29686"/>
    <cellStyle name="Output 4 3 2 3 2" xfId="38440"/>
    <cellStyle name="Output 4 3 2 4" xfId="30106"/>
    <cellStyle name="Output 4 3 2 4 2" xfId="38860"/>
    <cellStyle name="Output 4 3 2 5" xfId="30522"/>
    <cellStyle name="Output 4 3 2 5 2" xfId="39276"/>
    <cellStyle name="Output 4 3 2 6" xfId="30923"/>
    <cellStyle name="Output 4 3 2 6 2" xfId="39677"/>
    <cellStyle name="Output 4 3 2 7" xfId="31309"/>
    <cellStyle name="Output 4 3 2 7 2" xfId="40063"/>
    <cellStyle name="Output 4 3 2 8" xfId="31685"/>
    <cellStyle name="Output 4 3 2 8 2" xfId="40439"/>
    <cellStyle name="Output 4 3 2 9" xfId="32051"/>
    <cellStyle name="Output 4 3 2 9 2" xfId="40805"/>
    <cellStyle name="Output 4 3 3" xfId="28772"/>
    <cellStyle name="Output 4 3 3 2" xfId="37528"/>
    <cellStyle name="Output 4 3 4" xfId="28874"/>
    <cellStyle name="Output 4 3 4 2" xfId="37630"/>
    <cellStyle name="Output 4 3 5" xfId="24845"/>
    <cellStyle name="Output 4 3 5 2" xfId="33619"/>
    <cellStyle name="Output 4 3 6" xfId="26281"/>
    <cellStyle name="Output 4 3 6 2" xfId="35047"/>
    <cellStyle name="Output 4 3 7" xfId="27482"/>
    <cellStyle name="Output 4 3 7 2" xfId="36242"/>
    <cellStyle name="Output 4 3 8" xfId="28525"/>
    <cellStyle name="Output 4 3 8 2" xfId="37281"/>
    <cellStyle name="Output 4 3 9" xfId="27394"/>
    <cellStyle name="Output 4 3 9 2" xfId="36154"/>
    <cellStyle name="Output 4 4" xfId="12622"/>
    <cellStyle name="Output 4 4 10" xfId="26537"/>
    <cellStyle name="Output 4 4 10 2" xfId="35302"/>
    <cellStyle name="Output 4 4 11" xfId="32828"/>
    <cellStyle name="Output 4 4 2" xfId="26670"/>
    <cellStyle name="Output 4 4 2 2" xfId="35434"/>
    <cellStyle name="Output 4 4 3" xfId="25294"/>
    <cellStyle name="Output 4 4 3 2" xfId="34064"/>
    <cellStyle name="Output 4 4 4" xfId="25699"/>
    <cellStyle name="Output 4 4 4 2" xfId="34466"/>
    <cellStyle name="Output 4 4 5" xfId="1767"/>
    <cellStyle name="Output 4 4 5 2" xfId="32575"/>
    <cellStyle name="Output 4 4 6" xfId="25148"/>
    <cellStyle name="Output 4 4 6 2" xfId="33919"/>
    <cellStyle name="Output 4 4 7" xfId="27147"/>
    <cellStyle name="Output 4 4 7 2" xfId="35907"/>
    <cellStyle name="Output 4 4 8" xfId="27415"/>
    <cellStyle name="Output 4 4 8 2" xfId="36175"/>
    <cellStyle name="Output 4 4 9" xfId="28123"/>
    <cellStyle name="Output 4 4 9 2" xfId="36882"/>
    <cellStyle name="Output 4 5" xfId="32764"/>
    <cellStyle name="Output 5" xfId="42225"/>
    <cellStyle name="Output 5 2" xfId="42226"/>
    <cellStyle name="Output 5 2 2" xfId="43253"/>
    <cellStyle name="Output 5 2 3" xfId="43411"/>
    <cellStyle name="Output 5 2 4" xfId="43275"/>
    <cellStyle name="Output 5 2 5" xfId="44080"/>
    <cellStyle name="Output 5 3" xfId="43252"/>
    <cellStyle name="Output 5 4" xfId="43410"/>
    <cellStyle name="Output 5 5" xfId="43276"/>
    <cellStyle name="Output 5 6" xfId="44069"/>
    <cellStyle name="Output 6" xfId="42227"/>
    <cellStyle name="Output 6 2" xfId="43254"/>
    <cellStyle name="Output 6 3" xfId="43412"/>
    <cellStyle name="Output 6 4" xfId="43274"/>
    <cellStyle name="Output 6 5" xfId="44083"/>
    <cellStyle name="Output 7" xfId="42974"/>
    <cellStyle name="Percen - Style2" xfId="434"/>
    <cellStyle name="Percent %" xfId="435"/>
    <cellStyle name="Percent % 2" xfId="436"/>
    <cellStyle name="Percent % 2 2" xfId="878"/>
    <cellStyle name="Percent % 2 2 2" xfId="1411"/>
    <cellStyle name="Percent % 2 2 3" xfId="2805"/>
    <cellStyle name="Percent % 2 3" xfId="737"/>
    <cellStyle name="Percent % 2 4" xfId="5875"/>
    <cellStyle name="Percent % 3" xfId="738"/>
    <cellStyle name="Percent % 3 2" xfId="2158"/>
    <cellStyle name="Percent % 3 2 2" xfId="5876"/>
    <cellStyle name="Percent % 3 2 3" xfId="6161"/>
    <cellStyle name="Percent % 3 3" xfId="1903"/>
    <cellStyle name="Percent % 4" xfId="736"/>
    <cellStyle name="Percent % 4 2" xfId="2305"/>
    <cellStyle name="Percent % 5" xfId="661"/>
    <cellStyle name="Percent % 5 2" xfId="2668"/>
    <cellStyle name="Percent % 5 3" xfId="5877"/>
    <cellStyle name="Percent % 5 4" xfId="2202"/>
    <cellStyle name="Percent % 6" xfId="1097"/>
    <cellStyle name="Percent % 6 2" xfId="1143"/>
    <cellStyle name="Percent % 7" xfId="1191"/>
    <cellStyle name="Percent % 8" xfId="42228"/>
    <cellStyle name="Percent % Long Underline" xfId="437"/>
    <cellStyle name="Percent % Long Underline 2" xfId="438"/>
    <cellStyle name="Percent % Long Underline 2 2" xfId="1932"/>
    <cellStyle name="Percent % Long Underline 3" xfId="662"/>
    <cellStyle name="Percent %_Black-Scholes Model - 2004 Options" xfId="439"/>
    <cellStyle name="Percent (0)" xfId="440"/>
    <cellStyle name="Percent (0) 2" xfId="740"/>
    <cellStyle name="Percent (0) 2 2" xfId="1553"/>
    <cellStyle name="Percent (0) 2 2 2" xfId="42231"/>
    <cellStyle name="Percent (0) 2 3" xfId="2075"/>
    <cellStyle name="Percent (0) 2 3 2" xfId="42232"/>
    <cellStyle name="Percent (0) 2 4" xfId="2030"/>
    <cellStyle name="Percent (0) 2 4 2" xfId="42233"/>
    <cellStyle name="Percent (0) 2 5" xfId="42230"/>
    <cellStyle name="Percent (0) 3" xfId="739"/>
    <cellStyle name="Percent (0) 3 2" xfId="2306"/>
    <cellStyle name="Percent (0) 3 2 2" xfId="42235"/>
    <cellStyle name="Percent (0) 3 3" xfId="42234"/>
    <cellStyle name="Percent (0) 4" xfId="1098"/>
    <cellStyle name="Percent (0) 4 2" xfId="1144"/>
    <cellStyle name="Percent (0) 4 2 2" xfId="42237"/>
    <cellStyle name="Percent (0) 4 3" xfId="2863"/>
    <cellStyle name="Percent (0) 4 3 2" xfId="42238"/>
    <cellStyle name="Percent (0) 4 4" xfId="42236"/>
    <cellStyle name="Percent (0) 5" xfId="1192"/>
    <cellStyle name="Percent (0) 5 2" xfId="42239"/>
    <cellStyle name="Percent (0) 6" xfId="42229"/>
    <cellStyle name="Percent [0]" xfId="441"/>
    <cellStyle name="Percent [0] 2" xfId="442"/>
    <cellStyle name="Percent [0] 2 2" xfId="1554"/>
    <cellStyle name="Percent [0] 2 2 2" xfId="42242"/>
    <cellStyle name="Percent [0] 2 3" xfId="2077"/>
    <cellStyle name="Percent [0] 2 3 2" xfId="42243"/>
    <cellStyle name="Percent [0] 2 4" xfId="42241"/>
    <cellStyle name="Percent [0] 3" xfId="741"/>
    <cellStyle name="Percent [0] 3 2" xfId="42244"/>
    <cellStyle name="Percent [0] 4" xfId="2076"/>
    <cellStyle name="Percent [0] 4 2" xfId="42245"/>
    <cellStyle name="Percent [0] 5" xfId="42240"/>
    <cellStyle name="Percent [00]" xfId="443"/>
    <cellStyle name="Percent [00] 2" xfId="444"/>
    <cellStyle name="Percent [00] 2 2" xfId="1555"/>
    <cellStyle name="Percent [00] 2 2 2" xfId="42248"/>
    <cellStyle name="Percent [00] 2 3" xfId="2079"/>
    <cellStyle name="Percent [00] 2 3 2" xfId="42249"/>
    <cellStyle name="Percent [00] 2 4" xfId="42247"/>
    <cellStyle name="Percent [00] 3" xfId="742"/>
    <cellStyle name="Percent [00] 3 2" xfId="42250"/>
    <cellStyle name="Percent [00] 4" xfId="2078"/>
    <cellStyle name="Percent [00] 4 2" xfId="42251"/>
    <cellStyle name="Percent [00] 5" xfId="42246"/>
    <cellStyle name="Percent [2]" xfId="445"/>
    <cellStyle name="Percent [2] 2" xfId="743"/>
    <cellStyle name="Percent [2] 2 2" xfId="1556"/>
    <cellStyle name="Percent [2] 2 2 2" xfId="42254"/>
    <cellStyle name="Percent [2] 2 3" xfId="2080"/>
    <cellStyle name="Percent [2] 2 3 2" xfId="42255"/>
    <cellStyle name="Percent [2] 2 4" xfId="2031"/>
    <cellStyle name="Percent [2] 2 4 2" xfId="42256"/>
    <cellStyle name="Percent [2] 2 5" xfId="42253"/>
    <cellStyle name="Percent [2] 3" xfId="1099"/>
    <cellStyle name="Percent [2] 3 2" xfId="1145"/>
    <cellStyle name="Percent [2] 3 2 2" xfId="42258"/>
    <cellStyle name="Percent [2] 3 3" xfId="2864"/>
    <cellStyle name="Percent [2] 3 3 2" xfId="42259"/>
    <cellStyle name="Percent [2] 3 4" xfId="42257"/>
    <cellStyle name="Percent [2] 4" xfId="1193"/>
    <cellStyle name="Percent [2] 4 2" xfId="42260"/>
    <cellStyle name="Percent [2] 5" xfId="42252"/>
    <cellStyle name="Percent 0.0%" xfId="446"/>
    <cellStyle name="Percent 0.0% Long Underline" xfId="447"/>
    <cellStyle name="Percent 0.0% Long Underline 2" xfId="448"/>
    <cellStyle name="Percent 0.0% Long Underline 2 2" xfId="1934"/>
    <cellStyle name="Percent 0.0% Long Underline 3" xfId="663"/>
    <cellStyle name="Percent 0.0%_Black-Scholes Model - 2004 Options" xfId="449"/>
    <cellStyle name="Percent 0.00%" xfId="450"/>
    <cellStyle name="Percent 0.00% Long Underline" xfId="451"/>
    <cellStyle name="Percent 0.00% Long Underline 2" xfId="452"/>
    <cellStyle name="Percent 0.00% Long Underline 2 2" xfId="1935"/>
    <cellStyle name="Percent 0.00% Long Underline 3" xfId="664"/>
    <cellStyle name="Percent 0.00%_Black-Scholes Model - 2004 Options" xfId="453"/>
    <cellStyle name="Percent 0.000%" xfId="454"/>
    <cellStyle name="Percent 0.000% Long Underline" xfId="455"/>
    <cellStyle name="Percent 0.000% Long Underline 2" xfId="456"/>
    <cellStyle name="Percent 0.000% Long Underline 2 2" xfId="1936"/>
    <cellStyle name="Percent 0.000% Long Underline 3" xfId="665"/>
    <cellStyle name="Percent 0.000%_Black-Scholes Model - 2004 Options" xfId="457"/>
    <cellStyle name="Percent 0.0000%" xfId="458"/>
    <cellStyle name="Percent 0.0000% Long Underline" xfId="459"/>
    <cellStyle name="Percent 0.0000% Long Underline 2" xfId="460"/>
    <cellStyle name="Percent 0.0000% Long Underline 2 2" xfId="1937"/>
    <cellStyle name="Percent 0.0000% Long Underline 3" xfId="666"/>
    <cellStyle name="Percent 10" xfId="522"/>
    <cellStyle name="Percent 10 2" xfId="1412"/>
    <cellStyle name="Percent 10 2 2" xfId="42261"/>
    <cellStyle name="Percent 10 2 3" xfId="42262"/>
    <cellStyle name="Percent 10 3" xfId="24410"/>
    <cellStyle name="Percent 10 3 2" xfId="42263"/>
    <cellStyle name="Percent 100" xfId="2323"/>
    <cellStyle name="Percent 100 2" xfId="23899"/>
    <cellStyle name="Percent 101" xfId="2193"/>
    <cellStyle name="Percent 101 2" xfId="23860"/>
    <cellStyle name="Percent 102" xfId="2212"/>
    <cellStyle name="Percent 102 2" xfId="23871"/>
    <cellStyle name="Percent 103" xfId="2368"/>
    <cellStyle name="Percent 103 2" xfId="23930"/>
    <cellStyle name="Percent 104" xfId="2377"/>
    <cellStyle name="Percent 104 2" xfId="23939"/>
    <cellStyle name="Percent 105" xfId="2384"/>
    <cellStyle name="Percent 105 2" xfId="23943"/>
    <cellStyle name="Percent 106" xfId="2389"/>
    <cellStyle name="Percent 106 2" xfId="23946"/>
    <cellStyle name="Percent 107" xfId="2318"/>
    <cellStyle name="Percent 107 2" xfId="23895"/>
    <cellStyle name="Percent 108" xfId="2376"/>
    <cellStyle name="Percent 108 2" xfId="23938"/>
    <cellStyle name="Percent 109" xfId="2387"/>
    <cellStyle name="Percent 109 2" xfId="23945"/>
    <cellStyle name="Percent 11" xfId="558"/>
    <cellStyle name="Percent 11 2" xfId="1413"/>
    <cellStyle name="Percent 11 2 2" xfId="42264"/>
    <cellStyle name="Percent 11 2 3" xfId="42265"/>
    <cellStyle name="Percent 11 3" xfId="744"/>
    <cellStyle name="Percent 110" xfId="2322"/>
    <cellStyle name="Percent 110 2" xfId="23898"/>
    <cellStyle name="Percent 111" xfId="2364"/>
    <cellStyle name="Percent 111 2" xfId="23926"/>
    <cellStyle name="Percent 112" xfId="2338"/>
    <cellStyle name="Percent 112 2" xfId="23912"/>
    <cellStyle name="Percent 113" xfId="2336"/>
    <cellStyle name="Percent 113 2" xfId="23911"/>
    <cellStyle name="Percent 114" xfId="2362"/>
    <cellStyle name="Percent 114 2" xfId="23925"/>
    <cellStyle name="Percent 115" xfId="2633"/>
    <cellStyle name="Percent 115 2" xfId="2769"/>
    <cellStyle name="Percent 115 3" xfId="23996"/>
    <cellStyle name="Percent 115 4" xfId="42266"/>
    <cellStyle name="Percent 116" xfId="2629"/>
    <cellStyle name="Percent 116 2" xfId="2770"/>
    <cellStyle name="Percent 116 3" xfId="23994"/>
    <cellStyle name="Percent 116 4" xfId="42267"/>
    <cellStyle name="Percent 117" xfId="2672"/>
    <cellStyle name="Percent 117 2" xfId="2771"/>
    <cellStyle name="Percent 117 3" xfId="24003"/>
    <cellStyle name="Percent 117 4" xfId="42268"/>
    <cellStyle name="Percent 118" xfId="2692"/>
    <cellStyle name="Percent 118 2" xfId="2772"/>
    <cellStyle name="Percent 118 3" xfId="24004"/>
    <cellStyle name="Percent 118 4" xfId="42269"/>
    <cellStyle name="Percent 119" xfId="2696"/>
    <cellStyle name="Percent 119 2" xfId="42270"/>
    <cellStyle name="Percent 12" xfId="566"/>
    <cellStyle name="Percent 12 2" xfId="1414"/>
    <cellStyle name="Percent 12 2 2" xfId="2320"/>
    <cellStyle name="Percent 12 2 3" xfId="42271"/>
    <cellStyle name="Percent 12 2 4" xfId="42272"/>
    <cellStyle name="Percent 12 3" xfId="2308"/>
    <cellStyle name="Percent 12 4" xfId="2204"/>
    <cellStyle name="Percent 12 4 2" xfId="23867"/>
    <cellStyle name="Percent 12 5" xfId="42273"/>
    <cellStyle name="Percent 120" xfId="2645"/>
    <cellStyle name="Percent 120 2" xfId="42274"/>
    <cellStyle name="Percent 121" xfId="2621"/>
    <cellStyle name="Percent 121 2" xfId="42275"/>
    <cellStyle name="Percent 122" xfId="2634"/>
    <cellStyle name="Percent 122 2" xfId="42276"/>
    <cellStyle name="Percent 123" xfId="2619"/>
    <cellStyle name="Percent 123 2" xfId="42277"/>
    <cellStyle name="Percent 124" xfId="2685"/>
    <cellStyle name="Percent 124 2" xfId="42278"/>
    <cellStyle name="Percent 125" xfId="2660"/>
    <cellStyle name="Percent 125 2" xfId="42279"/>
    <cellStyle name="Percent 126" xfId="2673"/>
    <cellStyle name="Percent 126 2" xfId="42280"/>
    <cellStyle name="Percent 127" xfId="2719"/>
    <cellStyle name="Percent 127 2" xfId="42281"/>
    <cellStyle name="Percent 128" xfId="2650"/>
    <cellStyle name="Percent 128 2" xfId="42282"/>
    <cellStyle name="Percent 129" xfId="2730"/>
    <cellStyle name="Percent 129 2" xfId="42283"/>
    <cellStyle name="Percent 13" xfId="572"/>
    <cellStyle name="Percent 13 2" xfId="1415"/>
    <cellStyle name="Percent 13 2 2" xfId="5878"/>
    <cellStyle name="Percent 13 2 3" xfId="6127"/>
    <cellStyle name="Percent 13 3" xfId="755"/>
    <cellStyle name="Percent 13 3 2" xfId="42284"/>
    <cellStyle name="Percent 13 4" xfId="42285"/>
    <cellStyle name="Percent 130" xfId="2681"/>
    <cellStyle name="Percent 130 2" xfId="42286"/>
    <cellStyle name="Percent 131" xfId="2610"/>
    <cellStyle name="Percent 131 2" xfId="42287"/>
    <cellStyle name="Percent 132" xfId="2653"/>
    <cellStyle name="Percent 132 2" xfId="42288"/>
    <cellStyle name="Percent 133" xfId="2714"/>
    <cellStyle name="Percent 133 2" xfId="42289"/>
    <cellStyle name="Percent 134" xfId="2728"/>
    <cellStyle name="Percent 134 2" xfId="42290"/>
    <cellStyle name="Percent 135" xfId="2708"/>
    <cellStyle name="Percent 135 2" xfId="42291"/>
    <cellStyle name="Percent 136" xfId="2700"/>
    <cellStyle name="Percent 136 2" xfId="42292"/>
    <cellStyle name="Percent 137" xfId="2618"/>
    <cellStyle name="Percent 137 2" xfId="42293"/>
    <cellStyle name="Percent 138" xfId="2624"/>
    <cellStyle name="Percent 138 2" xfId="42294"/>
    <cellStyle name="Percent 139" xfId="2717"/>
    <cellStyle name="Percent 139 2" xfId="42295"/>
    <cellStyle name="Percent 14" xfId="576"/>
    <cellStyle name="Percent 14 2" xfId="1416"/>
    <cellStyle name="Percent 14 3" xfId="786"/>
    <cellStyle name="Percent 14 3 2" xfId="42296"/>
    <cellStyle name="Percent 14 4" xfId="42297"/>
    <cellStyle name="Percent 140" xfId="2720"/>
    <cellStyle name="Percent 140 2" xfId="42298"/>
    <cellStyle name="Percent 141" xfId="2641"/>
    <cellStyle name="Percent 141 2" xfId="42299"/>
    <cellStyle name="Percent 142" xfId="2680"/>
    <cellStyle name="Percent 142 2" xfId="42300"/>
    <cellStyle name="Percent 143" xfId="2718"/>
    <cellStyle name="Percent 143 2" xfId="42301"/>
    <cellStyle name="Percent 144" xfId="2699"/>
    <cellStyle name="Percent 144 2" xfId="42302"/>
    <cellStyle name="Percent 145" xfId="2676"/>
    <cellStyle name="Percent 145 2" xfId="42303"/>
    <cellStyle name="Percent 146" xfId="3039"/>
    <cellStyle name="Percent 146 2" xfId="42304"/>
    <cellStyle name="Percent 147" xfId="5879"/>
    <cellStyle name="Percent 147 2" xfId="9604"/>
    <cellStyle name="Percent 147 3" xfId="42305"/>
    <cellStyle name="Percent 148" xfId="5880"/>
    <cellStyle name="Percent 148 2" xfId="10065"/>
    <cellStyle name="Percent 148 2 2" xfId="24281"/>
    <cellStyle name="Percent 148 3" xfId="24075"/>
    <cellStyle name="Percent 148 4" xfId="42306"/>
    <cellStyle name="Percent 149" xfId="5881"/>
    <cellStyle name="Percent 149 2" xfId="24078"/>
    <cellStyle name="Percent 149 3" xfId="42307"/>
    <cellStyle name="Percent 15" xfId="570"/>
    <cellStyle name="Percent 15 2" xfId="1417"/>
    <cellStyle name="Percent 15 3" xfId="1552"/>
    <cellStyle name="Percent 15 3 2" xfId="42308"/>
    <cellStyle name="Percent 15 4" xfId="765"/>
    <cellStyle name="Percent 150" xfId="5882"/>
    <cellStyle name="Percent 150 2" xfId="24079"/>
    <cellStyle name="Percent 150 3" xfId="42309"/>
    <cellStyle name="Percent 151" xfId="5883"/>
    <cellStyle name="Percent 151 2" xfId="42310"/>
    <cellStyle name="Percent 152" xfId="5884"/>
    <cellStyle name="Percent 152 2" xfId="42311"/>
    <cellStyle name="Percent 153" xfId="5885"/>
    <cellStyle name="Percent 153 2" xfId="42312"/>
    <cellStyle name="Percent 154" xfId="5886"/>
    <cellStyle name="Percent 154 2" xfId="42313"/>
    <cellStyle name="Percent 155" xfId="5887"/>
    <cellStyle name="Percent 155 2" xfId="42314"/>
    <cellStyle name="Percent 156" xfId="5888"/>
    <cellStyle name="Percent 156 2" xfId="42315"/>
    <cellStyle name="Percent 157" xfId="5889"/>
    <cellStyle name="Percent 157 2" xfId="42316"/>
    <cellStyle name="Percent 158" xfId="5890"/>
    <cellStyle name="Percent 158 2" xfId="42317"/>
    <cellStyle name="Percent 159" xfId="5891"/>
    <cellStyle name="Percent 159 2" xfId="42318"/>
    <cellStyle name="Percent 16" xfId="579"/>
    <cellStyle name="Percent 16 2" xfId="1418"/>
    <cellStyle name="Percent 16 3" xfId="1571"/>
    <cellStyle name="Percent 16 4" xfId="42319"/>
    <cellStyle name="Percent 16 5" xfId="42320"/>
    <cellStyle name="Percent 160" xfId="5892"/>
    <cellStyle name="Percent 160 2" xfId="42321"/>
    <cellStyle name="Percent 161" xfId="5893"/>
    <cellStyle name="Percent 161 2" xfId="42322"/>
    <cellStyle name="Percent 162" xfId="5894"/>
    <cellStyle name="Percent 162 2" xfId="42323"/>
    <cellStyle name="Percent 163" xfId="5895"/>
    <cellStyle name="Percent 163 2" xfId="42324"/>
    <cellStyle name="Percent 164" xfId="5896"/>
    <cellStyle name="Percent 164 2" xfId="42325"/>
    <cellStyle name="Percent 165" xfId="5897"/>
    <cellStyle name="Percent 165 2" xfId="42326"/>
    <cellStyle name="Percent 166" xfId="5898"/>
    <cellStyle name="Percent 166 2" xfId="42327"/>
    <cellStyle name="Percent 167" xfId="5899"/>
    <cellStyle name="Percent 167 2" xfId="42328"/>
    <cellStyle name="Percent 168" xfId="5900"/>
    <cellStyle name="Percent 168 2" xfId="42329"/>
    <cellStyle name="Percent 169" xfId="5901"/>
    <cellStyle name="Percent 169 2" xfId="42330"/>
    <cellStyle name="Percent 17" xfId="59"/>
    <cellStyle name="Percent 17 2" xfId="1419"/>
    <cellStyle name="Percent 17 3" xfId="1577"/>
    <cellStyle name="Percent 17 3 2" xfId="42331"/>
    <cellStyle name="Percent 17 4" xfId="784"/>
    <cellStyle name="Percent 17 5" xfId="580"/>
    <cellStyle name="Percent 170" xfId="5902"/>
    <cellStyle name="Percent 170 2" xfId="42332"/>
    <cellStyle name="Percent 171" xfId="5903"/>
    <cellStyle name="Percent 171 2" xfId="42333"/>
    <cellStyle name="Percent 172" xfId="5904"/>
    <cellStyle name="Percent 172 2" xfId="42334"/>
    <cellStyle name="Percent 173" xfId="5905"/>
    <cellStyle name="Percent 173 2" xfId="42335"/>
    <cellStyle name="Percent 174" xfId="5906"/>
    <cellStyle name="Percent 174 2" xfId="42336"/>
    <cellStyle name="Percent 175" xfId="5907"/>
    <cellStyle name="Percent 176" xfId="5908"/>
    <cellStyle name="Percent 177" xfId="5909"/>
    <cellStyle name="Percent 177 2" xfId="42742"/>
    <cellStyle name="Percent 177 2 2" xfId="42893"/>
    <cellStyle name="Percent 177 2 3" xfId="43695"/>
    <cellStyle name="Percent 177 2 4" xfId="43571"/>
    <cellStyle name="Percent 177 2 5" xfId="44056"/>
    <cellStyle name="Percent 177 3" xfId="42674"/>
    <cellStyle name="Percent 177 3 2" xfId="42961"/>
    <cellStyle name="Percent 177 4" xfId="42825"/>
    <cellStyle name="Percent 177 5" xfId="42468"/>
    <cellStyle name="Percent 177 6" xfId="43686"/>
    <cellStyle name="Percent 177 7" xfId="43503"/>
    <cellStyle name="Percent 177 8" xfId="43990"/>
    <cellStyle name="Percent 178" xfId="5910"/>
    <cellStyle name="Percent 178 2" xfId="42822"/>
    <cellStyle name="Percent 178 3" xfId="42750"/>
    <cellStyle name="Percent 179" xfId="5911"/>
    <cellStyle name="Percent 18" xfId="589"/>
    <cellStyle name="Percent 18 2" xfId="1420"/>
    <cellStyle name="Percent 18 3" xfId="808"/>
    <cellStyle name="Percent 18 3 2" xfId="2074"/>
    <cellStyle name="Percent 18 3 3" xfId="42337"/>
    <cellStyle name="Percent 18 4" xfId="42338"/>
    <cellStyle name="Percent 180" xfId="5912"/>
    <cellStyle name="Percent 181" xfId="5913"/>
    <cellStyle name="Percent 182" xfId="5914"/>
    <cellStyle name="Percent 183" xfId="5915"/>
    <cellStyle name="Percent 184" xfId="5916"/>
    <cellStyle name="Percent 185" xfId="5917"/>
    <cellStyle name="Percent 186" xfId="5918"/>
    <cellStyle name="Percent 187" xfId="5919"/>
    <cellStyle name="Percent 188" xfId="5920"/>
    <cellStyle name="Percent 189" xfId="5921"/>
    <cellStyle name="Percent 19" xfId="593"/>
    <cellStyle name="Percent 19 2" xfId="1421"/>
    <cellStyle name="Percent 19 3" xfId="758"/>
    <cellStyle name="Percent 19 3 2" xfId="42339"/>
    <cellStyle name="Percent 19 4" xfId="42340"/>
    <cellStyle name="Percent 190" xfId="5922"/>
    <cellStyle name="Percent 190 2" xfId="6212"/>
    <cellStyle name="Percent 190 3" xfId="15030"/>
    <cellStyle name="Percent 191" xfId="5923"/>
    <cellStyle name="Percent 191 2" xfId="6214"/>
    <cellStyle name="Percent 191 3" xfId="15031"/>
    <cellStyle name="Percent 192" xfId="6629"/>
    <cellStyle name="Percent 193" xfId="6636"/>
    <cellStyle name="Percent 194" xfId="6668"/>
    <cellStyle name="Percent 195" xfId="6643"/>
    <cellStyle name="Percent 196" xfId="6707"/>
    <cellStyle name="Percent 197" xfId="6665"/>
    <cellStyle name="Percent 198" xfId="6701"/>
    <cellStyle name="Percent 199" xfId="6693"/>
    <cellStyle name="Percent 2" xfId="68"/>
    <cellStyle name="Percent 2 2" xfId="201"/>
    <cellStyle name="Percent 2 2 2" xfId="1422"/>
    <cellStyle name="Percent 2 2 3" xfId="1557"/>
    <cellStyle name="Percent 2 2 3 2" xfId="2995"/>
    <cellStyle name="Percent 2 2 3 2 2" xfId="42342"/>
    <cellStyle name="Percent 2 2 3 3" xfId="3056"/>
    <cellStyle name="Percent 2 2 3 4" xfId="23843"/>
    <cellStyle name="Percent 2 2 3 5" xfId="2159"/>
    <cellStyle name="Percent 2 2 4" xfId="462"/>
    <cellStyle name="Percent 2 2 4 2" xfId="2108"/>
    <cellStyle name="Percent 2 2 4 3" xfId="42343"/>
    <cellStyle name="Percent 2 2 5" xfId="42344"/>
    <cellStyle name="Percent 2 2 5 10" xfId="43975"/>
    <cellStyle name="Percent 2 2 5 2" xfId="42531"/>
    <cellStyle name="Percent 2 2 5 2 2" xfId="42727"/>
    <cellStyle name="Percent 2 2 5 2 3" xfId="42878"/>
    <cellStyle name="Percent 2 2 5 2 4" xfId="43673"/>
    <cellStyle name="Percent 2 2 5 2 5" xfId="43556"/>
    <cellStyle name="Percent 2 2 5 2 6" xfId="44041"/>
    <cellStyle name="Percent 2 2 5 3" xfId="42596"/>
    <cellStyle name="Percent 2 2 5 3 2" xfId="42946"/>
    <cellStyle name="Percent 2 2 5 4" xfId="42659"/>
    <cellStyle name="Percent 2 2 5 5" xfId="42807"/>
    <cellStyle name="Percent 2 2 5 6" xfId="43738"/>
    <cellStyle name="Percent 2 2 5 7" xfId="43801"/>
    <cellStyle name="Percent 2 2 5 8" xfId="43624"/>
    <cellStyle name="Percent 2 2 5 9" xfId="43488"/>
    <cellStyle name="Percent 2 3" xfId="461"/>
    <cellStyle name="Percent 2 3 2" xfId="990"/>
    <cellStyle name="Percent 2 3 2 2" xfId="1423"/>
    <cellStyle name="Percent 2 3 2 3" xfId="2259"/>
    <cellStyle name="Percent 2 3 2 3 2" xfId="2820"/>
    <cellStyle name="Percent 2 3 2 3 3" xfId="23882"/>
    <cellStyle name="Percent 2 3 2 4" xfId="1992"/>
    <cellStyle name="Percent 2 3 3" xfId="1528"/>
    <cellStyle name="Percent 2 3 3 2" xfId="2985"/>
    <cellStyle name="Percent 2 3 3 3" xfId="2309"/>
    <cellStyle name="Percent 2 3 4" xfId="746"/>
    <cellStyle name="Percent 2 3 4 2" xfId="2796"/>
    <cellStyle name="Percent 2 3 5" xfId="2160"/>
    <cellStyle name="Percent 2 3 6" xfId="2089"/>
    <cellStyle name="Percent 2 3 7" xfId="5924"/>
    <cellStyle name="Percent 2 3 8" xfId="43071"/>
    <cellStyle name="Percent 2 4" xfId="559"/>
    <cellStyle name="Percent 2 4 2" xfId="745"/>
    <cellStyle name="Percent 2 4 3" xfId="42345"/>
    <cellStyle name="Percent 2 5" xfId="1314"/>
    <cellStyle name="Percent 2 5 2" xfId="2425"/>
    <cellStyle name="Percent 2 5 2 2" xfId="6092"/>
    <cellStyle name="Percent 2 5 3" xfId="2205"/>
    <cellStyle name="Percent 2 5 3 2" xfId="42346"/>
    <cellStyle name="Percent 2 5 4" xfId="6091"/>
    <cellStyle name="Percent 2 6" xfId="286"/>
    <cellStyle name="Percent 2 6 2" xfId="2773"/>
    <cellStyle name="Percent 2 6 2 2" xfId="6094"/>
    <cellStyle name="Percent 2 6 2 3" xfId="42347"/>
    <cellStyle name="Percent 2 6 3" xfId="6093"/>
    <cellStyle name="Percent 2 6 3 2" xfId="23747"/>
    <cellStyle name="Percent 2 6 3 3" xfId="24622"/>
    <cellStyle name="Percent 2 6 4" xfId="1812"/>
    <cellStyle name="Percent 2 7" xfId="6095"/>
    <cellStyle name="Percent 2 7 2" xfId="12472"/>
    <cellStyle name="Percent 2 8" xfId="24399"/>
    <cellStyle name="Percent 2 9" xfId="42341"/>
    <cellStyle name="Percent 20" xfId="597"/>
    <cellStyle name="Percent 20 2" xfId="1424"/>
    <cellStyle name="Percent 20 3" xfId="800"/>
    <cellStyle name="Percent 20 3 2" xfId="42348"/>
    <cellStyle name="Percent 20 4" xfId="42349"/>
    <cellStyle name="Percent 200" xfId="6702"/>
    <cellStyle name="Percent 201" xfId="6738"/>
    <cellStyle name="Percent 202" xfId="6656"/>
    <cellStyle name="Percent 203" xfId="6709"/>
    <cellStyle name="Percent 204" xfId="6700"/>
    <cellStyle name="Percent 205" xfId="6646"/>
    <cellStyle name="Percent 206" xfId="6645"/>
    <cellStyle name="Percent 207" xfId="6710"/>
    <cellStyle name="Percent 208" xfId="6638"/>
    <cellStyle name="Percent 209" xfId="6664"/>
    <cellStyle name="Percent 21" xfId="598"/>
    <cellStyle name="Percent 21 2" xfId="1425"/>
    <cellStyle name="Percent 21 3" xfId="820"/>
    <cellStyle name="Percent 21 3 2" xfId="42350"/>
    <cellStyle name="Percent 21 4" xfId="42351"/>
    <cellStyle name="Percent 210" xfId="6691"/>
    <cellStyle name="Percent 211" xfId="6704"/>
    <cellStyle name="Percent 212" xfId="6762"/>
    <cellStyle name="Percent 213" xfId="6744"/>
    <cellStyle name="Percent 214" xfId="6096"/>
    <cellStyle name="Percent 215" xfId="6107"/>
    <cellStyle name="Percent 216" xfId="6814"/>
    <cellStyle name="Percent 217" xfId="6867"/>
    <cellStyle name="Percent 218" xfId="6902"/>
    <cellStyle name="Percent 219" xfId="9449"/>
    <cellStyle name="Percent 22" xfId="600"/>
    <cellStyle name="Percent 22 2" xfId="1426"/>
    <cellStyle name="Percent 22 3" xfId="796"/>
    <cellStyle name="Percent 22 3 2" xfId="42352"/>
    <cellStyle name="Percent 22 4" xfId="42353"/>
    <cellStyle name="Percent 220" xfId="9556"/>
    <cellStyle name="Percent 221" xfId="9562"/>
    <cellStyle name="Percent 222" xfId="9463"/>
    <cellStyle name="Percent 223" xfId="6904"/>
    <cellStyle name="Percent 224" xfId="9561"/>
    <cellStyle name="Percent 225" xfId="10059"/>
    <cellStyle name="Percent 226" xfId="10070"/>
    <cellStyle name="Percent 227" xfId="10074"/>
    <cellStyle name="Percent 228" xfId="10119"/>
    <cellStyle name="Percent 229" xfId="41216"/>
    <cellStyle name="Percent 23" xfId="599"/>
    <cellStyle name="Percent 23 2" xfId="1427"/>
    <cellStyle name="Percent 23 3" xfId="785"/>
    <cellStyle name="Percent 23 3 2" xfId="42354"/>
    <cellStyle name="Percent 23 4" xfId="42355"/>
    <cellStyle name="Percent 230" xfId="42463"/>
    <cellStyle name="Percent 231" xfId="43260"/>
    <cellStyle name="Percent 232" xfId="43265"/>
    <cellStyle name="Percent 233" xfId="43431"/>
    <cellStyle name="Percent 234" xfId="43267"/>
    <cellStyle name="Percent 235" xfId="43918"/>
    <cellStyle name="Percent 236" xfId="43823"/>
    <cellStyle name="Percent 237" xfId="43820"/>
    <cellStyle name="Percent 238" xfId="44139"/>
    <cellStyle name="Percent 239" xfId="44140"/>
    <cellStyle name="Percent 24" xfId="606"/>
    <cellStyle name="Percent 24 2" xfId="1428"/>
    <cellStyle name="Percent 24 3" xfId="798"/>
    <cellStyle name="Percent 24 3 2" xfId="42356"/>
    <cellStyle name="Percent 24 4" xfId="42357"/>
    <cellStyle name="Percent 240" xfId="44136"/>
    <cellStyle name="Percent 241" xfId="62"/>
    <cellStyle name="Percent 25" xfId="609"/>
    <cellStyle name="Percent 25 2" xfId="1429"/>
    <cellStyle name="Percent 25 3" xfId="841"/>
    <cellStyle name="Percent 25 3 2" xfId="42358"/>
    <cellStyle name="Percent 25 4" xfId="42359"/>
    <cellStyle name="Percent 26" xfId="613"/>
    <cellStyle name="Percent 26 2" xfId="1430"/>
    <cellStyle name="Percent 26 3" xfId="42360"/>
    <cellStyle name="Percent 26 4" xfId="42361"/>
    <cellStyle name="Percent 27" xfId="612"/>
    <cellStyle name="Percent 27 2" xfId="1431"/>
    <cellStyle name="Percent 27 3" xfId="42362"/>
    <cellStyle name="Percent 27 4" xfId="42363"/>
    <cellStyle name="Percent 28" xfId="821"/>
    <cellStyle name="Percent 28 2" xfId="1432"/>
    <cellStyle name="Percent 28 3" xfId="42364"/>
    <cellStyle name="Percent 28 4" xfId="42365"/>
    <cellStyle name="Percent 29" xfId="826"/>
    <cellStyle name="Percent 29 2" xfId="1433"/>
    <cellStyle name="Percent 29 3" xfId="42366"/>
    <cellStyle name="Percent 29 4" xfId="42367"/>
    <cellStyle name="Percent 3" xfId="206"/>
    <cellStyle name="Percent 3 2" xfId="463"/>
    <cellStyle name="Percent 3 2 2" xfId="1434"/>
    <cellStyle name="Percent 3 2 3" xfId="1558"/>
    <cellStyle name="Percent 3 2 3 2" xfId="2996"/>
    <cellStyle name="Percent 3 2 3 2 2" xfId="42369"/>
    <cellStyle name="Percent 3 2 3 3" xfId="3060"/>
    <cellStyle name="Percent 3 2 3 4" xfId="23844"/>
    <cellStyle name="Percent 3 2 3 5" xfId="2161"/>
    <cellStyle name="Percent 3 2 4" xfId="2109"/>
    <cellStyle name="Percent 3 2 4 2" xfId="42370"/>
    <cellStyle name="Percent 3 3" xfId="560"/>
    <cellStyle name="Percent 3 3 2" xfId="748"/>
    <cellStyle name="Percent 3 3 2 2" xfId="2184"/>
    <cellStyle name="Percent 3 3 3" xfId="2310"/>
    <cellStyle name="Percent 3 3 4" xfId="2207"/>
    <cellStyle name="Percent 3 3 4 2" xfId="23868"/>
    <cellStyle name="Percent 3 3 5" xfId="2162"/>
    <cellStyle name="Percent 3 3 6" xfId="2081"/>
    <cellStyle name="Percent 3 3 6 2" xfId="42371"/>
    <cellStyle name="Percent 3 4" xfId="747"/>
    <cellStyle name="Percent 3 4 2" xfId="42372"/>
    <cellStyle name="Percent 3 5" xfId="1316"/>
    <cellStyle name="Percent 3 5 2" xfId="2427"/>
    <cellStyle name="Percent 3 5 3" xfId="2206"/>
    <cellStyle name="Percent 3 5 3 2" xfId="42373"/>
    <cellStyle name="Percent 3 6" xfId="2774"/>
    <cellStyle name="Percent 3 6 2" xfId="3050"/>
    <cellStyle name="Percent 3 6 3" xfId="42374"/>
    <cellStyle name="Percent 3 7" xfId="24326"/>
    <cellStyle name="Percent 3 8" xfId="42751"/>
    <cellStyle name="Percent 3 8 2" xfId="43204"/>
    <cellStyle name="Percent 3 9" xfId="42368"/>
    <cellStyle name="Percent 30" xfId="837"/>
    <cellStyle name="Percent 30 2" xfId="1435"/>
    <cellStyle name="Percent 30 3" xfId="42375"/>
    <cellStyle name="Percent 30 4" xfId="42376"/>
    <cellStyle name="Percent 31" xfId="791"/>
    <cellStyle name="Percent 31 2" xfId="1436"/>
    <cellStyle name="Percent 31 3" xfId="42377"/>
    <cellStyle name="Percent 31 4" xfId="42378"/>
    <cellStyle name="Percent 32" xfId="844"/>
    <cellStyle name="Percent 32 2" xfId="1437"/>
    <cellStyle name="Percent 32 3" xfId="42379"/>
    <cellStyle name="Percent 32 4" xfId="42380"/>
    <cellStyle name="Percent 33" xfId="830"/>
    <cellStyle name="Percent 33 2" xfId="1438"/>
    <cellStyle name="Percent 33 3" xfId="42381"/>
    <cellStyle name="Percent 33 4" xfId="42382"/>
    <cellStyle name="Percent 34" xfId="843"/>
    <cellStyle name="Percent 34 2" xfId="1439"/>
    <cellStyle name="Percent 34 3" xfId="42383"/>
    <cellStyle name="Percent 34 4" xfId="42384"/>
    <cellStyle name="Percent 35" xfId="858"/>
    <cellStyle name="Percent 35 2" xfId="1440"/>
    <cellStyle name="Percent 35 3" xfId="42385"/>
    <cellStyle name="Percent 35 4" xfId="42386"/>
    <cellStyle name="Percent 36" xfId="760"/>
    <cellStyle name="Percent 36 2" xfId="1441"/>
    <cellStyle name="Percent 37" xfId="834"/>
    <cellStyle name="Percent 37 2" xfId="1442"/>
    <cellStyle name="Percent 38" xfId="847"/>
    <cellStyle name="Percent 38 2" xfId="1443"/>
    <cellStyle name="Percent 39" xfId="862"/>
    <cellStyle name="Percent 39 2" xfId="1444"/>
    <cellStyle name="Percent 4" xfId="208"/>
    <cellStyle name="Percent 4 2" xfId="210"/>
    <cellStyle name="Percent 4 2 2" xfId="1446"/>
    <cellStyle name="Percent 4 2 3" xfId="1559"/>
    <cellStyle name="Percent 4 2 3 2" xfId="2997"/>
    <cellStyle name="Percent 4 2 3 2 2" xfId="42388"/>
    <cellStyle name="Percent 4 2 3 3" xfId="23845"/>
    <cellStyle name="Percent 4 2 3 4" xfId="2163"/>
    <cellStyle name="Percent 4 2 4" xfId="464"/>
    <cellStyle name="Percent 4 2 4 2" xfId="2110"/>
    <cellStyle name="Percent 4 2 4 3" xfId="42389"/>
    <cellStyle name="Percent 4 3" xfId="750"/>
    <cellStyle name="Percent 4 3 2" xfId="2261"/>
    <cellStyle name="Percent 4 3 2 2" xfId="2388"/>
    <cellStyle name="Percent 4 3 3" xfId="2311"/>
    <cellStyle name="Percent 4 3 4" xfId="2209"/>
    <cellStyle name="Percent 4 3 4 2" xfId="23869"/>
    <cellStyle name="Percent 4 3 5" xfId="2164"/>
    <cellStyle name="Percent 4 3 6" xfId="2082"/>
    <cellStyle name="Percent 4 3 6 2" xfId="42390"/>
    <cellStyle name="Percent 4 4" xfId="749"/>
    <cellStyle name="Percent 4 4 2" xfId="42391"/>
    <cellStyle name="Percent 4 5" xfId="1445"/>
    <cellStyle name="Percent 4 5 2" xfId="2438"/>
    <cellStyle name="Percent 4 5 3" xfId="2208"/>
    <cellStyle name="Percent 4 5 3 2" xfId="42392"/>
    <cellStyle name="Percent 4 6" xfId="2775"/>
    <cellStyle name="Percent 4 6 2" xfId="3053"/>
    <cellStyle name="Percent 4 6 3" xfId="42393"/>
    <cellStyle name="Percent 4 7" xfId="42752"/>
    <cellStyle name="Percent 4 7 2" xfId="43207"/>
    <cellStyle name="Percent 4 8" xfId="42387"/>
    <cellStyle name="Percent 40" xfId="855"/>
    <cellStyle name="Percent 40 2" xfId="1447"/>
    <cellStyle name="Percent 41" xfId="865"/>
    <cellStyle name="Percent 41 2" xfId="1448"/>
    <cellStyle name="Percent 42" xfId="764"/>
    <cellStyle name="Percent 43" xfId="868"/>
    <cellStyle name="Percent 44" xfId="766"/>
    <cellStyle name="Percent 45" xfId="770"/>
    <cellStyle name="Percent 46" xfId="853"/>
    <cellStyle name="Percent 47" xfId="772"/>
    <cellStyle name="Percent 48" xfId="852"/>
    <cellStyle name="Percent 49" xfId="773"/>
    <cellStyle name="Percent 5" xfId="465"/>
    <cellStyle name="Percent 5 2" xfId="466"/>
    <cellStyle name="Percent 5 2 2" xfId="1450"/>
    <cellStyle name="Percent 5 2 3" xfId="1560"/>
    <cellStyle name="Percent 5 2 3 2" xfId="2998"/>
    <cellStyle name="Percent 5 2 3 2 2" xfId="42395"/>
    <cellStyle name="Percent 5 2 3 3" xfId="23846"/>
    <cellStyle name="Percent 5 2 3 4" xfId="2165"/>
    <cellStyle name="Percent 5 2 4" xfId="2111"/>
    <cellStyle name="Percent 5 2 4 2" xfId="42396"/>
    <cellStyle name="Percent 5 3" xfId="752"/>
    <cellStyle name="Percent 5 3 2" xfId="2262"/>
    <cellStyle name="Percent 5 3 2 2" xfId="2347"/>
    <cellStyle name="Percent 5 3 3" xfId="2312"/>
    <cellStyle name="Percent 5 3 4" xfId="2211"/>
    <cellStyle name="Percent 5 3 4 2" xfId="23870"/>
    <cellStyle name="Percent 5 3 5" xfId="2166"/>
    <cellStyle name="Percent 5 3 6" xfId="2083"/>
    <cellStyle name="Percent 5 3 6 2" xfId="42397"/>
    <cellStyle name="Percent 5 4" xfId="751"/>
    <cellStyle name="Percent 5 4 2" xfId="42398"/>
    <cellStyle name="Percent 5 5" xfId="1449"/>
    <cellStyle name="Percent 5 5 2" xfId="2439"/>
    <cellStyle name="Percent 5 5 3" xfId="2210"/>
    <cellStyle name="Percent 5 5 3 2" xfId="42399"/>
    <cellStyle name="Percent 5 6" xfId="2776"/>
    <cellStyle name="Percent 5 6 2" xfId="42400"/>
    <cellStyle name="Percent 5 7" xfId="43209"/>
    <cellStyle name="Percent 5 8" xfId="42394"/>
    <cellStyle name="Percent 50" xfId="824"/>
    <cellStyle name="Percent 51" xfId="775"/>
    <cellStyle name="Percent 52" xfId="823"/>
    <cellStyle name="Percent 53" xfId="840"/>
    <cellStyle name="Percent 54" xfId="776"/>
    <cellStyle name="Percent 55" xfId="735"/>
    <cellStyle name="Percent 55 2" xfId="2304"/>
    <cellStyle name="Percent 56" xfId="660"/>
    <cellStyle name="Percent 56 2" xfId="2223"/>
    <cellStyle name="Percent 56 2 2" xfId="2787"/>
    <cellStyle name="Percent 56 2 3" xfId="2748"/>
    <cellStyle name="Percent 56 2 3 2" xfId="42401"/>
    <cellStyle name="Percent 56 3" xfId="3070"/>
    <cellStyle name="Percent 56 3 2" xfId="42402"/>
    <cellStyle name="Percent 56 4" xfId="3127"/>
    <cellStyle name="Percent 56 4 2" xfId="6800"/>
    <cellStyle name="Percent 56 4 2 2" xfId="20941"/>
    <cellStyle name="Percent 56 4 2 3" xfId="24265"/>
    <cellStyle name="Percent 56 4 2 4" xfId="15467"/>
    <cellStyle name="Percent 56 4 3" xfId="9530"/>
    <cellStyle name="Percent 56 4 3 2" xfId="23576"/>
    <cellStyle name="Percent 56 4 3 3" xfId="18130"/>
    <cellStyle name="Percent 56 4 4" xfId="9832"/>
    <cellStyle name="Percent 56 4 4 2" xfId="12936"/>
    <cellStyle name="Percent 56 4 5" xfId="10045"/>
    <cellStyle name="Percent 56 4 5 2" xfId="18484"/>
    <cellStyle name="Percent 56 4 6" xfId="24061"/>
    <cellStyle name="Percent 56 4 7" xfId="12730"/>
    <cellStyle name="Percent 56 5" xfId="5925"/>
    <cellStyle name="Percent 56 5 2" xfId="9320"/>
    <cellStyle name="Percent 56 5 2 2" xfId="23394"/>
    <cellStyle name="Percent 56 5 2 3" xfId="17946"/>
    <cellStyle name="Percent 56 5 3" xfId="15032"/>
    <cellStyle name="Percent 56 5 4" xfId="20537"/>
    <cellStyle name="Percent 56 5 5" xfId="23748"/>
    <cellStyle name="Percent 56 5 6" xfId="12542"/>
    <cellStyle name="Percent 56 6" xfId="9625"/>
    <cellStyle name="Percent 56 6 2" xfId="24083"/>
    <cellStyle name="Percent 56 6 3" xfId="12750"/>
    <cellStyle name="Percent 56 7" xfId="9860"/>
    <cellStyle name="Percent 56 7 2" xfId="18300"/>
    <cellStyle name="Percent 56 8" xfId="1813"/>
    <cellStyle name="Percent 57" xfId="877"/>
    <cellStyle name="Percent 57 2" xfId="1146"/>
    <cellStyle name="Percent 57 2 2" xfId="5926"/>
    <cellStyle name="Percent 57 2 3" xfId="6163"/>
    <cellStyle name="Percent 57 3" xfId="1492"/>
    <cellStyle name="Percent 57 3 2" xfId="5927"/>
    <cellStyle name="Percent 57 3 3" xfId="6183"/>
    <cellStyle name="Percent 57 3 4" xfId="42403"/>
    <cellStyle name="Percent 57 4" xfId="3128"/>
    <cellStyle name="Percent 57 4 2" xfId="5928"/>
    <cellStyle name="Percent 57 4 2 2" xfId="9531"/>
    <cellStyle name="Percent 57 4 2 2 2" xfId="23577"/>
    <cellStyle name="Percent 57 4 2 2 3" xfId="18131"/>
    <cellStyle name="Percent 57 4 2 3" xfId="15033"/>
    <cellStyle name="Percent 57 4 2 4" xfId="20538"/>
    <cellStyle name="Percent 57 4 2 5" xfId="24266"/>
    <cellStyle name="Percent 57 4 2 6" xfId="12731"/>
    <cellStyle name="Percent 57 4 3" xfId="6726"/>
    <cellStyle name="Percent 57 4 3 2" xfId="42404"/>
    <cellStyle name="Percent 57 4 4" xfId="9833"/>
    <cellStyle name="Percent 57 4 4 2" xfId="12937"/>
    <cellStyle name="Percent 57 4 5" xfId="10046"/>
    <cellStyle name="Percent 57 4 5 2" xfId="18485"/>
    <cellStyle name="Percent 57 4 6" xfId="24062"/>
    <cellStyle name="Percent 57 5" xfId="5929"/>
    <cellStyle name="Percent 57 5 2" xfId="9324"/>
    <cellStyle name="Percent 57 5 2 2" xfId="23398"/>
    <cellStyle name="Percent 57 5 2 3" xfId="17950"/>
    <cellStyle name="Percent 57 5 3" xfId="15034"/>
    <cellStyle name="Percent 57 5 4" xfId="20539"/>
    <cellStyle name="Percent 57 5 5" xfId="23753"/>
    <cellStyle name="Percent 57 5 6" xfId="12546"/>
    <cellStyle name="Percent 57 6" xfId="9629"/>
    <cellStyle name="Percent 57 6 2" xfId="24087"/>
    <cellStyle name="Percent 57 6 3" xfId="12754"/>
    <cellStyle name="Percent 57 7" xfId="9864"/>
    <cellStyle name="Percent 57 7 2" xfId="18304"/>
    <cellStyle name="Percent 57 8" xfId="1818"/>
    <cellStyle name="Percent 58" xfId="1096"/>
    <cellStyle name="Percent 58 2" xfId="1147"/>
    <cellStyle name="Percent 58 2 2" xfId="2878"/>
    <cellStyle name="Percent 58 2 2 2" xfId="42405"/>
    <cellStyle name="Percent 58 2 3" xfId="5930"/>
    <cellStyle name="Percent 58 2 4" xfId="6165"/>
    <cellStyle name="Percent 58 2 5" xfId="2216"/>
    <cellStyle name="Percent 58 3" xfId="2862"/>
    <cellStyle name="Percent 58 3 2" xfId="5931"/>
    <cellStyle name="Percent 58 3 3" xfId="6177"/>
    <cellStyle name="Percent 58 3 4" xfId="42406"/>
    <cellStyle name="Percent 58 4" xfId="3129"/>
    <cellStyle name="Percent 58 4 2" xfId="5932"/>
    <cellStyle name="Percent 58 4 2 2" xfId="9532"/>
    <cellStyle name="Percent 58 4 2 2 2" xfId="23578"/>
    <cellStyle name="Percent 58 4 2 2 3" xfId="18132"/>
    <cellStyle name="Percent 58 4 2 3" xfId="15035"/>
    <cellStyle name="Percent 58 4 2 4" xfId="20540"/>
    <cellStyle name="Percent 58 4 2 5" xfId="24267"/>
    <cellStyle name="Percent 58 4 2 6" xfId="12732"/>
    <cellStyle name="Percent 58 4 3" xfId="6730"/>
    <cellStyle name="Percent 58 4 3 2" xfId="42407"/>
    <cellStyle name="Percent 58 4 4" xfId="9834"/>
    <cellStyle name="Percent 58 4 4 2" xfId="12938"/>
    <cellStyle name="Percent 58 4 5" xfId="10047"/>
    <cellStyle name="Percent 58 4 5 2" xfId="18486"/>
    <cellStyle name="Percent 58 4 6" xfId="24063"/>
    <cellStyle name="Percent 58 5" xfId="5933"/>
    <cellStyle name="Percent 58 5 2" xfId="9327"/>
    <cellStyle name="Percent 58 5 2 2" xfId="23401"/>
    <cellStyle name="Percent 58 5 2 3" xfId="17953"/>
    <cellStyle name="Percent 58 5 3" xfId="15036"/>
    <cellStyle name="Percent 58 5 4" xfId="20541"/>
    <cellStyle name="Percent 58 5 5" xfId="23757"/>
    <cellStyle name="Percent 58 5 6" xfId="12549"/>
    <cellStyle name="Percent 58 6" xfId="9632"/>
    <cellStyle name="Percent 58 6 2" xfId="24090"/>
    <cellStyle name="Percent 58 6 3" xfId="12757"/>
    <cellStyle name="Percent 58 7" xfId="9867"/>
    <cellStyle name="Percent 58 7 2" xfId="18307"/>
    <cellStyle name="Percent 58 8" xfId="1822"/>
    <cellStyle name="Percent 59" xfId="1153"/>
    <cellStyle name="Percent 59 2" xfId="1503"/>
    <cellStyle name="Percent 59 2 2" xfId="2966"/>
    <cellStyle name="Percent 59 2 2 2" xfId="42408"/>
    <cellStyle name="Percent 59 2 3" xfId="5934"/>
    <cellStyle name="Percent 59 2 4" xfId="6168"/>
    <cellStyle name="Percent 59 2 5" xfId="2265"/>
    <cellStyle name="Percent 59 3" xfId="2881"/>
    <cellStyle name="Percent 59 3 2" xfId="5935"/>
    <cellStyle name="Percent 59 3 3" xfId="6181"/>
    <cellStyle name="Percent 59 4" xfId="3130"/>
    <cellStyle name="Percent 59 4 2" xfId="5936"/>
    <cellStyle name="Percent 59 4 2 2" xfId="9533"/>
    <cellStyle name="Percent 59 4 2 2 2" xfId="23579"/>
    <cellStyle name="Percent 59 4 2 2 3" xfId="18133"/>
    <cellStyle name="Percent 59 4 2 3" xfId="15037"/>
    <cellStyle name="Percent 59 4 2 4" xfId="20542"/>
    <cellStyle name="Percent 59 4 2 5" xfId="24268"/>
    <cellStyle name="Percent 59 4 2 6" xfId="12733"/>
    <cellStyle name="Percent 59 4 3" xfId="6734"/>
    <cellStyle name="Percent 59 4 3 2" xfId="42409"/>
    <cellStyle name="Percent 59 4 4" xfId="9835"/>
    <cellStyle name="Percent 59 4 4 2" xfId="12939"/>
    <cellStyle name="Percent 59 4 5" xfId="10048"/>
    <cellStyle name="Percent 59 4 5 2" xfId="18487"/>
    <cellStyle name="Percent 59 4 6" xfId="24064"/>
    <cellStyle name="Percent 59 5" xfId="5937"/>
    <cellStyle name="Percent 59 5 2" xfId="9330"/>
    <cellStyle name="Percent 59 5 2 2" xfId="23404"/>
    <cellStyle name="Percent 59 5 2 3" xfId="17956"/>
    <cellStyle name="Percent 59 5 3" xfId="15038"/>
    <cellStyle name="Percent 59 5 4" xfId="20543"/>
    <cellStyle name="Percent 59 5 5" xfId="23761"/>
    <cellStyle name="Percent 59 5 6" xfId="12552"/>
    <cellStyle name="Percent 59 6" xfId="9635"/>
    <cellStyle name="Percent 59 6 2" xfId="24093"/>
    <cellStyle name="Percent 59 6 3" xfId="12760"/>
    <cellStyle name="Percent 59 7" xfId="9870"/>
    <cellStyle name="Percent 59 7 2" xfId="18310"/>
    <cellStyle name="Percent 59 8" xfId="1826"/>
    <cellStyle name="Percent 6" xfId="467"/>
    <cellStyle name="Percent 6 2" xfId="561"/>
    <cellStyle name="Percent 6 2 2" xfId="1451"/>
    <cellStyle name="Percent 6 2 2 2" xfId="42410"/>
    <cellStyle name="Percent 6 2 3" xfId="42411"/>
    <cellStyle name="Percent 6 3" xfId="24628"/>
    <cellStyle name="Percent 6 4" xfId="24617"/>
    <cellStyle name="Percent 6 4 2" xfId="42412"/>
    <cellStyle name="Percent 6 5" xfId="43213"/>
    <cellStyle name="Percent 60" xfId="1190"/>
    <cellStyle name="Percent 60 2" xfId="1502"/>
    <cellStyle name="Percent 60 2 2" xfId="2965"/>
    <cellStyle name="Percent 60 2 2 2" xfId="42413"/>
    <cellStyle name="Percent 60 2 3" xfId="5938"/>
    <cellStyle name="Percent 60 2 4" xfId="6169"/>
    <cellStyle name="Percent 60 2 5" xfId="2279"/>
    <cellStyle name="Percent 60 3" xfId="2896"/>
    <cellStyle name="Percent 60 3 2" xfId="5939"/>
    <cellStyle name="Percent 60 3 3" xfId="6184"/>
    <cellStyle name="Percent 60 3 4" xfId="42414"/>
    <cellStyle name="Percent 60 4" xfId="3131"/>
    <cellStyle name="Percent 60 4 2" xfId="5940"/>
    <cellStyle name="Percent 60 4 2 2" xfId="9534"/>
    <cellStyle name="Percent 60 4 2 2 2" xfId="23580"/>
    <cellStyle name="Percent 60 4 2 2 3" xfId="18134"/>
    <cellStyle name="Percent 60 4 2 3" xfId="15039"/>
    <cellStyle name="Percent 60 4 2 4" xfId="20544"/>
    <cellStyle name="Percent 60 4 2 5" xfId="24269"/>
    <cellStyle name="Percent 60 4 2 6" xfId="12734"/>
    <cellStyle name="Percent 60 4 3" xfId="6731"/>
    <cellStyle name="Percent 60 4 3 2" xfId="42415"/>
    <cellStyle name="Percent 60 4 4" xfId="9836"/>
    <cellStyle name="Percent 60 4 4 2" xfId="12940"/>
    <cellStyle name="Percent 60 4 5" xfId="10049"/>
    <cellStyle name="Percent 60 4 5 2" xfId="18488"/>
    <cellStyle name="Percent 60 4 6" xfId="24065"/>
    <cellStyle name="Percent 60 5" xfId="5941"/>
    <cellStyle name="Percent 60 5 2" xfId="9333"/>
    <cellStyle name="Percent 60 5 2 2" xfId="23407"/>
    <cellStyle name="Percent 60 5 2 3" xfId="17959"/>
    <cellStyle name="Percent 60 5 3" xfId="15040"/>
    <cellStyle name="Percent 60 5 4" xfId="20545"/>
    <cellStyle name="Percent 60 5 5" xfId="23765"/>
    <cellStyle name="Percent 60 5 6" xfId="12555"/>
    <cellStyle name="Percent 60 6" xfId="9638"/>
    <cellStyle name="Percent 60 6 2" xfId="24096"/>
    <cellStyle name="Percent 60 6 3" xfId="12763"/>
    <cellStyle name="Percent 60 7" xfId="9873"/>
    <cellStyle name="Percent 60 7 2" xfId="18313"/>
    <cellStyle name="Percent 60 8" xfId="1830"/>
    <cellStyle name="Percent 61" xfId="1269"/>
    <cellStyle name="Percent 61 2" xfId="1498"/>
    <cellStyle name="Percent 61 2 2" xfId="2961"/>
    <cellStyle name="Percent 61 2 2 2" xfId="42416"/>
    <cellStyle name="Percent 61 2 3" xfId="5942"/>
    <cellStyle name="Percent 61 2 4" xfId="2235"/>
    <cellStyle name="Percent 61 3" xfId="2915"/>
    <cellStyle name="Percent 61 3 2" xfId="42417"/>
    <cellStyle name="Percent 61 4" xfId="3132"/>
    <cellStyle name="Percent 61 4 2" xfId="6801"/>
    <cellStyle name="Percent 61 4 2 2" xfId="20942"/>
    <cellStyle name="Percent 61 4 2 3" xfId="24270"/>
    <cellStyle name="Percent 61 4 2 4" xfId="15468"/>
    <cellStyle name="Percent 61 4 3" xfId="9535"/>
    <cellStyle name="Percent 61 4 3 2" xfId="23581"/>
    <cellStyle name="Percent 61 4 3 3" xfId="18135"/>
    <cellStyle name="Percent 61 4 4" xfId="9837"/>
    <cellStyle name="Percent 61 4 4 2" xfId="12941"/>
    <cellStyle name="Percent 61 4 5" xfId="10050"/>
    <cellStyle name="Percent 61 4 5 2" xfId="18489"/>
    <cellStyle name="Percent 61 4 6" xfId="24066"/>
    <cellStyle name="Percent 61 4 7" xfId="12735"/>
    <cellStyle name="Percent 61 5" xfId="5943"/>
    <cellStyle name="Percent 61 5 2" xfId="9336"/>
    <cellStyle name="Percent 61 5 2 2" xfId="23410"/>
    <cellStyle name="Percent 61 5 2 3" xfId="17962"/>
    <cellStyle name="Percent 61 5 3" xfId="15041"/>
    <cellStyle name="Percent 61 5 4" xfId="20546"/>
    <cellStyle name="Percent 61 5 5" xfId="23769"/>
    <cellStyle name="Percent 61 5 6" xfId="12558"/>
    <cellStyle name="Percent 61 6" xfId="9641"/>
    <cellStyle name="Percent 61 6 2" xfId="24099"/>
    <cellStyle name="Percent 61 6 3" xfId="12766"/>
    <cellStyle name="Percent 61 7" xfId="9876"/>
    <cellStyle name="Percent 61 7 2" xfId="18316"/>
    <cellStyle name="Percent 61 8" xfId="1834"/>
    <cellStyle name="Percent 62" xfId="1491"/>
    <cellStyle name="Percent 62 2" xfId="2238"/>
    <cellStyle name="Percent 62 2 2" xfId="2955"/>
    <cellStyle name="Percent 62 2 2 2" xfId="42418"/>
    <cellStyle name="Percent 62 2 3" xfId="5944"/>
    <cellStyle name="Percent 62 3" xfId="3133"/>
    <cellStyle name="Percent 62 3 2" xfId="6802"/>
    <cellStyle name="Percent 62 3 2 2" xfId="20943"/>
    <cellStyle name="Percent 62 3 2 3" xfId="24271"/>
    <cellStyle name="Percent 62 3 2 4" xfId="15469"/>
    <cellStyle name="Percent 62 3 3" xfId="9536"/>
    <cellStyle name="Percent 62 3 3 2" xfId="23582"/>
    <cellStyle name="Percent 62 3 3 3" xfId="18136"/>
    <cellStyle name="Percent 62 3 4" xfId="9838"/>
    <cellStyle name="Percent 62 3 4 2" xfId="12942"/>
    <cellStyle name="Percent 62 3 5" xfId="10051"/>
    <cellStyle name="Percent 62 3 5 2" xfId="18490"/>
    <cellStyle name="Percent 62 3 6" xfId="24067"/>
    <cellStyle name="Percent 62 3 7" xfId="12736"/>
    <cellStyle name="Percent 62 4" xfId="5945"/>
    <cellStyle name="Percent 62 4 2" xfId="9339"/>
    <cellStyle name="Percent 62 4 2 2" xfId="23413"/>
    <cellStyle name="Percent 62 4 2 3" xfId="17965"/>
    <cellStyle name="Percent 62 4 3" xfId="15042"/>
    <cellStyle name="Percent 62 4 4" xfId="20547"/>
    <cellStyle name="Percent 62 4 5" xfId="23772"/>
    <cellStyle name="Percent 62 4 6" xfId="12561"/>
    <cellStyle name="Percent 62 5" xfId="9644"/>
    <cellStyle name="Percent 62 5 2" xfId="24102"/>
    <cellStyle name="Percent 62 5 3" xfId="12769"/>
    <cellStyle name="Percent 62 6" xfId="9879"/>
    <cellStyle name="Percent 62 6 2" xfId="18319"/>
    <cellStyle name="Percent 62 7" xfId="1838"/>
    <cellStyle name="Percent 63" xfId="1500"/>
    <cellStyle name="Percent 63 2" xfId="2222"/>
    <cellStyle name="Percent 63 2 2" xfId="2963"/>
    <cellStyle name="Percent 63 2 2 2" xfId="42419"/>
    <cellStyle name="Percent 63 2 3" xfId="5946"/>
    <cellStyle name="Percent 63 3" xfId="3134"/>
    <cellStyle name="Percent 63 3 2" xfId="6803"/>
    <cellStyle name="Percent 63 3 2 2" xfId="20944"/>
    <cellStyle name="Percent 63 3 2 3" xfId="24272"/>
    <cellStyle name="Percent 63 3 2 4" xfId="15470"/>
    <cellStyle name="Percent 63 3 3" xfId="9537"/>
    <cellStyle name="Percent 63 3 3 2" xfId="23583"/>
    <cellStyle name="Percent 63 3 3 3" xfId="18137"/>
    <cellStyle name="Percent 63 3 4" xfId="9839"/>
    <cellStyle name="Percent 63 3 4 2" xfId="12943"/>
    <cellStyle name="Percent 63 3 5" xfId="10052"/>
    <cellStyle name="Percent 63 3 5 2" xfId="18491"/>
    <cellStyle name="Percent 63 3 6" xfId="24068"/>
    <cellStyle name="Percent 63 3 7" xfId="12737"/>
    <cellStyle name="Percent 63 4" xfId="5947"/>
    <cellStyle name="Percent 63 4 2" xfId="9342"/>
    <cellStyle name="Percent 63 4 2 2" xfId="23416"/>
    <cellStyle name="Percent 63 4 2 3" xfId="17968"/>
    <cellStyle name="Percent 63 4 3" xfId="15043"/>
    <cellStyle name="Percent 63 4 4" xfId="20548"/>
    <cellStyle name="Percent 63 4 5" xfId="23776"/>
    <cellStyle name="Percent 63 4 6" xfId="12565"/>
    <cellStyle name="Percent 63 5" xfId="9647"/>
    <cellStyle name="Percent 63 5 2" xfId="24105"/>
    <cellStyle name="Percent 63 5 3" xfId="12772"/>
    <cellStyle name="Percent 63 6" xfId="9882"/>
    <cellStyle name="Percent 63 6 2" xfId="18322"/>
    <cellStyle name="Percent 63 7" xfId="1842"/>
    <cellStyle name="Percent 64" xfId="1499"/>
    <cellStyle name="Percent 64 2" xfId="2269"/>
    <cellStyle name="Percent 64 2 2" xfId="2962"/>
    <cellStyle name="Percent 64 2 2 2" xfId="42420"/>
    <cellStyle name="Percent 64 2 3" xfId="5948"/>
    <cellStyle name="Percent 64 3" xfId="3135"/>
    <cellStyle name="Percent 64 3 2" xfId="6804"/>
    <cellStyle name="Percent 64 3 2 2" xfId="20945"/>
    <cellStyle name="Percent 64 3 2 3" xfId="24273"/>
    <cellStyle name="Percent 64 3 2 4" xfId="15471"/>
    <cellStyle name="Percent 64 3 3" xfId="9538"/>
    <cellStyle name="Percent 64 3 3 2" xfId="23584"/>
    <cellStyle name="Percent 64 3 3 3" xfId="18138"/>
    <cellStyle name="Percent 64 3 4" xfId="9840"/>
    <cellStyle name="Percent 64 3 4 2" xfId="12944"/>
    <cellStyle name="Percent 64 3 5" xfId="10053"/>
    <cellStyle name="Percent 64 3 5 2" xfId="18492"/>
    <cellStyle name="Percent 64 3 6" xfId="24069"/>
    <cellStyle name="Percent 64 3 7" xfId="12738"/>
    <cellStyle name="Percent 64 4" xfId="5949"/>
    <cellStyle name="Percent 64 4 2" xfId="9345"/>
    <cellStyle name="Percent 64 4 2 2" xfId="23419"/>
    <cellStyle name="Percent 64 4 2 3" xfId="17971"/>
    <cellStyle name="Percent 64 4 3" xfId="15044"/>
    <cellStyle name="Percent 64 4 4" xfId="20549"/>
    <cellStyle name="Percent 64 4 5" xfId="23780"/>
    <cellStyle name="Percent 64 4 6" xfId="12568"/>
    <cellStyle name="Percent 64 5" xfId="9650"/>
    <cellStyle name="Percent 64 5 2" xfId="24108"/>
    <cellStyle name="Percent 64 5 3" xfId="12775"/>
    <cellStyle name="Percent 64 6" xfId="9885"/>
    <cellStyle name="Percent 64 6 2" xfId="18325"/>
    <cellStyle name="Percent 64 7" xfId="1846"/>
    <cellStyle name="Percent 65" xfId="1497"/>
    <cellStyle name="Percent 65 2" xfId="2247"/>
    <cellStyle name="Percent 65 2 2" xfId="2960"/>
    <cellStyle name="Percent 65 2 2 2" xfId="42421"/>
    <cellStyle name="Percent 65 2 3" xfId="5950"/>
    <cellStyle name="Percent 65 3" xfId="3136"/>
    <cellStyle name="Percent 65 3 2" xfId="6805"/>
    <cellStyle name="Percent 65 3 2 2" xfId="20946"/>
    <cellStyle name="Percent 65 3 2 3" xfId="24274"/>
    <cellStyle name="Percent 65 3 2 4" xfId="15472"/>
    <cellStyle name="Percent 65 3 3" xfId="9539"/>
    <cellStyle name="Percent 65 3 3 2" xfId="23585"/>
    <cellStyle name="Percent 65 3 3 3" xfId="18139"/>
    <cellStyle name="Percent 65 3 4" xfId="9841"/>
    <cellStyle name="Percent 65 3 4 2" xfId="12945"/>
    <cellStyle name="Percent 65 3 5" xfId="10054"/>
    <cellStyle name="Percent 65 3 5 2" xfId="18493"/>
    <cellStyle name="Percent 65 3 6" xfId="24070"/>
    <cellStyle name="Percent 65 3 7" xfId="12739"/>
    <cellStyle name="Percent 65 4" xfId="5951"/>
    <cellStyle name="Percent 65 4 2" xfId="9348"/>
    <cellStyle name="Percent 65 4 2 2" xfId="23422"/>
    <cellStyle name="Percent 65 4 2 3" xfId="17974"/>
    <cellStyle name="Percent 65 4 3" xfId="15045"/>
    <cellStyle name="Percent 65 4 4" xfId="20550"/>
    <cellStyle name="Percent 65 4 5" xfId="23784"/>
    <cellStyle name="Percent 65 4 6" xfId="12571"/>
    <cellStyle name="Percent 65 5" xfId="9653"/>
    <cellStyle name="Percent 65 5 2" xfId="24111"/>
    <cellStyle name="Percent 65 5 3" xfId="12778"/>
    <cellStyle name="Percent 65 6" xfId="9888"/>
    <cellStyle name="Percent 65 6 2" xfId="18328"/>
    <cellStyle name="Percent 65 7" xfId="1850"/>
    <cellStyle name="Percent 66" xfId="1511"/>
    <cellStyle name="Percent 66 2" xfId="2248"/>
    <cellStyle name="Percent 66 2 2" xfId="2973"/>
    <cellStyle name="Percent 66 2 2 2" xfId="42422"/>
    <cellStyle name="Percent 66 2 3" xfId="5952"/>
    <cellStyle name="Percent 66 3" xfId="3137"/>
    <cellStyle name="Percent 66 3 2" xfId="6806"/>
    <cellStyle name="Percent 66 3 2 2" xfId="20947"/>
    <cellStyle name="Percent 66 3 2 3" xfId="24275"/>
    <cellStyle name="Percent 66 3 2 4" xfId="15473"/>
    <cellStyle name="Percent 66 3 3" xfId="9540"/>
    <cellStyle name="Percent 66 3 3 2" xfId="23586"/>
    <cellStyle name="Percent 66 3 3 3" xfId="18140"/>
    <cellStyle name="Percent 66 3 4" xfId="9842"/>
    <cellStyle name="Percent 66 3 4 2" xfId="12946"/>
    <cellStyle name="Percent 66 3 5" xfId="10055"/>
    <cellStyle name="Percent 66 3 5 2" xfId="18494"/>
    <cellStyle name="Percent 66 3 6" xfId="24071"/>
    <cellStyle name="Percent 66 3 7" xfId="12740"/>
    <cellStyle name="Percent 66 4" xfId="5953"/>
    <cellStyle name="Percent 66 4 2" xfId="9351"/>
    <cellStyle name="Percent 66 4 2 2" xfId="23425"/>
    <cellStyle name="Percent 66 4 2 3" xfId="17977"/>
    <cellStyle name="Percent 66 4 3" xfId="15046"/>
    <cellStyle name="Percent 66 4 4" xfId="20551"/>
    <cellStyle name="Percent 66 4 5" xfId="23788"/>
    <cellStyle name="Percent 66 4 6" xfId="12574"/>
    <cellStyle name="Percent 66 5" xfId="9656"/>
    <cellStyle name="Percent 66 5 2" xfId="24114"/>
    <cellStyle name="Percent 66 5 3" xfId="12781"/>
    <cellStyle name="Percent 66 6" xfId="9891"/>
    <cellStyle name="Percent 66 6 2" xfId="18331"/>
    <cellStyle name="Percent 66 7" xfId="1854"/>
    <cellStyle name="Percent 67" xfId="649"/>
    <cellStyle name="Percent 67 2" xfId="2231"/>
    <cellStyle name="Percent 67 2 2" xfId="2783"/>
    <cellStyle name="Percent 67 2 2 2" xfId="42423"/>
    <cellStyle name="Percent 67 2 3" xfId="5954"/>
    <cellStyle name="Percent 67 3" xfId="3138"/>
    <cellStyle name="Percent 67 3 2" xfId="6807"/>
    <cellStyle name="Percent 67 3 2 2" xfId="20948"/>
    <cellStyle name="Percent 67 3 2 3" xfId="24276"/>
    <cellStyle name="Percent 67 3 2 4" xfId="15474"/>
    <cellStyle name="Percent 67 3 3" xfId="9541"/>
    <cellStyle name="Percent 67 3 3 2" xfId="23587"/>
    <cellStyle name="Percent 67 3 3 3" xfId="18141"/>
    <cellStyle name="Percent 67 3 4" xfId="9843"/>
    <cellStyle name="Percent 67 3 4 2" xfId="12947"/>
    <cellStyle name="Percent 67 3 5" xfId="10056"/>
    <cellStyle name="Percent 67 3 5 2" xfId="18495"/>
    <cellStyle name="Percent 67 3 6" xfId="24072"/>
    <cellStyle name="Percent 67 3 7" xfId="12741"/>
    <cellStyle name="Percent 67 4" xfId="5955"/>
    <cellStyle name="Percent 67 4 2" xfId="9354"/>
    <cellStyle name="Percent 67 4 2 2" xfId="23428"/>
    <cellStyle name="Percent 67 4 2 3" xfId="17980"/>
    <cellStyle name="Percent 67 4 3" xfId="15047"/>
    <cellStyle name="Percent 67 4 4" xfId="20552"/>
    <cellStyle name="Percent 67 4 5" xfId="23792"/>
    <cellStyle name="Percent 67 4 6" xfId="12577"/>
    <cellStyle name="Percent 67 5" xfId="9659"/>
    <cellStyle name="Percent 67 5 2" xfId="24117"/>
    <cellStyle name="Percent 67 5 3" xfId="12784"/>
    <cellStyle name="Percent 67 6" xfId="9894"/>
    <cellStyle name="Percent 67 6 2" xfId="18334"/>
    <cellStyle name="Percent 67 7" xfId="1858"/>
    <cellStyle name="Percent 68" xfId="214"/>
    <cellStyle name="Percent 68 2" xfId="2283"/>
    <cellStyle name="Percent 68 2 2" xfId="2797"/>
    <cellStyle name="Percent 68 2 2 2" xfId="42424"/>
    <cellStyle name="Percent 68 2 3" xfId="5956"/>
    <cellStyle name="Percent 68 3" xfId="3139"/>
    <cellStyle name="Percent 68 3 2" xfId="6808"/>
    <cellStyle name="Percent 68 3 2 2" xfId="20949"/>
    <cellStyle name="Percent 68 3 2 3" xfId="24277"/>
    <cellStyle name="Percent 68 3 2 4" xfId="15475"/>
    <cellStyle name="Percent 68 3 3" xfId="9542"/>
    <cellStyle name="Percent 68 3 3 2" xfId="23588"/>
    <cellStyle name="Percent 68 3 3 3" xfId="18142"/>
    <cellStyle name="Percent 68 3 4" xfId="9844"/>
    <cellStyle name="Percent 68 3 4 2" xfId="12948"/>
    <cellStyle name="Percent 68 3 5" xfId="10057"/>
    <cellStyle name="Percent 68 3 5 2" xfId="18496"/>
    <cellStyle name="Percent 68 3 6" xfId="24073"/>
    <cellStyle name="Percent 68 3 7" xfId="12742"/>
    <cellStyle name="Percent 68 4" xfId="5957"/>
    <cellStyle name="Percent 68 4 2" xfId="9357"/>
    <cellStyle name="Percent 68 4 2 2" xfId="23431"/>
    <cellStyle name="Percent 68 4 2 3" xfId="17983"/>
    <cellStyle name="Percent 68 4 3" xfId="15048"/>
    <cellStyle name="Percent 68 4 4" xfId="20553"/>
    <cellStyle name="Percent 68 4 5" xfId="23796"/>
    <cellStyle name="Percent 68 4 6" xfId="12580"/>
    <cellStyle name="Percent 68 5" xfId="9662"/>
    <cellStyle name="Percent 68 5 2" xfId="24120"/>
    <cellStyle name="Percent 68 5 3" xfId="12787"/>
    <cellStyle name="Percent 68 6" xfId="9897"/>
    <cellStyle name="Percent 68 6 2" xfId="18337"/>
    <cellStyle name="Percent 68 7" xfId="1862"/>
    <cellStyle name="Percent 69" xfId="1645"/>
    <cellStyle name="Percent 69 2" xfId="2289"/>
    <cellStyle name="Percent 69 2 2" xfId="5958"/>
    <cellStyle name="Percent 69 2 3" xfId="6733"/>
    <cellStyle name="Percent 69 3" xfId="3140"/>
    <cellStyle name="Percent 69 3 2" xfId="6809"/>
    <cellStyle name="Percent 69 3 2 2" xfId="20950"/>
    <cellStyle name="Percent 69 3 2 3" xfId="24278"/>
    <cellStyle name="Percent 69 3 2 4" xfId="15476"/>
    <cellStyle name="Percent 69 3 3" xfId="9543"/>
    <cellStyle name="Percent 69 3 3 2" xfId="23589"/>
    <cellStyle name="Percent 69 3 3 3" xfId="18143"/>
    <cellStyle name="Percent 69 3 4" xfId="9845"/>
    <cellStyle name="Percent 69 3 4 2" xfId="12949"/>
    <cellStyle name="Percent 69 3 5" xfId="10058"/>
    <cellStyle name="Percent 69 3 5 2" xfId="18497"/>
    <cellStyle name="Percent 69 3 6" xfId="24074"/>
    <cellStyle name="Percent 69 3 7" xfId="12743"/>
    <cellStyle name="Percent 69 4" xfId="5959"/>
    <cellStyle name="Percent 69 4 2" xfId="9359"/>
    <cellStyle name="Percent 69 4 2 2" xfId="23433"/>
    <cellStyle name="Percent 69 4 2 3" xfId="17985"/>
    <cellStyle name="Percent 69 4 3" xfId="15049"/>
    <cellStyle name="Percent 69 4 4" xfId="20554"/>
    <cellStyle name="Percent 69 4 5" xfId="23799"/>
    <cellStyle name="Percent 69 4 6" xfId="12582"/>
    <cellStyle name="Percent 69 4 7" xfId="24413"/>
    <cellStyle name="Percent 69 4 8" xfId="42425"/>
    <cellStyle name="Percent 69 5" xfId="9664"/>
    <cellStyle name="Percent 69 5 2" xfId="24122"/>
    <cellStyle name="Percent 69 5 3" xfId="12789"/>
    <cellStyle name="Percent 69 6" xfId="9899"/>
    <cellStyle name="Percent 69 6 2" xfId="18339"/>
    <cellStyle name="Percent 69 7" xfId="1865"/>
    <cellStyle name="Percent 7" xfId="468"/>
    <cellStyle name="Percent 7 2" xfId="562"/>
    <cellStyle name="Percent 7 2 2" xfId="1452"/>
    <cellStyle name="Percent 7 2 2 2" xfId="42426"/>
    <cellStyle name="Percent 7 2 3" xfId="42427"/>
    <cellStyle name="Percent 7 3" xfId="24570"/>
    <cellStyle name="Percent 7 3 2" xfId="42428"/>
    <cellStyle name="Percent 7 4" xfId="43201"/>
    <cellStyle name="Percent 70" xfId="1643"/>
    <cellStyle name="Percent 70 2" xfId="2264"/>
    <cellStyle name="Percent 70 2 2" xfId="5960"/>
    <cellStyle name="Percent 70 2 2 10" xfId="43489"/>
    <cellStyle name="Percent 70 2 2 11" xfId="43976"/>
    <cellStyle name="Percent 70 2 2 2" xfId="24390"/>
    <cellStyle name="Percent 70 2 2 2 10" xfId="43977"/>
    <cellStyle name="Percent 70 2 2 2 2" xfId="42533"/>
    <cellStyle name="Percent 70 2 2 2 2 2" xfId="42729"/>
    <cellStyle name="Percent 70 2 2 2 2 3" xfId="42880"/>
    <cellStyle name="Percent 70 2 2 2 2 4" xfId="43675"/>
    <cellStyle name="Percent 70 2 2 2 2 5" xfId="43558"/>
    <cellStyle name="Percent 70 2 2 2 2 6" xfId="44043"/>
    <cellStyle name="Percent 70 2 2 2 3" xfId="42598"/>
    <cellStyle name="Percent 70 2 2 2 3 2" xfId="42948"/>
    <cellStyle name="Percent 70 2 2 2 4" xfId="42661"/>
    <cellStyle name="Percent 70 2 2 2 5" xfId="42809"/>
    <cellStyle name="Percent 70 2 2 2 6" xfId="43740"/>
    <cellStyle name="Percent 70 2 2 2 7" xfId="43803"/>
    <cellStyle name="Percent 70 2 2 2 8" xfId="43626"/>
    <cellStyle name="Percent 70 2 2 2 9" xfId="43490"/>
    <cellStyle name="Percent 70 2 2 3" xfId="42532"/>
    <cellStyle name="Percent 70 2 2 3 2" xfId="42728"/>
    <cellStyle name="Percent 70 2 2 3 3" xfId="42879"/>
    <cellStyle name="Percent 70 2 2 3 4" xfId="43674"/>
    <cellStyle name="Percent 70 2 2 3 5" xfId="43557"/>
    <cellStyle name="Percent 70 2 2 3 6" xfId="44042"/>
    <cellStyle name="Percent 70 2 2 4" xfId="42597"/>
    <cellStyle name="Percent 70 2 2 4 2" xfId="42947"/>
    <cellStyle name="Percent 70 2 2 5" xfId="42660"/>
    <cellStyle name="Percent 70 2 2 6" xfId="42808"/>
    <cellStyle name="Percent 70 2 2 7" xfId="43739"/>
    <cellStyle name="Percent 70 2 2 8" xfId="43802"/>
    <cellStyle name="Percent 70 2 2 9" xfId="43625"/>
    <cellStyle name="Percent 70 2 3" xfId="6732"/>
    <cellStyle name="Percent 70 3" xfId="5961"/>
    <cellStyle name="Percent 70 3 10" xfId="43491"/>
    <cellStyle name="Percent 70 3 11" xfId="43978"/>
    <cellStyle name="Percent 70 3 2" xfId="9362"/>
    <cellStyle name="Percent 70 3 2 10" xfId="43979"/>
    <cellStyle name="Percent 70 3 2 2" xfId="23436"/>
    <cellStyle name="Percent 70 3 2 2 2" xfId="42731"/>
    <cellStyle name="Percent 70 3 2 2 3" xfId="42882"/>
    <cellStyle name="Percent 70 3 2 2 4" xfId="42535"/>
    <cellStyle name="Percent 70 3 2 2 5" xfId="43560"/>
    <cellStyle name="Percent 70 3 2 2 6" xfId="44045"/>
    <cellStyle name="Percent 70 3 2 3" xfId="17988"/>
    <cellStyle name="Percent 70 3 2 3 2" xfId="42950"/>
    <cellStyle name="Percent 70 3 2 3 3" xfId="42600"/>
    <cellStyle name="Percent 70 3 2 4" xfId="42663"/>
    <cellStyle name="Percent 70 3 2 5" xfId="42811"/>
    <cellStyle name="Percent 70 3 2 6" xfId="42429"/>
    <cellStyle name="Percent 70 3 2 7" xfId="43805"/>
    <cellStyle name="Percent 70 3 2 8" xfId="43628"/>
    <cellStyle name="Percent 70 3 2 9" xfId="43492"/>
    <cellStyle name="Percent 70 3 3" xfId="15050"/>
    <cellStyle name="Percent 70 3 3 2" xfId="42730"/>
    <cellStyle name="Percent 70 3 3 3" xfId="42881"/>
    <cellStyle name="Percent 70 3 3 4" xfId="42534"/>
    <cellStyle name="Percent 70 3 3 5" xfId="43559"/>
    <cellStyle name="Percent 70 3 3 6" xfId="44044"/>
    <cellStyle name="Percent 70 3 4" xfId="20555"/>
    <cellStyle name="Percent 70 3 4 2" xfId="42949"/>
    <cellStyle name="Percent 70 3 4 3" xfId="42599"/>
    <cellStyle name="Percent 70 3 5" xfId="23802"/>
    <cellStyle name="Percent 70 3 5 2" xfId="42662"/>
    <cellStyle name="Percent 70 3 6" xfId="12585"/>
    <cellStyle name="Percent 70 3 6 2" xfId="42810"/>
    <cellStyle name="Percent 70 3 7" xfId="24572"/>
    <cellStyle name="Percent 70 3 8" xfId="43804"/>
    <cellStyle name="Percent 70 3 9" xfId="43627"/>
    <cellStyle name="Percent 70 4" xfId="9667"/>
    <cellStyle name="Percent 70 4 10" xfId="43493"/>
    <cellStyle name="Percent 70 4 11" xfId="43980"/>
    <cellStyle name="Percent 70 4 2" xfId="24125"/>
    <cellStyle name="Percent 70 4 2 10" xfId="43981"/>
    <cellStyle name="Percent 70 4 2 2" xfId="42537"/>
    <cellStyle name="Percent 70 4 2 2 2" xfId="42733"/>
    <cellStyle name="Percent 70 4 2 2 3" xfId="42884"/>
    <cellStyle name="Percent 70 4 2 2 4" xfId="43676"/>
    <cellStyle name="Percent 70 4 2 2 5" xfId="43562"/>
    <cellStyle name="Percent 70 4 2 2 6" xfId="44047"/>
    <cellStyle name="Percent 70 4 2 3" xfId="42601"/>
    <cellStyle name="Percent 70 4 2 3 2" xfId="42952"/>
    <cellStyle name="Percent 70 4 2 4" xfId="42665"/>
    <cellStyle name="Percent 70 4 2 5" xfId="42813"/>
    <cellStyle name="Percent 70 4 2 6" xfId="42430"/>
    <cellStyle name="Percent 70 4 2 7" xfId="43807"/>
    <cellStyle name="Percent 70 4 2 8" xfId="43630"/>
    <cellStyle name="Percent 70 4 2 9" xfId="43494"/>
    <cellStyle name="Percent 70 4 3" xfId="12792"/>
    <cellStyle name="Percent 70 4 3 2" xfId="42732"/>
    <cellStyle name="Percent 70 4 3 3" xfId="42883"/>
    <cellStyle name="Percent 70 4 3 4" xfId="42536"/>
    <cellStyle name="Percent 70 4 3 5" xfId="43561"/>
    <cellStyle name="Percent 70 4 3 6" xfId="44046"/>
    <cellStyle name="Percent 70 4 4" xfId="24369"/>
    <cellStyle name="Percent 70 4 4 2" xfId="42951"/>
    <cellStyle name="Percent 70 4 5" xfId="42664"/>
    <cellStyle name="Percent 70 4 6" xfId="42812"/>
    <cellStyle name="Percent 70 4 7" xfId="43741"/>
    <cellStyle name="Percent 70 4 8" xfId="43806"/>
    <cellStyle name="Percent 70 4 9" xfId="43629"/>
    <cellStyle name="Percent 70 5" xfId="9902"/>
    <cellStyle name="Percent 70 5 2" xfId="18342"/>
    <cellStyle name="Percent 70 6" xfId="1868"/>
    <cellStyle name="Percent 71" xfId="1644"/>
    <cellStyle name="Percent 71 2" xfId="5962"/>
    <cellStyle name="Percent 71 2 10" xfId="43495"/>
    <cellStyle name="Percent 71 2 11" xfId="43982"/>
    <cellStyle name="Percent 71 2 2" xfId="24412"/>
    <cellStyle name="Percent 71 2 2 10" xfId="43983"/>
    <cellStyle name="Percent 71 2 2 2" xfId="42539"/>
    <cellStyle name="Percent 71 2 2 2 2" xfId="42735"/>
    <cellStyle name="Percent 71 2 2 2 3" xfId="42886"/>
    <cellStyle name="Percent 71 2 2 2 4" xfId="43678"/>
    <cellStyle name="Percent 71 2 2 2 5" xfId="43564"/>
    <cellStyle name="Percent 71 2 2 2 6" xfId="44049"/>
    <cellStyle name="Percent 71 2 2 3" xfId="42603"/>
    <cellStyle name="Percent 71 2 2 3 2" xfId="42954"/>
    <cellStyle name="Percent 71 2 2 4" xfId="42667"/>
    <cellStyle name="Percent 71 2 2 5" xfId="42815"/>
    <cellStyle name="Percent 71 2 2 6" xfId="43743"/>
    <cellStyle name="Percent 71 2 2 7" xfId="43809"/>
    <cellStyle name="Percent 71 2 2 8" xfId="43632"/>
    <cellStyle name="Percent 71 2 2 9" xfId="43496"/>
    <cellStyle name="Percent 71 2 3" xfId="42538"/>
    <cellStyle name="Percent 71 2 3 2" xfId="42734"/>
    <cellStyle name="Percent 71 2 3 3" xfId="42885"/>
    <cellStyle name="Percent 71 2 3 4" xfId="43677"/>
    <cellStyle name="Percent 71 2 3 5" xfId="43563"/>
    <cellStyle name="Percent 71 2 3 6" xfId="44048"/>
    <cellStyle name="Percent 71 2 4" xfId="42602"/>
    <cellStyle name="Percent 71 2 4 2" xfId="42953"/>
    <cellStyle name="Percent 71 2 5" xfId="42666"/>
    <cellStyle name="Percent 71 2 6" xfId="42814"/>
    <cellStyle name="Percent 71 2 7" xfId="43742"/>
    <cellStyle name="Percent 71 2 8" xfId="43808"/>
    <cellStyle name="Percent 71 2 9" xfId="43631"/>
    <cellStyle name="Percent 71 3" xfId="24404"/>
    <cellStyle name="Percent 71 3 10" xfId="43497"/>
    <cellStyle name="Percent 71 3 11" xfId="43984"/>
    <cellStyle name="Percent 71 3 2" xfId="42431"/>
    <cellStyle name="Percent 71 3 2 10" xfId="43985"/>
    <cellStyle name="Percent 71 3 2 2" xfId="42541"/>
    <cellStyle name="Percent 71 3 2 2 2" xfId="42737"/>
    <cellStyle name="Percent 71 3 2 2 3" xfId="42888"/>
    <cellStyle name="Percent 71 3 2 2 4" xfId="43680"/>
    <cellStyle name="Percent 71 3 2 2 5" xfId="43566"/>
    <cellStyle name="Percent 71 3 2 2 6" xfId="44051"/>
    <cellStyle name="Percent 71 3 2 3" xfId="42605"/>
    <cellStyle name="Percent 71 3 2 3 2" xfId="42956"/>
    <cellStyle name="Percent 71 3 2 4" xfId="42669"/>
    <cellStyle name="Percent 71 3 2 5" xfId="42817"/>
    <cellStyle name="Percent 71 3 2 6" xfId="43745"/>
    <cellStyle name="Percent 71 3 2 7" xfId="43811"/>
    <cellStyle name="Percent 71 3 2 8" xfId="43634"/>
    <cellStyle name="Percent 71 3 2 9" xfId="43498"/>
    <cellStyle name="Percent 71 3 3" xfId="42540"/>
    <cellStyle name="Percent 71 3 3 2" xfId="42736"/>
    <cellStyle name="Percent 71 3 3 3" xfId="42887"/>
    <cellStyle name="Percent 71 3 3 4" xfId="43679"/>
    <cellStyle name="Percent 71 3 3 5" xfId="43565"/>
    <cellStyle name="Percent 71 3 3 6" xfId="44050"/>
    <cellStyle name="Percent 71 3 4" xfId="42604"/>
    <cellStyle name="Percent 71 3 4 2" xfId="42955"/>
    <cellStyle name="Percent 71 3 5" xfId="42668"/>
    <cellStyle name="Percent 71 3 6" xfId="42816"/>
    <cellStyle name="Percent 71 3 7" xfId="43744"/>
    <cellStyle name="Percent 71 3 8" xfId="43810"/>
    <cellStyle name="Percent 71 3 9" xfId="43633"/>
    <cellStyle name="Percent 71 4" xfId="24288"/>
    <cellStyle name="Percent 71 4 10" xfId="43499"/>
    <cellStyle name="Percent 71 4 11" xfId="43986"/>
    <cellStyle name="Percent 71 4 2" xfId="42432"/>
    <cellStyle name="Percent 71 4 2 10" xfId="43987"/>
    <cellStyle name="Percent 71 4 2 2" xfId="42543"/>
    <cellStyle name="Percent 71 4 2 2 2" xfId="42739"/>
    <cellStyle name="Percent 71 4 2 2 3" xfId="42890"/>
    <cellStyle name="Percent 71 4 2 2 4" xfId="43682"/>
    <cellStyle name="Percent 71 4 2 2 5" xfId="43568"/>
    <cellStyle name="Percent 71 4 2 2 6" xfId="44053"/>
    <cellStyle name="Percent 71 4 2 3" xfId="42607"/>
    <cellStyle name="Percent 71 4 2 3 2" xfId="42958"/>
    <cellStyle name="Percent 71 4 2 4" xfId="42671"/>
    <cellStyle name="Percent 71 4 2 5" xfId="42819"/>
    <cellStyle name="Percent 71 4 2 6" xfId="43747"/>
    <cellStyle name="Percent 71 4 2 7" xfId="43813"/>
    <cellStyle name="Percent 71 4 2 8" xfId="43636"/>
    <cellStyle name="Percent 71 4 2 9" xfId="43500"/>
    <cellStyle name="Percent 71 4 3" xfId="42542"/>
    <cellStyle name="Percent 71 4 3 2" xfId="42738"/>
    <cellStyle name="Percent 71 4 3 3" xfId="42889"/>
    <cellStyle name="Percent 71 4 3 4" xfId="43681"/>
    <cellStyle name="Percent 71 4 3 5" xfId="43567"/>
    <cellStyle name="Percent 71 4 3 6" xfId="44052"/>
    <cellStyle name="Percent 71 4 4" xfId="42606"/>
    <cellStyle name="Percent 71 4 4 2" xfId="42957"/>
    <cellStyle name="Percent 71 4 5" xfId="42670"/>
    <cellStyle name="Percent 71 4 6" xfId="42818"/>
    <cellStyle name="Percent 71 4 7" xfId="43746"/>
    <cellStyle name="Percent 71 4 8" xfId="43812"/>
    <cellStyle name="Percent 71 4 9" xfId="43635"/>
    <cellStyle name="Percent 71 5" xfId="2285"/>
    <cellStyle name="Percent 72" xfId="1646"/>
    <cellStyle name="Percent 72 2" xfId="5963"/>
    <cellStyle name="Percent 72 3" xfId="2288"/>
    <cellStyle name="Percent 73" xfId="2227"/>
    <cellStyle name="Percent 73 2" xfId="5964"/>
    <cellStyle name="Percent 74" xfId="2256"/>
    <cellStyle name="Percent 74 2" xfId="5965"/>
    <cellStyle name="Percent 75" xfId="2268"/>
    <cellStyle name="Percent 75 2" xfId="5966"/>
    <cellStyle name="Percent 75 2 2" xfId="24629"/>
    <cellStyle name="Percent 76" xfId="2220"/>
    <cellStyle name="Percent 76 2" xfId="24576"/>
    <cellStyle name="Percent 77" xfId="2257"/>
    <cellStyle name="Percent 77 2" xfId="24614"/>
    <cellStyle name="Percent 78" xfId="2294"/>
    <cellStyle name="Percent 78 2" xfId="24573"/>
    <cellStyle name="Percent 78 2 2" xfId="42433"/>
    <cellStyle name="Percent 79" xfId="2314"/>
    <cellStyle name="Percent 79 2" xfId="24389"/>
    <cellStyle name="Percent 79 2 2" xfId="42434"/>
    <cellStyle name="Percent 8" xfId="523"/>
    <cellStyle name="Percent 8 2" xfId="563"/>
    <cellStyle name="Percent 8 2 2" xfId="1453"/>
    <cellStyle name="Percent 8 2 2 2" xfId="42435"/>
    <cellStyle name="Percent 8 2 3" xfId="42436"/>
    <cellStyle name="Percent 8 3" xfId="5967"/>
    <cellStyle name="Percent 8 3 2" xfId="42437"/>
    <cellStyle name="Percent 80" xfId="2290"/>
    <cellStyle name="Percent 81" xfId="2201"/>
    <cellStyle name="Percent 81 2" xfId="23865"/>
    <cellStyle name="Percent 82" xfId="2333"/>
    <cellStyle name="Percent 82 2" xfId="23908"/>
    <cellStyle name="Percent 83" xfId="2326"/>
    <cellStyle name="Percent 83 2" xfId="23901"/>
    <cellStyle name="Percent 84" xfId="2330"/>
    <cellStyle name="Percent 84 2" xfId="23905"/>
    <cellStyle name="Percent 85" xfId="2352"/>
    <cellStyle name="Percent 85 2" xfId="23920"/>
    <cellStyle name="Percent 86" xfId="2357"/>
    <cellStyle name="Percent 86 2" xfId="23923"/>
    <cellStyle name="Percent 87" xfId="2327"/>
    <cellStyle name="Percent 87 2" xfId="23902"/>
    <cellStyle name="Percent 88" xfId="2329"/>
    <cellStyle name="Percent 88 2" xfId="23904"/>
    <cellStyle name="Percent 89" xfId="2317"/>
    <cellStyle name="Percent 89 2" xfId="23894"/>
    <cellStyle name="Percent 9" xfId="530"/>
    <cellStyle name="Percent 9 2" xfId="1454"/>
    <cellStyle name="Percent 9 2 2" xfId="42438"/>
    <cellStyle name="Percent 9 2 3" xfId="42439"/>
    <cellStyle name="Percent 9 3" xfId="24604"/>
    <cellStyle name="Percent 9 3 2" xfId="42440"/>
    <cellStyle name="Percent 90" xfId="2361"/>
    <cellStyle name="Percent 90 2" xfId="23924"/>
    <cellStyle name="Percent 91" xfId="2348"/>
    <cellStyle name="Percent 91 2" xfId="23917"/>
    <cellStyle name="Percent 92" xfId="2370"/>
    <cellStyle name="Percent 92 2" xfId="23932"/>
    <cellStyle name="Percent 93" xfId="2328"/>
    <cellStyle name="Percent 93 2" xfId="23903"/>
    <cellStyle name="Percent 94" xfId="2334"/>
    <cellStyle name="Percent 94 2" xfId="23909"/>
    <cellStyle name="Percent 95" xfId="2341"/>
    <cellStyle name="Percent 95 2" xfId="23915"/>
    <cellStyle name="Percent 96" xfId="2354"/>
    <cellStyle name="Percent 96 2" xfId="23921"/>
    <cellStyle name="Percent 97" xfId="2316"/>
    <cellStyle name="Percent 97 2" xfId="23893"/>
    <cellStyle name="Percent 98" xfId="2366"/>
    <cellStyle name="Percent 98 2" xfId="23928"/>
    <cellStyle name="Percent 99" xfId="2375"/>
    <cellStyle name="Percent 99 2" xfId="23937"/>
    <cellStyle name="PrePop Currency (0)" xfId="469"/>
    <cellStyle name="PrePop Currency (2)" xfId="470"/>
    <cellStyle name="PrePop Units (0)" xfId="471"/>
    <cellStyle name="PrePop Units (1)" xfId="472"/>
    <cellStyle name="PrePop Units (2)" xfId="473"/>
    <cellStyle name="rf0" xfId="216"/>
    <cellStyle name="rf1" xfId="217"/>
    <cellStyle name="rf10" xfId="226"/>
    <cellStyle name="rf11" xfId="227"/>
    <cellStyle name="rf12" xfId="228"/>
    <cellStyle name="rf13" xfId="229"/>
    <cellStyle name="rf14" xfId="230"/>
    <cellStyle name="rf15" xfId="231"/>
    <cellStyle name="rf16" xfId="232"/>
    <cellStyle name="rf17" xfId="233"/>
    <cellStyle name="rf18" xfId="234"/>
    <cellStyle name="rf19" xfId="235"/>
    <cellStyle name="rf2" xfId="218"/>
    <cellStyle name="rf20" xfId="236"/>
    <cellStyle name="rf21" xfId="237"/>
    <cellStyle name="rf22" xfId="238"/>
    <cellStyle name="rf23" xfId="239"/>
    <cellStyle name="rf24" xfId="240"/>
    <cellStyle name="rf25" xfId="241"/>
    <cellStyle name="rf26" xfId="242"/>
    <cellStyle name="rf27" xfId="243"/>
    <cellStyle name="rf3" xfId="219"/>
    <cellStyle name="rf4" xfId="220"/>
    <cellStyle name="rf5" xfId="221"/>
    <cellStyle name="rf6" xfId="222"/>
    <cellStyle name="rf7" xfId="223"/>
    <cellStyle name="rf8" xfId="224"/>
    <cellStyle name="rf9" xfId="225"/>
    <cellStyle name="Rounding" xfId="991"/>
    <cellStyle name="Saldos" xfId="474"/>
    <cellStyle name="Saldos 2" xfId="753"/>
    <cellStyle name="Saldos 2 2" xfId="1561"/>
    <cellStyle name="Saldos 2 2 2" xfId="42443"/>
    <cellStyle name="Saldos 2 3" xfId="2084"/>
    <cellStyle name="Saldos 2 3 2" xfId="42444"/>
    <cellStyle name="Saldos 2 4" xfId="2032"/>
    <cellStyle name="Saldos 2 4 2" xfId="42445"/>
    <cellStyle name="Saldos 2 5" xfId="42442"/>
    <cellStyle name="Saldos 3" xfId="1100"/>
    <cellStyle name="Saldos 3 2" xfId="1148"/>
    <cellStyle name="Saldos 3 2 2" xfId="42447"/>
    <cellStyle name="Saldos 3 3" xfId="2865"/>
    <cellStyle name="Saldos 3 3 2" xfId="42448"/>
    <cellStyle name="Saldos 3 4" xfId="42446"/>
    <cellStyle name="Saldos 4" xfId="1194"/>
    <cellStyle name="Saldos 4 2" xfId="42449"/>
    <cellStyle name="Saldos 5" xfId="42441"/>
    <cellStyle name="Single Border" xfId="992"/>
    <cellStyle name="Single Border 2" xfId="1038"/>
    <cellStyle name="Single Border 2 2" xfId="1486"/>
    <cellStyle name="Single Border 2 2 2" xfId="1618"/>
    <cellStyle name="Single Border 2 2 2 2" xfId="5968"/>
    <cellStyle name="Single Border 2 2 3" xfId="42450"/>
    <cellStyle name="Single Border 2 3" xfId="1308"/>
    <cellStyle name="Single Border 2 3 2" xfId="1612"/>
    <cellStyle name="Single Border 2 3 2 2" xfId="5969"/>
    <cellStyle name="Single Border 2 3 3" xfId="42451"/>
    <cellStyle name="Single Border 2 4" xfId="3033"/>
    <cellStyle name="Single Border 2 4 2" xfId="5970"/>
    <cellStyle name="Single Border 2 5" xfId="5971"/>
    <cellStyle name="Single Border 3" xfId="1301"/>
    <cellStyle name="Single Border 3 2" xfId="1606"/>
    <cellStyle name="Single Border 4" xfId="3028"/>
    <cellStyle name="Single Border 4 2" xfId="5972"/>
    <cellStyle name="Single Border 5" xfId="42452"/>
    <cellStyle name="Single Underline" xfId="993"/>
    <cellStyle name="SubHead" xfId="475"/>
    <cellStyle name="SubHead 2" xfId="476"/>
    <cellStyle name="Text Indent A" xfId="477"/>
    <cellStyle name="Text Indent B" xfId="478"/>
    <cellStyle name="Text Indent C" xfId="479"/>
    <cellStyle name="Tickmark" xfId="480"/>
    <cellStyle name="Title 2" xfId="287"/>
    <cellStyle name="Title 2 2" xfId="994"/>
    <cellStyle name="Title 2 3" xfId="43141"/>
    <cellStyle name="Title 2 4" xfId="44183"/>
    <cellStyle name="Title 3" xfId="917"/>
    <cellStyle name="Title 3 2" xfId="5973"/>
    <cellStyle name="Title 3 2 2" xfId="42453"/>
    <cellStyle name="Title 3 3" xfId="6097"/>
    <cellStyle name="Title 3 3 2" xfId="43081"/>
    <cellStyle name="Title 4" xfId="9606"/>
    <cellStyle name="Title 5" xfId="42965"/>
    <cellStyle name="Title 6" xfId="80"/>
    <cellStyle name="Top Bold Border" xfId="995"/>
    <cellStyle name="Top Double Border" xfId="996"/>
    <cellStyle name="Top Single Border" xfId="997"/>
    <cellStyle name="Top Single Border 10" xfId="27563"/>
    <cellStyle name="Top Single Border 10 2" xfId="36323"/>
    <cellStyle name="Top Single Border 11" xfId="27821"/>
    <cellStyle name="Top Single Border 11 2" xfId="36581"/>
    <cellStyle name="Top Single Border 2" xfId="9313"/>
    <cellStyle name="Top Single Border 2 10" xfId="25366"/>
    <cellStyle name="Top Single Border 2 10 2" xfId="34135"/>
    <cellStyle name="Top Single Border 2 11" xfId="27832"/>
    <cellStyle name="Top Single Border 2 11 2" xfId="36592"/>
    <cellStyle name="Top Single Border 2 12" xfId="32784"/>
    <cellStyle name="Top Single Border 2 2" xfId="18265"/>
    <cellStyle name="Top Single Border 2 2 10" xfId="30972"/>
    <cellStyle name="Top Single Border 2 2 10 2" xfId="39726"/>
    <cellStyle name="Top Single Border 2 2 11" xfId="31358"/>
    <cellStyle name="Top Single Border 2 2 11 2" xfId="40112"/>
    <cellStyle name="Top Single Border 2 2 12" xfId="33009"/>
    <cellStyle name="Top Single Border 2 2 13" xfId="43255"/>
    <cellStyle name="Top Single Border 2 2 2" xfId="24535"/>
    <cellStyle name="Top Single Border 2 2 2 10" xfId="32288"/>
    <cellStyle name="Top Single Border 2 2 2 10 2" xfId="41042"/>
    <cellStyle name="Top Single Border 2 2 2 11" xfId="33363"/>
    <cellStyle name="Top Single Border 2 2 2 2" xfId="29143"/>
    <cellStyle name="Top Single Border 2 2 2 2 2" xfId="37897"/>
    <cellStyle name="Top Single Border 2 2 2 3" xfId="29556"/>
    <cellStyle name="Top Single Border 2 2 2 3 2" xfId="38310"/>
    <cellStyle name="Top Single Border 2 2 2 4" xfId="29976"/>
    <cellStyle name="Top Single Border 2 2 2 4 2" xfId="38730"/>
    <cellStyle name="Top Single Border 2 2 2 5" xfId="30395"/>
    <cellStyle name="Top Single Border 2 2 2 5 2" xfId="39149"/>
    <cellStyle name="Top Single Border 2 2 2 6" xfId="30796"/>
    <cellStyle name="Top Single Border 2 2 2 6 2" xfId="39550"/>
    <cellStyle name="Top Single Border 2 2 2 7" xfId="31182"/>
    <cellStyle name="Top Single Border 2 2 2 7 2" xfId="39936"/>
    <cellStyle name="Top Single Border 2 2 2 8" xfId="31560"/>
    <cellStyle name="Top Single Border 2 2 2 8 2" xfId="40314"/>
    <cellStyle name="Top Single Border 2 2 2 9" xfId="31926"/>
    <cellStyle name="Top Single Border 2 2 2 9 2" xfId="40680"/>
    <cellStyle name="Top Single Border 2 2 3" xfId="27755"/>
    <cellStyle name="Top Single Border 2 2 3 2" xfId="36515"/>
    <cellStyle name="Top Single Border 2 2 4" xfId="26817"/>
    <cellStyle name="Top Single Border 2 2 4 2" xfId="35578"/>
    <cellStyle name="Top Single Border 2 2 5" xfId="26804"/>
    <cellStyle name="Top Single Border 2 2 5 2" xfId="35566"/>
    <cellStyle name="Top Single Border 2 2 6" xfId="26111"/>
    <cellStyle name="Top Single Border 2 2 6 2" xfId="34877"/>
    <cellStyle name="Top Single Border 2 2 7" xfId="25323"/>
    <cellStyle name="Top Single Border 2 2 7 2" xfId="34092"/>
    <cellStyle name="Top Single Border 2 2 8" xfId="30155"/>
    <cellStyle name="Top Single Border 2 2 8 2" xfId="38909"/>
    <cellStyle name="Top Single Border 2 2 9" xfId="30571"/>
    <cellStyle name="Top Single Border 2 2 9 2" xfId="39325"/>
    <cellStyle name="Top Single Border 2 3" xfId="23676"/>
    <cellStyle name="Top Single Border 2 3 10" xfId="28882"/>
    <cellStyle name="Top Single Border 2 3 10 2" xfId="37638"/>
    <cellStyle name="Top Single Border 2 3 11" xfId="28394"/>
    <cellStyle name="Top Single Border 2 3 11 2" xfId="37151"/>
    <cellStyle name="Top Single Border 2 3 12" xfId="33146"/>
    <cellStyle name="Top Single Border 2 3 2" xfId="24731"/>
    <cellStyle name="Top Single Border 2 3 2 10" xfId="32432"/>
    <cellStyle name="Top Single Border 2 3 2 10 2" xfId="41186"/>
    <cellStyle name="Top Single Border 2 3 2 11" xfId="33507"/>
    <cellStyle name="Top Single Border 2 3 2 2" xfId="29296"/>
    <cellStyle name="Top Single Border 2 3 2 2 2" xfId="38050"/>
    <cellStyle name="Top Single Border 2 3 2 3" xfId="29706"/>
    <cellStyle name="Top Single Border 2 3 2 3 2" xfId="38460"/>
    <cellStyle name="Top Single Border 2 3 2 4" xfId="30126"/>
    <cellStyle name="Top Single Border 2 3 2 4 2" xfId="38880"/>
    <cellStyle name="Top Single Border 2 3 2 5" xfId="30542"/>
    <cellStyle name="Top Single Border 2 3 2 5 2" xfId="39296"/>
    <cellStyle name="Top Single Border 2 3 2 6" xfId="30943"/>
    <cellStyle name="Top Single Border 2 3 2 6 2" xfId="39697"/>
    <cellStyle name="Top Single Border 2 3 2 7" xfId="31329"/>
    <cellStyle name="Top Single Border 2 3 2 7 2" xfId="40083"/>
    <cellStyle name="Top Single Border 2 3 2 8" xfId="31705"/>
    <cellStyle name="Top Single Border 2 3 2 8 2" xfId="40459"/>
    <cellStyle name="Top Single Border 2 3 2 9" xfId="32071"/>
    <cellStyle name="Top Single Border 2 3 2 9 2" xfId="40825"/>
    <cellStyle name="Top Single Border 2 3 3" xfId="28792"/>
    <cellStyle name="Top Single Border 2 3 3 2" xfId="37548"/>
    <cellStyle name="Top Single Border 2 3 4" xfId="1706"/>
    <cellStyle name="Top Single Border 2 3 4 2" xfId="32518"/>
    <cellStyle name="Top Single Border 2 3 5" xfId="28838"/>
    <cellStyle name="Top Single Border 2 3 5 2" xfId="37594"/>
    <cellStyle name="Top Single Border 2 3 6" xfId="25043"/>
    <cellStyle name="Top Single Border 2 3 6 2" xfId="33817"/>
    <cellStyle name="Top Single Border 2 3 7" xfId="26367"/>
    <cellStyle name="Top Single Border 2 3 7 2" xfId="35133"/>
    <cellStyle name="Top Single Border 2 3 8" xfId="26368"/>
    <cellStyle name="Top Single Border 2 3 8 2" xfId="35134"/>
    <cellStyle name="Top Single Border 2 3 9" xfId="27283"/>
    <cellStyle name="Top Single Border 2 3 9 2" xfId="36043"/>
    <cellStyle name="Top Single Border 2 4" xfId="25360"/>
    <cellStyle name="Top Single Border 2 4 2" xfId="34129"/>
    <cellStyle name="Top Single Border 2 5" xfId="24975"/>
    <cellStyle name="Top Single Border 2 5 2" xfId="33749"/>
    <cellStyle name="Top Single Border 2 6" xfId="25794"/>
    <cellStyle name="Top Single Border 2 6 2" xfId="34561"/>
    <cellStyle name="Top Single Border 2 7" xfId="27885"/>
    <cellStyle name="Top Single Border 2 7 2" xfId="36645"/>
    <cellStyle name="Top Single Border 2 8" xfId="26267"/>
    <cellStyle name="Top Single Border 2 8 2" xfId="35033"/>
    <cellStyle name="Top Single Border 2 9" xfId="26681"/>
    <cellStyle name="Top Single Border 2 9 2" xfId="35445"/>
    <cellStyle name="Top Single Border 3" xfId="1802"/>
    <cellStyle name="Top Single Border 3 2" xfId="32610"/>
    <cellStyle name="Top Single Border 4" xfId="25548"/>
    <cellStyle name="Top Single Border 4 2" xfId="34315"/>
    <cellStyle name="Top Single Border 5" xfId="25438"/>
    <cellStyle name="Top Single Border 5 2" xfId="34207"/>
    <cellStyle name="Top Single Border 6" xfId="26694"/>
    <cellStyle name="Top Single Border 6 2" xfId="35458"/>
    <cellStyle name="Top Single Border 7" xfId="28471"/>
    <cellStyle name="Top Single Border 7 2" xfId="37228"/>
    <cellStyle name="Top Single Border 8" xfId="25534"/>
    <cellStyle name="Top Single Border 8 2" xfId="34301"/>
    <cellStyle name="Top Single Border 9" xfId="27968"/>
    <cellStyle name="Top Single Border 9 2" xfId="36728"/>
    <cellStyle name="Total" xfId="32" builtinId="25" customBuiltin="1"/>
    <cellStyle name="Total 2" xfId="97"/>
    <cellStyle name="Total 2 2" xfId="998"/>
    <cellStyle name="Total 2 2 2" xfId="9314"/>
    <cellStyle name="Total 2 2 2 10" xfId="25231"/>
    <cellStyle name="Total 2 2 2 10 2" xfId="34001"/>
    <cellStyle name="Total 2 2 2 11" xfId="25917"/>
    <cellStyle name="Total 2 2 2 11 2" xfId="34683"/>
    <cellStyle name="Total 2 2 2 12" xfId="32785"/>
    <cellStyle name="Total 2 2 2 2" xfId="18266"/>
    <cellStyle name="Total 2 2 2 2 10" xfId="25907"/>
    <cellStyle name="Total 2 2 2 2 10 2" xfId="34673"/>
    <cellStyle name="Total 2 2 2 2 11" xfId="25824"/>
    <cellStyle name="Total 2 2 2 2 11 2" xfId="34590"/>
    <cellStyle name="Total 2 2 2 2 12" xfId="33010"/>
    <cellStyle name="Total 2 2 2 2 2" xfId="24536"/>
    <cellStyle name="Total 2 2 2 2 2 10" xfId="32289"/>
    <cellStyle name="Total 2 2 2 2 2 10 2" xfId="41043"/>
    <cellStyle name="Total 2 2 2 2 2 11" xfId="33364"/>
    <cellStyle name="Total 2 2 2 2 2 2" xfId="29144"/>
    <cellStyle name="Total 2 2 2 2 2 2 2" xfId="37898"/>
    <cellStyle name="Total 2 2 2 2 2 3" xfId="29557"/>
    <cellStyle name="Total 2 2 2 2 2 3 2" xfId="38311"/>
    <cellStyle name="Total 2 2 2 2 2 4" xfId="29977"/>
    <cellStyle name="Total 2 2 2 2 2 4 2" xfId="38731"/>
    <cellStyle name="Total 2 2 2 2 2 5" xfId="30396"/>
    <cellStyle name="Total 2 2 2 2 2 5 2" xfId="39150"/>
    <cellStyle name="Total 2 2 2 2 2 6" xfId="30797"/>
    <cellStyle name="Total 2 2 2 2 2 6 2" xfId="39551"/>
    <cellStyle name="Total 2 2 2 2 2 7" xfId="31183"/>
    <cellStyle name="Total 2 2 2 2 2 7 2" xfId="39937"/>
    <cellStyle name="Total 2 2 2 2 2 8" xfId="31561"/>
    <cellStyle name="Total 2 2 2 2 2 8 2" xfId="40315"/>
    <cellStyle name="Total 2 2 2 2 2 9" xfId="31927"/>
    <cellStyle name="Total 2 2 2 2 2 9 2" xfId="40681"/>
    <cellStyle name="Total 2 2 2 2 3" xfId="27756"/>
    <cellStyle name="Total 2 2 2 2 3 2" xfId="36516"/>
    <cellStyle name="Total 2 2 2 2 4" xfId="27550"/>
    <cellStyle name="Total 2 2 2 2 4 2" xfId="36310"/>
    <cellStyle name="Total 2 2 2 2 5" xfId="28328"/>
    <cellStyle name="Total 2 2 2 2 5 2" xfId="37087"/>
    <cellStyle name="Total 2 2 2 2 6" xfId="28696"/>
    <cellStyle name="Total 2 2 2 2 6 2" xfId="37452"/>
    <cellStyle name="Total 2 2 2 2 7" xfId="28881"/>
    <cellStyle name="Total 2 2 2 2 7 2" xfId="37637"/>
    <cellStyle name="Total 2 2 2 2 8" xfId="27632"/>
    <cellStyle name="Total 2 2 2 2 8 2" xfId="36392"/>
    <cellStyle name="Total 2 2 2 2 9" xfId="28176"/>
    <cellStyle name="Total 2 2 2 2 9 2" xfId="36935"/>
    <cellStyle name="Total 2 2 2 3" xfId="23677"/>
    <cellStyle name="Total 2 2 2 3 10" xfId="25107"/>
    <cellStyle name="Total 2 2 2 3 10 2" xfId="33879"/>
    <cellStyle name="Total 2 2 2 3 11" xfId="24960"/>
    <cellStyle name="Total 2 2 2 3 11 2" xfId="33734"/>
    <cellStyle name="Total 2 2 2 3 12" xfId="33147"/>
    <cellStyle name="Total 2 2 2 3 2" xfId="24732"/>
    <cellStyle name="Total 2 2 2 3 2 10" xfId="32433"/>
    <cellStyle name="Total 2 2 2 3 2 10 2" xfId="41187"/>
    <cellStyle name="Total 2 2 2 3 2 11" xfId="33508"/>
    <cellStyle name="Total 2 2 2 3 2 2" xfId="29297"/>
    <cellStyle name="Total 2 2 2 3 2 2 2" xfId="38051"/>
    <cellStyle name="Total 2 2 2 3 2 3" xfId="29707"/>
    <cellStyle name="Total 2 2 2 3 2 3 2" xfId="38461"/>
    <cellStyle name="Total 2 2 2 3 2 4" xfId="30127"/>
    <cellStyle name="Total 2 2 2 3 2 4 2" xfId="38881"/>
    <cellStyle name="Total 2 2 2 3 2 5" xfId="30543"/>
    <cellStyle name="Total 2 2 2 3 2 5 2" xfId="39297"/>
    <cellStyle name="Total 2 2 2 3 2 6" xfId="30944"/>
    <cellStyle name="Total 2 2 2 3 2 6 2" xfId="39698"/>
    <cellStyle name="Total 2 2 2 3 2 7" xfId="31330"/>
    <cellStyle name="Total 2 2 2 3 2 7 2" xfId="40084"/>
    <cellStyle name="Total 2 2 2 3 2 8" xfId="31706"/>
    <cellStyle name="Total 2 2 2 3 2 8 2" xfId="40460"/>
    <cellStyle name="Total 2 2 2 3 2 9" xfId="32072"/>
    <cellStyle name="Total 2 2 2 3 2 9 2" xfId="40826"/>
    <cellStyle name="Total 2 2 2 3 3" xfId="28793"/>
    <cellStyle name="Total 2 2 2 3 3 2" xfId="37549"/>
    <cellStyle name="Total 2 2 2 3 4" xfId="1707"/>
    <cellStyle name="Total 2 2 2 3 4 2" xfId="32519"/>
    <cellStyle name="Total 2 2 2 3 5" xfId="26165"/>
    <cellStyle name="Total 2 2 2 3 5 2" xfId="34931"/>
    <cellStyle name="Total 2 2 2 3 6" xfId="25076"/>
    <cellStyle name="Total 2 2 2 3 6 2" xfId="33849"/>
    <cellStyle name="Total 2 2 2 3 7" xfId="27176"/>
    <cellStyle name="Total 2 2 2 3 7 2" xfId="35936"/>
    <cellStyle name="Total 2 2 2 3 8" xfId="25465"/>
    <cellStyle name="Total 2 2 2 3 8 2" xfId="34234"/>
    <cellStyle name="Total 2 2 2 3 9" xfId="25454"/>
    <cellStyle name="Total 2 2 2 3 9 2" xfId="34223"/>
    <cellStyle name="Total 2 2 2 4" xfId="25359"/>
    <cellStyle name="Total 2 2 2 4 2" xfId="34128"/>
    <cellStyle name="Total 2 2 2 5" xfId="25216"/>
    <cellStyle name="Total 2 2 2 5 2" xfId="33987"/>
    <cellStyle name="Total 2 2 2 6" xfId="27463"/>
    <cellStyle name="Total 2 2 2 6 2" xfId="36223"/>
    <cellStyle name="Total 2 2 2 7" xfId="25097"/>
    <cellStyle name="Total 2 2 2 7 2" xfId="33869"/>
    <cellStyle name="Total 2 2 2 8" xfId="25819"/>
    <cellStyle name="Total 2 2 2 8 2" xfId="34585"/>
    <cellStyle name="Total 2 2 2 9" xfId="25971"/>
    <cellStyle name="Total 2 2 2 9 2" xfId="34737"/>
    <cellStyle name="Total 2 2 3" xfId="32462"/>
    <cellStyle name="Total 2 2 4" xfId="42455"/>
    <cellStyle name="Total 2 3" xfId="6827"/>
    <cellStyle name="Total 2 3 10" xfId="25349"/>
    <cellStyle name="Total 2 3 10 2" xfId="34118"/>
    <cellStyle name="Total 2 3 11" xfId="27895"/>
    <cellStyle name="Total 2 3 11 2" xfId="36655"/>
    <cellStyle name="Total 2 3 12" xfId="32767"/>
    <cellStyle name="Total 2 3 13" xfId="42456"/>
    <cellStyle name="Total 2 3 2" xfId="18248"/>
    <cellStyle name="Total 2 3 2 10" xfId="26385"/>
    <cellStyle name="Total 2 3 2 10 2" xfId="35151"/>
    <cellStyle name="Total 2 3 2 11" xfId="26123"/>
    <cellStyle name="Total 2 3 2 11 2" xfId="34889"/>
    <cellStyle name="Total 2 3 2 12" xfId="32992"/>
    <cellStyle name="Total 2 3 2 2" xfId="24518"/>
    <cellStyle name="Total 2 3 2 2 10" xfId="32271"/>
    <cellStyle name="Total 2 3 2 2 10 2" xfId="41025"/>
    <cellStyle name="Total 2 3 2 2 11" xfId="33346"/>
    <cellStyle name="Total 2 3 2 2 2" xfId="29126"/>
    <cellStyle name="Total 2 3 2 2 2 2" xfId="37880"/>
    <cellStyle name="Total 2 3 2 2 3" xfId="29539"/>
    <cellStyle name="Total 2 3 2 2 3 2" xfId="38293"/>
    <cellStyle name="Total 2 3 2 2 4" xfId="29959"/>
    <cellStyle name="Total 2 3 2 2 4 2" xfId="38713"/>
    <cellStyle name="Total 2 3 2 2 5" xfId="30378"/>
    <cellStyle name="Total 2 3 2 2 5 2" xfId="39132"/>
    <cellStyle name="Total 2 3 2 2 6" xfId="30779"/>
    <cellStyle name="Total 2 3 2 2 6 2" xfId="39533"/>
    <cellStyle name="Total 2 3 2 2 7" xfId="31165"/>
    <cellStyle name="Total 2 3 2 2 7 2" xfId="39919"/>
    <cellStyle name="Total 2 3 2 2 8" xfId="31543"/>
    <cellStyle name="Total 2 3 2 2 8 2" xfId="40297"/>
    <cellStyle name="Total 2 3 2 2 9" xfId="31909"/>
    <cellStyle name="Total 2 3 2 2 9 2" xfId="40663"/>
    <cellStyle name="Total 2 3 2 3" xfId="27738"/>
    <cellStyle name="Total 2 3 2 3 2" xfId="36498"/>
    <cellStyle name="Total 2 3 2 4" xfId="25837"/>
    <cellStyle name="Total 2 3 2 4 2" xfId="34603"/>
    <cellStyle name="Total 2 3 2 5" xfId="27069"/>
    <cellStyle name="Total 2 3 2 5 2" xfId="35829"/>
    <cellStyle name="Total 2 3 2 6" xfId="27407"/>
    <cellStyle name="Total 2 3 2 6 2" xfId="36167"/>
    <cellStyle name="Total 2 3 2 7" xfId="27489"/>
    <cellStyle name="Total 2 3 2 7 2" xfId="36249"/>
    <cellStyle name="Total 2 3 2 8" xfId="24795"/>
    <cellStyle name="Total 2 3 2 8 2" xfId="33571"/>
    <cellStyle name="Total 2 3 2 9" xfId="27493"/>
    <cellStyle name="Total 2 3 2 9 2" xfId="36253"/>
    <cellStyle name="Total 2 3 3" xfId="23659"/>
    <cellStyle name="Total 2 3 3 10" xfId="27863"/>
    <cellStyle name="Total 2 3 3 10 2" xfId="36623"/>
    <cellStyle name="Total 2 3 3 11" xfId="28668"/>
    <cellStyle name="Total 2 3 3 11 2" xfId="37424"/>
    <cellStyle name="Total 2 3 3 12" xfId="33129"/>
    <cellStyle name="Total 2 3 3 2" xfId="24714"/>
    <cellStyle name="Total 2 3 3 2 10" xfId="32415"/>
    <cellStyle name="Total 2 3 3 2 10 2" xfId="41169"/>
    <cellStyle name="Total 2 3 3 2 11" xfId="33490"/>
    <cellStyle name="Total 2 3 3 2 2" xfId="29279"/>
    <cellStyle name="Total 2 3 3 2 2 2" xfId="38033"/>
    <cellStyle name="Total 2 3 3 2 3" xfId="29689"/>
    <cellStyle name="Total 2 3 3 2 3 2" xfId="38443"/>
    <cellStyle name="Total 2 3 3 2 4" xfId="30109"/>
    <cellStyle name="Total 2 3 3 2 4 2" xfId="38863"/>
    <cellStyle name="Total 2 3 3 2 5" xfId="30525"/>
    <cellStyle name="Total 2 3 3 2 5 2" xfId="39279"/>
    <cellStyle name="Total 2 3 3 2 6" xfId="30926"/>
    <cellStyle name="Total 2 3 3 2 6 2" xfId="39680"/>
    <cellStyle name="Total 2 3 3 2 7" xfId="31312"/>
    <cellStyle name="Total 2 3 3 2 7 2" xfId="40066"/>
    <cellStyle name="Total 2 3 3 2 8" xfId="31688"/>
    <cellStyle name="Total 2 3 3 2 8 2" xfId="40442"/>
    <cellStyle name="Total 2 3 3 2 9" xfId="32054"/>
    <cellStyle name="Total 2 3 3 2 9 2" xfId="40808"/>
    <cellStyle name="Total 2 3 3 3" xfId="28775"/>
    <cellStyle name="Total 2 3 3 3 2" xfId="37531"/>
    <cellStyle name="Total 2 3 3 4" xfId="28857"/>
    <cellStyle name="Total 2 3 3 4 2" xfId="37613"/>
    <cellStyle name="Total 2 3 3 5" xfId="28438"/>
    <cellStyle name="Total 2 3 3 5 2" xfId="37195"/>
    <cellStyle name="Total 2 3 3 6" xfId="25446"/>
    <cellStyle name="Total 2 3 3 6 2" xfId="34215"/>
    <cellStyle name="Total 2 3 3 7" xfId="28218"/>
    <cellStyle name="Total 2 3 3 7 2" xfId="36977"/>
    <cellStyle name="Total 2 3 3 8" xfId="25023"/>
    <cellStyle name="Total 2 3 3 8 2" xfId="33797"/>
    <cellStyle name="Total 2 3 3 9" xfId="27075"/>
    <cellStyle name="Total 2 3 3 9 2" xfId="35835"/>
    <cellStyle name="Total 2 3 4" xfId="25938"/>
    <cellStyle name="Total 2 3 4 2" xfId="34704"/>
    <cellStyle name="Total 2 3 5" xfId="27349"/>
    <cellStyle name="Total 2 3 5 2" xfId="36109"/>
    <cellStyle name="Total 2 3 6" xfId="27013"/>
    <cellStyle name="Total 2 3 6 2" xfId="35773"/>
    <cellStyle name="Total 2 3 7" xfId="26411"/>
    <cellStyle name="Total 2 3 7 2" xfId="35177"/>
    <cellStyle name="Total 2 3 8" xfId="27539"/>
    <cellStyle name="Total 2 3 8 2" xfId="36299"/>
    <cellStyle name="Total 2 3 9" xfId="29785"/>
    <cellStyle name="Total 2 3 9 2" xfId="38539"/>
    <cellStyle name="Total 2 4" xfId="43080"/>
    <cellStyle name="Total 2 5" xfId="42454"/>
    <cellStyle name="Total 2 6" xfId="44218"/>
    <cellStyle name="Total 2 7" xfId="288"/>
    <cellStyle name="Total 3" xfId="918"/>
    <cellStyle name="Total 3 2" xfId="5974"/>
    <cellStyle name="Total 3 2 10" xfId="26002"/>
    <cellStyle name="Total 3 2 10 2" xfId="34768"/>
    <cellStyle name="Total 3 2 11" xfId="26926"/>
    <cellStyle name="Total 3 2 11 2" xfId="35686"/>
    <cellStyle name="Total 3 2 12" xfId="30166"/>
    <cellStyle name="Total 3 2 12 2" xfId="38920"/>
    <cellStyle name="Total 3 2 13" xfId="30577"/>
    <cellStyle name="Total 3 2 13 2" xfId="39331"/>
    <cellStyle name="Total 3 2 14" xfId="32712"/>
    <cellStyle name="Total 3 2 15" xfId="42458"/>
    <cellStyle name="Total 3 2 16" xfId="43256"/>
    <cellStyle name="Total 3 2 17" xfId="43415"/>
    <cellStyle name="Total 3 2 18" xfId="43271"/>
    <cellStyle name="Total 3 2 19" xfId="43913"/>
    <cellStyle name="Total 3 2 2" xfId="6749"/>
    <cellStyle name="Total 3 2 2 2" xfId="18240"/>
    <cellStyle name="Total 3 2 2 2 10" xfId="25208"/>
    <cellStyle name="Total 3 2 2 2 10 2" xfId="33979"/>
    <cellStyle name="Total 3 2 2 2 11" xfId="26745"/>
    <cellStyle name="Total 3 2 2 2 11 2" xfId="35507"/>
    <cellStyle name="Total 3 2 2 2 12" xfId="32984"/>
    <cellStyle name="Total 3 2 2 2 2" xfId="24510"/>
    <cellStyle name="Total 3 2 2 2 2 10" xfId="32263"/>
    <cellStyle name="Total 3 2 2 2 2 10 2" xfId="41017"/>
    <cellStyle name="Total 3 2 2 2 2 11" xfId="33338"/>
    <cellStyle name="Total 3 2 2 2 2 2" xfId="29118"/>
    <cellStyle name="Total 3 2 2 2 2 2 2" xfId="37872"/>
    <cellStyle name="Total 3 2 2 2 2 3" xfId="29531"/>
    <cellStyle name="Total 3 2 2 2 2 3 2" xfId="38285"/>
    <cellStyle name="Total 3 2 2 2 2 4" xfId="29951"/>
    <cellStyle name="Total 3 2 2 2 2 4 2" xfId="38705"/>
    <cellStyle name="Total 3 2 2 2 2 5" xfId="30370"/>
    <cellStyle name="Total 3 2 2 2 2 5 2" xfId="39124"/>
    <cellStyle name="Total 3 2 2 2 2 6" xfId="30771"/>
    <cellStyle name="Total 3 2 2 2 2 6 2" xfId="39525"/>
    <cellStyle name="Total 3 2 2 2 2 7" xfId="31157"/>
    <cellStyle name="Total 3 2 2 2 2 7 2" xfId="39911"/>
    <cellStyle name="Total 3 2 2 2 2 8" xfId="31535"/>
    <cellStyle name="Total 3 2 2 2 2 8 2" xfId="40289"/>
    <cellStyle name="Total 3 2 2 2 2 9" xfId="31901"/>
    <cellStyle name="Total 3 2 2 2 2 9 2" xfId="40655"/>
    <cellStyle name="Total 3 2 2 2 3" xfId="27730"/>
    <cellStyle name="Total 3 2 2 2 3 2" xfId="36490"/>
    <cellStyle name="Total 3 2 2 2 4" xfId="26013"/>
    <cellStyle name="Total 3 2 2 2 4 2" xfId="34779"/>
    <cellStyle name="Total 3 2 2 2 5" xfId="28319"/>
    <cellStyle name="Total 3 2 2 2 5 2" xfId="37078"/>
    <cellStyle name="Total 3 2 2 2 6" xfId="27324"/>
    <cellStyle name="Total 3 2 2 2 6 2" xfId="36084"/>
    <cellStyle name="Total 3 2 2 2 7" xfId="25108"/>
    <cellStyle name="Total 3 2 2 2 7 2" xfId="33880"/>
    <cellStyle name="Total 3 2 2 2 8" xfId="24794"/>
    <cellStyle name="Total 3 2 2 2 8 2" xfId="33570"/>
    <cellStyle name="Total 3 2 2 2 9" xfId="1696"/>
    <cellStyle name="Total 3 2 2 2 9 2" xfId="32509"/>
    <cellStyle name="Total 3 2 2 3" xfId="25874"/>
    <cellStyle name="Total 3 2 2 3 2" xfId="34640"/>
    <cellStyle name="Total 3 2 2 4" xfId="28640"/>
    <cellStyle name="Total 3 2 2 4 2" xfId="37396"/>
    <cellStyle name="Total 3 2 2 5" xfId="28511"/>
    <cellStyle name="Total 3 2 2 5 2" xfId="37267"/>
    <cellStyle name="Total 3 2 2 6" xfId="25775"/>
    <cellStyle name="Total 3 2 2 6 2" xfId="34542"/>
    <cellStyle name="Total 3 2 2 7" xfId="28693"/>
    <cellStyle name="Total 3 2 2 7 2" xfId="37449"/>
    <cellStyle name="Total 3 2 2 8" xfId="26746"/>
    <cellStyle name="Total 3 2 2 8 2" xfId="35508"/>
    <cellStyle name="Total 3 2 2 9" xfId="32760"/>
    <cellStyle name="Total 3 2 3" xfId="15051"/>
    <cellStyle name="Total 3 2 3 10" xfId="24770"/>
    <cellStyle name="Total 3 2 3 10 2" xfId="33546"/>
    <cellStyle name="Total 3 2 3 11" xfId="25139"/>
    <cellStyle name="Total 3 2 3 11 2" xfId="33910"/>
    <cellStyle name="Total 3 2 3 12" xfId="32856"/>
    <cellStyle name="Total 3 2 3 2" xfId="24346"/>
    <cellStyle name="Total 3 2 3 2 10" xfId="32130"/>
    <cellStyle name="Total 3 2 3 2 10 2" xfId="40884"/>
    <cellStyle name="Total 3 2 3 2 11" xfId="33205"/>
    <cellStyle name="Total 3 2 3 2 2" xfId="28981"/>
    <cellStyle name="Total 3 2 3 2 2 2" xfId="37735"/>
    <cellStyle name="Total 3 2 3 2 3" xfId="29394"/>
    <cellStyle name="Total 3 2 3 2 3 2" xfId="38148"/>
    <cellStyle name="Total 3 2 3 2 4" xfId="29818"/>
    <cellStyle name="Total 3 2 3 2 4 2" xfId="38572"/>
    <cellStyle name="Total 3 2 3 2 5" xfId="30233"/>
    <cellStyle name="Total 3 2 3 2 5 2" xfId="38987"/>
    <cellStyle name="Total 3 2 3 2 6" xfId="30634"/>
    <cellStyle name="Total 3 2 3 2 6 2" xfId="39388"/>
    <cellStyle name="Total 3 2 3 2 7" xfId="31021"/>
    <cellStyle name="Total 3 2 3 2 7 2" xfId="39775"/>
    <cellStyle name="Total 3 2 3 2 8" xfId="31400"/>
    <cellStyle name="Total 3 2 3 2 8 2" xfId="40154"/>
    <cellStyle name="Total 3 2 3 2 9" xfId="31768"/>
    <cellStyle name="Total 3 2 3 2 9 2" xfId="40522"/>
    <cellStyle name="Total 3 2 3 3" xfId="27116"/>
    <cellStyle name="Total 3 2 3 3 2" xfId="35876"/>
    <cellStyle name="Total 3 2 3 4" xfId="26437"/>
    <cellStyle name="Total 3 2 3 4 2" xfId="35202"/>
    <cellStyle name="Total 3 2 3 5" xfId="26744"/>
    <cellStyle name="Total 3 2 3 5 2" xfId="35506"/>
    <cellStyle name="Total 3 2 3 6" xfId="26392"/>
    <cellStyle name="Total 3 2 3 6 2" xfId="35158"/>
    <cellStyle name="Total 3 2 3 7" xfId="27432"/>
    <cellStyle name="Total 3 2 3 7 2" xfId="36192"/>
    <cellStyle name="Total 3 2 3 8" xfId="27182"/>
    <cellStyle name="Total 3 2 3 8 2" xfId="35942"/>
    <cellStyle name="Total 3 2 3 9" xfId="27304"/>
    <cellStyle name="Total 3 2 3 9 2" xfId="36064"/>
    <cellStyle name="Total 3 2 4" xfId="18172"/>
    <cellStyle name="Total 3 2 4 10" xfId="26463"/>
    <cellStyle name="Total 3 2 4 10 2" xfId="35228"/>
    <cellStyle name="Total 3 2 4 11" xfId="27452"/>
    <cellStyle name="Total 3 2 4 11 2" xfId="36212"/>
    <cellStyle name="Total 3 2 4 12" xfId="32916"/>
    <cellStyle name="Total 3 2 4 2" xfId="24442"/>
    <cellStyle name="Total 3 2 4 2 10" xfId="32195"/>
    <cellStyle name="Total 3 2 4 2 10 2" xfId="40949"/>
    <cellStyle name="Total 3 2 4 2 11" xfId="33270"/>
    <cellStyle name="Total 3 2 4 2 2" xfId="29050"/>
    <cellStyle name="Total 3 2 4 2 2 2" xfId="37804"/>
    <cellStyle name="Total 3 2 4 2 3" xfId="29463"/>
    <cellStyle name="Total 3 2 4 2 3 2" xfId="38217"/>
    <cellStyle name="Total 3 2 4 2 4" xfId="29883"/>
    <cellStyle name="Total 3 2 4 2 4 2" xfId="38637"/>
    <cellStyle name="Total 3 2 4 2 5" xfId="30302"/>
    <cellStyle name="Total 3 2 4 2 5 2" xfId="39056"/>
    <cellStyle name="Total 3 2 4 2 6" xfId="30703"/>
    <cellStyle name="Total 3 2 4 2 6 2" xfId="39457"/>
    <cellStyle name="Total 3 2 4 2 7" xfId="31089"/>
    <cellStyle name="Total 3 2 4 2 7 2" xfId="39843"/>
    <cellStyle name="Total 3 2 4 2 8" xfId="31467"/>
    <cellStyle name="Total 3 2 4 2 8 2" xfId="40221"/>
    <cellStyle name="Total 3 2 4 2 9" xfId="31833"/>
    <cellStyle name="Total 3 2 4 2 9 2" xfId="40587"/>
    <cellStyle name="Total 3 2 4 3" xfId="27662"/>
    <cellStyle name="Total 3 2 4 3 2" xfId="36422"/>
    <cellStyle name="Total 3 2 4 4" xfId="25187"/>
    <cellStyle name="Total 3 2 4 4 2" xfId="33958"/>
    <cellStyle name="Total 3 2 4 5" xfId="26092"/>
    <cellStyle name="Total 3 2 4 5 2" xfId="34858"/>
    <cellStyle name="Total 3 2 4 6" xfId="27202"/>
    <cellStyle name="Total 3 2 4 6 2" xfId="35962"/>
    <cellStyle name="Total 3 2 4 7" xfId="26244"/>
    <cellStyle name="Total 3 2 4 7 2" xfId="35010"/>
    <cellStyle name="Total 3 2 4 8" xfId="25474"/>
    <cellStyle name="Total 3 2 4 8 2" xfId="34243"/>
    <cellStyle name="Total 3 2 4 9" xfId="26771"/>
    <cellStyle name="Total 3 2 4 9 2" xfId="35533"/>
    <cellStyle name="Total 3 2 5" xfId="23614"/>
    <cellStyle name="Total 3 2 5 10" xfId="25385"/>
    <cellStyle name="Total 3 2 5 10 2" xfId="34154"/>
    <cellStyle name="Total 3 2 5 11" xfId="25997"/>
    <cellStyle name="Total 3 2 5 11 2" xfId="34763"/>
    <cellStyle name="Total 3 2 5 12" xfId="33084"/>
    <cellStyle name="Total 3 2 5 2" xfId="24669"/>
    <cellStyle name="Total 3 2 5 2 10" xfId="32370"/>
    <cellStyle name="Total 3 2 5 2 10 2" xfId="41124"/>
    <cellStyle name="Total 3 2 5 2 11" xfId="33445"/>
    <cellStyle name="Total 3 2 5 2 2" xfId="29234"/>
    <cellStyle name="Total 3 2 5 2 2 2" xfId="37988"/>
    <cellStyle name="Total 3 2 5 2 3" xfId="29644"/>
    <cellStyle name="Total 3 2 5 2 3 2" xfId="38398"/>
    <cellStyle name="Total 3 2 5 2 4" xfId="30064"/>
    <cellStyle name="Total 3 2 5 2 4 2" xfId="38818"/>
    <cellStyle name="Total 3 2 5 2 5" xfId="30480"/>
    <cellStyle name="Total 3 2 5 2 5 2" xfId="39234"/>
    <cellStyle name="Total 3 2 5 2 6" xfId="30881"/>
    <cellStyle name="Total 3 2 5 2 6 2" xfId="39635"/>
    <cellStyle name="Total 3 2 5 2 7" xfId="31267"/>
    <cellStyle name="Total 3 2 5 2 7 2" xfId="40021"/>
    <cellStyle name="Total 3 2 5 2 8" xfId="31643"/>
    <cellStyle name="Total 3 2 5 2 8 2" xfId="40397"/>
    <cellStyle name="Total 3 2 5 2 9" xfId="32009"/>
    <cellStyle name="Total 3 2 5 2 9 2" xfId="40763"/>
    <cellStyle name="Total 3 2 5 3" xfId="28730"/>
    <cellStyle name="Total 3 2 5 3 2" xfId="37486"/>
    <cellStyle name="Total 3 2 5 4" xfId="24885"/>
    <cellStyle name="Total 3 2 5 4 2" xfId="33659"/>
    <cellStyle name="Total 3 2 5 5" xfId="28156"/>
    <cellStyle name="Total 3 2 5 5 2" xfId="36915"/>
    <cellStyle name="Total 3 2 5 6" xfId="26203"/>
    <cellStyle name="Total 3 2 5 6 2" xfId="34969"/>
    <cellStyle name="Total 3 2 5 7" xfId="26977"/>
    <cellStyle name="Total 3 2 5 7 2" xfId="35737"/>
    <cellStyle name="Total 3 2 5 8" xfId="26777"/>
    <cellStyle name="Total 3 2 5 8 2" xfId="35539"/>
    <cellStyle name="Total 3 2 5 9" xfId="25123"/>
    <cellStyle name="Total 3 2 5 9 2" xfId="33895"/>
    <cellStyle name="Total 3 2 6" xfId="26645"/>
    <cellStyle name="Total 3 2 6 2" xfId="35410"/>
    <cellStyle name="Total 3 2 7" xfId="24863"/>
    <cellStyle name="Total 3 2 7 2" xfId="33637"/>
    <cellStyle name="Total 3 2 8" xfId="27098"/>
    <cellStyle name="Total 3 2 8 2" xfId="35858"/>
    <cellStyle name="Total 3 2 9" xfId="24896"/>
    <cellStyle name="Total 3 2 9 2" xfId="33670"/>
    <cellStyle name="Total 3 3" xfId="6098"/>
    <cellStyle name="Total 3 3 10" xfId="1651"/>
    <cellStyle name="Total 3 3 10 2" xfId="32466"/>
    <cellStyle name="Total 3 3 11" xfId="32751"/>
    <cellStyle name="Total 3 3 2" xfId="18212"/>
    <cellStyle name="Total 3 3 2 10" xfId="28518"/>
    <cellStyle name="Total 3 3 2 10 2" xfId="37274"/>
    <cellStyle name="Total 3 3 2 11" xfId="29328"/>
    <cellStyle name="Total 3 3 2 11 2" xfId="38082"/>
    <cellStyle name="Total 3 3 2 12" xfId="32956"/>
    <cellStyle name="Total 3 3 2 2" xfId="24482"/>
    <cellStyle name="Total 3 3 2 2 10" xfId="32235"/>
    <cellStyle name="Total 3 3 2 2 10 2" xfId="40989"/>
    <cellStyle name="Total 3 3 2 2 11" xfId="33310"/>
    <cellStyle name="Total 3 3 2 2 2" xfId="29090"/>
    <cellStyle name="Total 3 3 2 2 2 2" xfId="37844"/>
    <cellStyle name="Total 3 3 2 2 3" xfId="29503"/>
    <cellStyle name="Total 3 3 2 2 3 2" xfId="38257"/>
    <cellStyle name="Total 3 3 2 2 4" xfId="29923"/>
    <cellStyle name="Total 3 3 2 2 4 2" xfId="38677"/>
    <cellStyle name="Total 3 3 2 2 5" xfId="30342"/>
    <cellStyle name="Total 3 3 2 2 5 2" xfId="39096"/>
    <cellStyle name="Total 3 3 2 2 6" xfId="30743"/>
    <cellStyle name="Total 3 3 2 2 6 2" xfId="39497"/>
    <cellStyle name="Total 3 3 2 2 7" xfId="31129"/>
    <cellStyle name="Total 3 3 2 2 7 2" xfId="39883"/>
    <cellStyle name="Total 3 3 2 2 8" xfId="31507"/>
    <cellStyle name="Total 3 3 2 2 8 2" xfId="40261"/>
    <cellStyle name="Total 3 3 2 2 9" xfId="31873"/>
    <cellStyle name="Total 3 3 2 2 9 2" xfId="40627"/>
    <cellStyle name="Total 3 3 2 3" xfId="27702"/>
    <cellStyle name="Total 3 3 2 3 2" xfId="36462"/>
    <cellStyle name="Total 3 3 2 4" xfId="28827"/>
    <cellStyle name="Total 3 3 2 4 2" xfId="37583"/>
    <cellStyle name="Total 3 3 2 5" xfId="27352"/>
    <cellStyle name="Total 3 3 2 5 2" xfId="36112"/>
    <cellStyle name="Total 3 3 2 6" xfId="26342"/>
    <cellStyle name="Total 3 3 2 6 2" xfId="35108"/>
    <cellStyle name="Total 3 3 2 7" xfId="25645"/>
    <cellStyle name="Total 3 3 2 7 2" xfId="34412"/>
    <cellStyle name="Total 3 3 2 8" xfId="25386"/>
    <cellStyle name="Total 3 3 2 8 2" xfId="34155"/>
    <cellStyle name="Total 3 3 2 9" xfId="28598"/>
    <cellStyle name="Total 3 3 2 9 2" xfId="37354"/>
    <cellStyle name="Total 3 3 3" xfId="15057"/>
    <cellStyle name="Total 3 3 3 10" xfId="25777"/>
    <cellStyle name="Total 3 3 3 10 2" xfId="34544"/>
    <cellStyle name="Total 3 3 3 11" xfId="32858"/>
    <cellStyle name="Total 3 3 3 2" xfId="27119"/>
    <cellStyle name="Total 3 3 3 2 2" xfId="35879"/>
    <cellStyle name="Total 3 3 3 3" xfId="25256"/>
    <cellStyle name="Total 3 3 3 3 2" xfId="34026"/>
    <cellStyle name="Total 3 3 3 4" xfId="26899"/>
    <cellStyle name="Total 3 3 3 4 2" xfId="35659"/>
    <cellStyle name="Total 3 3 3 5" xfId="26047"/>
    <cellStyle name="Total 3 3 3 5 2" xfId="34813"/>
    <cellStyle name="Total 3 3 3 6" xfId="26862"/>
    <cellStyle name="Total 3 3 3 6 2" xfId="35623"/>
    <cellStyle name="Total 3 3 3 7" xfId="25768"/>
    <cellStyle name="Total 3 3 3 7 2" xfId="34535"/>
    <cellStyle name="Total 3 3 3 8" xfId="25428"/>
    <cellStyle name="Total 3 3 3 8 2" xfId="34197"/>
    <cellStyle name="Total 3 3 3 9" xfId="26157"/>
    <cellStyle name="Total 3 3 3 9 2" xfId="34923"/>
    <cellStyle name="Total 3 3 4" xfId="24348"/>
    <cellStyle name="Total 3 3 4 10" xfId="32132"/>
    <cellStyle name="Total 3 3 4 10 2" xfId="40886"/>
    <cellStyle name="Total 3 3 4 11" xfId="33207"/>
    <cellStyle name="Total 3 3 4 2" xfId="28983"/>
    <cellStyle name="Total 3 3 4 2 2" xfId="37737"/>
    <cellStyle name="Total 3 3 4 3" xfId="29396"/>
    <cellStyle name="Total 3 3 4 3 2" xfId="38150"/>
    <cellStyle name="Total 3 3 4 4" xfId="29820"/>
    <cellStyle name="Total 3 3 4 4 2" xfId="38574"/>
    <cellStyle name="Total 3 3 4 5" xfId="30235"/>
    <cellStyle name="Total 3 3 4 5 2" xfId="38989"/>
    <cellStyle name="Total 3 3 4 6" xfId="30636"/>
    <cellStyle name="Total 3 3 4 6 2" xfId="39390"/>
    <cellStyle name="Total 3 3 4 7" xfId="31023"/>
    <cellStyle name="Total 3 3 4 7 2" xfId="39777"/>
    <cellStyle name="Total 3 3 4 8" xfId="31402"/>
    <cellStyle name="Total 3 3 4 8 2" xfId="40156"/>
    <cellStyle name="Total 3 3 4 9" xfId="31770"/>
    <cellStyle name="Total 3 3 4 9 2" xfId="40524"/>
    <cellStyle name="Total 3 3 5" xfId="26709"/>
    <cellStyle name="Total 3 3 5 2" xfId="35472"/>
    <cellStyle name="Total 3 3 6" xfId="27869"/>
    <cellStyle name="Total 3 3 6 2" xfId="36629"/>
    <cellStyle name="Total 3 3 7" xfId="26060"/>
    <cellStyle name="Total 3 3 7 2" xfId="34826"/>
    <cellStyle name="Total 3 3 8" xfId="27046"/>
    <cellStyle name="Total 3 3 8 2" xfId="35806"/>
    <cellStyle name="Total 3 3 9" xfId="29606"/>
    <cellStyle name="Total 3 3 9 2" xfId="38360"/>
    <cellStyle name="Total 3 4" xfId="9257"/>
    <cellStyle name="Total 3 4 10" xfId="24970"/>
    <cellStyle name="Total 3 4 10 2" xfId="33744"/>
    <cellStyle name="Total 3 4 11" xfId="25923"/>
    <cellStyle name="Total 3 4 11 2" xfId="34689"/>
    <cellStyle name="Total 3 4 12" xfId="32780"/>
    <cellStyle name="Total 3 4 2" xfId="18261"/>
    <cellStyle name="Total 3 4 2 10" xfId="30269"/>
    <cellStyle name="Total 3 4 2 10 2" xfId="39023"/>
    <cellStyle name="Total 3 4 2 11" xfId="30670"/>
    <cellStyle name="Total 3 4 2 11 2" xfId="39424"/>
    <cellStyle name="Total 3 4 2 12" xfId="33005"/>
    <cellStyle name="Total 3 4 2 2" xfId="24531"/>
    <cellStyle name="Total 3 4 2 2 10" xfId="32284"/>
    <cellStyle name="Total 3 4 2 2 10 2" xfId="41038"/>
    <cellStyle name="Total 3 4 2 2 11" xfId="33359"/>
    <cellStyle name="Total 3 4 2 2 2" xfId="29139"/>
    <cellStyle name="Total 3 4 2 2 2 2" xfId="37893"/>
    <cellStyle name="Total 3 4 2 2 3" xfId="29552"/>
    <cellStyle name="Total 3 4 2 2 3 2" xfId="38306"/>
    <cellStyle name="Total 3 4 2 2 4" xfId="29972"/>
    <cellStyle name="Total 3 4 2 2 4 2" xfId="38726"/>
    <cellStyle name="Total 3 4 2 2 5" xfId="30391"/>
    <cellStyle name="Total 3 4 2 2 5 2" xfId="39145"/>
    <cellStyle name="Total 3 4 2 2 6" xfId="30792"/>
    <cellStyle name="Total 3 4 2 2 6 2" xfId="39546"/>
    <cellStyle name="Total 3 4 2 2 7" xfId="31178"/>
    <cellStyle name="Total 3 4 2 2 7 2" xfId="39932"/>
    <cellStyle name="Total 3 4 2 2 8" xfId="31556"/>
    <cellStyle name="Total 3 4 2 2 8 2" xfId="40310"/>
    <cellStyle name="Total 3 4 2 2 9" xfId="31922"/>
    <cellStyle name="Total 3 4 2 2 9 2" xfId="40676"/>
    <cellStyle name="Total 3 4 2 3" xfId="27751"/>
    <cellStyle name="Total 3 4 2 3 2" xfId="36511"/>
    <cellStyle name="Total 3 4 2 4" xfId="28355"/>
    <cellStyle name="Total 3 4 2 4 2" xfId="37114"/>
    <cellStyle name="Total 3 4 2 5" xfId="25071"/>
    <cellStyle name="Total 3 4 2 5 2" xfId="33845"/>
    <cellStyle name="Total 3 4 2 6" xfId="28465"/>
    <cellStyle name="Total 3 4 2 6 2" xfId="37222"/>
    <cellStyle name="Total 3 4 2 7" xfId="27557"/>
    <cellStyle name="Total 3 4 2 7 2" xfId="36317"/>
    <cellStyle name="Total 3 4 2 8" xfId="27054"/>
    <cellStyle name="Total 3 4 2 8 2" xfId="35814"/>
    <cellStyle name="Total 3 4 2 9" xfId="24800"/>
    <cellStyle name="Total 3 4 2 9 2" xfId="33576"/>
    <cellStyle name="Total 3 4 3" xfId="23672"/>
    <cellStyle name="Total 3 4 3 10" xfId="26513"/>
    <cellStyle name="Total 3 4 3 10 2" xfId="35278"/>
    <cellStyle name="Total 3 4 3 11" xfId="28586"/>
    <cellStyle name="Total 3 4 3 11 2" xfId="37342"/>
    <cellStyle name="Total 3 4 3 12" xfId="33142"/>
    <cellStyle name="Total 3 4 3 2" xfId="24727"/>
    <cellStyle name="Total 3 4 3 2 10" xfId="32428"/>
    <cellStyle name="Total 3 4 3 2 10 2" xfId="41182"/>
    <cellStyle name="Total 3 4 3 2 11" xfId="33503"/>
    <cellStyle name="Total 3 4 3 2 2" xfId="29292"/>
    <cellStyle name="Total 3 4 3 2 2 2" xfId="38046"/>
    <cellStyle name="Total 3 4 3 2 3" xfId="29702"/>
    <cellStyle name="Total 3 4 3 2 3 2" xfId="38456"/>
    <cellStyle name="Total 3 4 3 2 4" xfId="30122"/>
    <cellStyle name="Total 3 4 3 2 4 2" xfId="38876"/>
    <cellStyle name="Total 3 4 3 2 5" xfId="30538"/>
    <cellStyle name="Total 3 4 3 2 5 2" xfId="39292"/>
    <cellStyle name="Total 3 4 3 2 6" xfId="30939"/>
    <cellStyle name="Total 3 4 3 2 6 2" xfId="39693"/>
    <cellStyle name="Total 3 4 3 2 7" xfId="31325"/>
    <cellStyle name="Total 3 4 3 2 7 2" xfId="40079"/>
    <cellStyle name="Total 3 4 3 2 8" xfId="31701"/>
    <cellStyle name="Total 3 4 3 2 8 2" xfId="40455"/>
    <cellStyle name="Total 3 4 3 2 9" xfId="32067"/>
    <cellStyle name="Total 3 4 3 2 9 2" xfId="40821"/>
    <cellStyle name="Total 3 4 3 3" xfId="28788"/>
    <cellStyle name="Total 3 4 3 3 2" xfId="37544"/>
    <cellStyle name="Total 3 4 3 4" xfId="26654"/>
    <cellStyle name="Total 3 4 3 4 2" xfId="35419"/>
    <cellStyle name="Total 3 4 3 5" xfId="28913"/>
    <cellStyle name="Total 3 4 3 5 2" xfId="37668"/>
    <cellStyle name="Total 3 4 3 6" xfId="26831"/>
    <cellStyle name="Total 3 4 3 6 2" xfId="35592"/>
    <cellStyle name="Total 3 4 3 7" xfId="27438"/>
    <cellStyle name="Total 3 4 3 7 2" xfId="36198"/>
    <cellStyle name="Total 3 4 3 8" xfId="26890"/>
    <cellStyle name="Total 3 4 3 8 2" xfId="35650"/>
    <cellStyle name="Total 3 4 3 9" xfId="26120"/>
    <cellStyle name="Total 3 4 3 9 2" xfId="34886"/>
    <cellStyle name="Total 3 4 4" xfId="25652"/>
    <cellStyle name="Total 3 4 4 2" xfId="34419"/>
    <cellStyle name="Total 3 4 5" xfId="26847"/>
    <cellStyle name="Total 3 4 5 2" xfId="35608"/>
    <cellStyle name="Total 3 4 6" xfId="28061"/>
    <cellStyle name="Total 3 4 6 2" xfId="36820"/>
    <cellStyle name="Total 3 4 7" xfId="25996"/>
    <cellStyle name="Total 3 4 7 2" xfId="34762"/>
    <cellStyle name="Total 3 4 8" xfId="24864"/>
    <cellStyle name="Total 3 4 8 2" xfId="33638"/>
    <cellStyle name="Total 3 4 9" xfId="28210"/>
    <cellStyle name="Total 3 4 9 2" xfId="36969"/>
    <cellStyle name="Total 3 5" xfId="42457"/>
    <cellStyle name="Total 3 6" xfId="44155"/>
    <cellStyle name="Total 4" xfId="6815"/>
    <cellStyle name="Total 4 2" xfId="9607"/>
    <cellStyle name="Total 4 2 10" xfId="25878"/>
    <cellStyle name="Total 4 2 10 2" xfId="34644"/>
    <cellStyle name="Total 4 2 11" xfId="30185"/>
    <cellStyle name="Total 4 2 11 2" xfId="38939"/>
    <cellStyle name="Total 4 2 12" xfId="30589"/>
    <cellStyle name="Total 4 2 12 2" xfId="39343"/>
    <cellStyle name="Total 4 2 13" xfId="42459"/>
    <cellStyle name="Total 4 2 14" xfId="43416"/>
    <cellStyle name="Total 4 2 2" xfId="18246"/>
    <cellStyle name="Total 4 2 2 10" xfId="28424"/>
    <cellStyle name="Total 4 2 2 10 2" xfId="37181"/>
    <cellStyle name="Total 4 2 2 11" xfId="32990"/>
    <cellStyle name="Total 4 2 2 2" xfId="27736"/>
    <cellStyle name="Total 4 2 2 2 2" xfId="36496"/>
    <cellStyle name="Total 4 2 2 3" xfId="27340"/>
    <cellStyle name="Total 4 2 2 3 2" xfId="36100"/>
    <cellStyle name="Total 4 2 2 4" xfId="25379"/>
    <cellStyle name="Total 4 2 2 4 2" xfId="34148"/>
    <cellStyle name="Total 4 2 2 5" xfId="25636"/>
    <cellStyle name="Total 4 2 2 5 2" xfId="34403"/>
    <cellStyle name="Total 4 2 2 6" xfId="26094"/>
    <cellStyle name="Total 4 2 2 6 2" xfId="34860"/>
    <cellStyle name="Total 4 2 2 7" xfId="28916"/>
    <cellStyle name="Total 4 2 2 7 2" xfId="37671"/>
    <cellStyle name="Total 4 2 2 8" xfId="28108"/>
    <cellStyle name="Total 4 2 2 8 2" xfId="36867"/>
    <cellStyle name="Total 4 2 2 9" xfId="25876"/>
    <cellStyle name="Total 4 2 2 9 2" xfId="34642"/>
    <cellStyle name="Total 4 2 3" xfId="24516"/>
    <cellStyle name="Total 4 2 3 10" xfId="32269"/>
    <cellStyle name="Total 4 2 3 10 2" xfId="41023"/>
    <cellStyle name="Total 4 2 3 11" xfId="33344"/>
    <cellStyle name="Total 4 2 3 2" xfId="29124"/>
    <cellStyle name="Total 4 2 3 2 2" xfId="37878"/>
    <cellStyle name="Total 4 2 3 3" xfId="29537"/>
    <cellStyle name="Total 4 2 3 3 2" xfId="38291"/>
    <cellStyle name="Total 4 2 3 4" xfId="29957"/>
    <cellStyle name="Total 4 2 3 4 2" xfId="38711"/>
    <cellStyle name="Total 4 2 3 5" xfId="30376"/>
    <cellStyle name="Total 4 2 3 5 2" xfId="39130"/>
    <cellStyle name="Total 4 2 3 6" xfId="30777"/>
    <cellStyle name="Total 4 2 3 6 2" xfId="39531"/>
    <cellStyle name="Total 4 2 3 7" xfId="31163"/>
    <cellStyle name="Total 4 2 3 7 2" xfId="39917"/>
    <cellStyle name="Total 4 2 3 8" xfId="31541"/>
    <cellStyle name="Total 4 2 3 8 2" xfId="40295"/>
    <cellStyle name="Total 4 2 3 9" xfId="31907"/>
    <cellStyle name="Total 4 2 3 9 2" xfId="40661"/>
    <cellStyle name="Total 4 2 4" xfId="26152"/>
    <cellStyle name="Total 4 2 4 2" xfId="34918"/>
    <cellStyle name="Total 4 2 5" xfId="28053"/>
    <cellStyle name="Total 4 2 5 2" xfId="36812"/>
    <cellStyle name="Total 4 2 6" xfId="27005"/>
    <cellStyle name="Total 4 2 6 2" xfId="35765"/>
    <cellStyle name="Total 4 2 7" xfId="27495"/>
    <cellStyle name="Total 4 2 7 2" xfId="36255"/>
    <cellStyle name="Total 4 2 8" xfId="27787"/>
    <cellStyle name="Total 4 2 8 2" xfId="36547"/>
    <cellStyle name="Total 4 2 9" xfId="1913"/>
    <cellStyle name="Total 4 2 9 2" xfId="32617"/>
    <cellStyle name="Total 4 3" xfId="23657"/>
    <cellStyle name="Total 4 3 10" xfId="27599"/>
    <cellStyle name="Total 4 3 10 2" xfId="36359"/>
    <cellStyle name="Total 4 3 11" xfId="26796"/>
    <cellStyle name="Total 4 3 11 2" xfId="35558"/>
    <cellStyle name="Total 4 3 12" xfId="33127"/>
    <cellStyle name="Total 4 3 2" xfId="24712"/>
    <cellStyle name="Total 4 3 2 10" xfId="32413"/>
    <cellStyle name="Total 4 3 2 10 2" xfId="41167"/>
    <cellStyle name="Total 4 3 2 11" xfId="33488"/>
    <cellStyle name="Total 4 3 2 2" xfId="29277"/>
    <cellStyle name="Total 4 3 2 2 2" xfId="38031"/>
    <cellStyle name="Total 4 3 2 3" xfId="29687"/>
    <cellStyle name="Total 4 3 2 3 2" xfId="38441"/>
    <cellStyle name="Total 4 3 2 4" xfId="30107"/>
    <cellStyle name="Total 4 3 2 4 2" xfId="38861"/>
    <cellStyle name="Total 4 3 2 5" xfId="30523"/>
    <cellStyle name="Total 4 3 2 5 2" xfId="39277"/>
    <cellStyle name="Total 4 3 2 6" xfId="30924"/>
    <cellStyle name="Total 4 3 2 6 2" xfId="39678"/>
    <cellStyle name="Total 4 3 2 7" xfId="31310"/>
    <cellStyle name="Total 4 3 2 7 2" xfId="40064"/>
    <cellStyle name="Total 4 3 2 8" xfId="31686"/>
    <cellStyle name="Total 4 3 2 8 2" xfId="40440"/>
    <cellStyle name="Total 4 3 2 9" xfId="32052"/>
    <cellStyle name="Total 4 3 2 9 2" xfId="40806"/>
    <cellStyle name="Total 4 3 3" xfId="28773"/>
    <cellStyle name="Total 4 3 3 2" xfId="37529"/>
    <cellStyle name="Total 4 3 4" xfId="25062"/>
    <cellStyle name="Total 4 3 4 2" xfId="33836"/>
    <cellStyle name="Total 4 3 5" xfId="25855"/>
    <cellStyle name="Total 4 3 5 2" xfId="34621"/>
    <cellStyle name="Total 4 3 6" xfId="26347"/>
    <cellStyle name="Total 4 3 6 2" xfId="35113"/>
    <cellStyle name="Total 4 3 7" xfId="28912"/>
    <cellStyle name="Total 4 3 7 2" xfId="37667"/>
    <cellStyle name="Total 4 3 8" xfId="25519"/>
    <cellStyle name="Total 4 3 8 2" xfId="34288"/>
    <cellStyle name="Total 4 3 9" xfId="2884"/>
    <cellStyle name="Total 4 3 9 2" xfId="32673"/>
    <cellStyle name="Total 4 4" xfId="24612"/>
    <cellStyle name="Total 4 4 10" xfId="32342"/>
    <cellStyle name="Total 4 4 10 2" xfId="41096"/>
    <cellStyle name="Total 4 4 11" xfId="33417"/>
    <cellStyle name="Total 4 4 2" xfId="29201"/>
    <cellStyle name="Total 4 4 2 2" xfId="37955"/>
    <cellStyle name="Total 4 4 3" xfId="29612"/>
    <cellStyle name="Total 4 4 3 2" xfId="38366"/>
    <cellStyle name="Total 4 4 4" xfId="30033"/>
    <cellStyle name="Total 4 4 4 2" xfId="38787"/>
    <cellStyle name="Total 4 4 5" xfId="30450"/>
    <cellStyle name="Total 4 4 5 2" xfId="39204"/>
    <cellStyle name="Total 4 4 6" xfId="30851"/>
    <cellStyle name="Total 4 4 6 2" xfId="39605"/>
    <cellStyle name="Total 4 4 7" xfId="31237"/>
    <cellStyle name="Total 4 4 7 2" xfId="39991"/>
    <cellStyle name="Total 4 4 8" xfId="31614"/>
    <cellStyle name="Total 4 4 8 2" xfId="40368"/>
    <cellStyle name="Total 4 4 9" xfId="31980"/>
    <cellStyle name="Total 4 4 9 2" xfId="40734"/>
    <cellStyle name="Total 4 5" xfId="32765"/>
    <cellStyle name="Total 5" xfId="42460"/>
    <cellStyle name="Total 5 2" xfId="42461"/>
    <cellStyle name="Total 5 2 2" xfId="43258"/>
    <cellStyle name="Total 5 2 3" xfId="43418"/>
    <cellStyle name="Total 5 2 4" xfId="43269"/>
    <cellStyle name="Total 5 2 5" xfId="43915"/>
    <cellStyle name="Total 5 3" xfId="43257"/>
    <cellStyle name="Total 5 4" xfId="43417"/>
    <cellStyle name="Total 5 5" xfId="43270"/>
    <cellStyle name="Total 5 6" xfId="43914"/>
    <cellStyle name="Total 6" xfId="42981"/>
    <cellStyle name="Warning Text" xfId="30" builtinId="11" customBuiltin="1"/>
    <cellStyle name="Warning Text 2" xfId="94"/>
    <cellStyle name="Warning Text 2 2" xfId="999"/>
    <cellStyle name="Warning Text 2 2 2" xfId="2821"/>
    <cellStyle name="Warning Text 2 2 3" xfId="23821"/>
    <cellStyle name="Warning Text 2 2 4" xfId="2112"/>
    <cellStyle name="Warning Text 2 3" xfId="5975"/>
    <cellStyle name="Warning Text 2 3 2" xfId="43079"/>
    <cellStyle name="Warning Text 2 4" xfId="44215"/>
    <cellStyle name="Warning Text 2 5" xfId="289"/>
    <cellStyle name="Warning Text 3" xfId="5976"/>
    <cellStyle name="Warning Text 3 2" xfId="44153"/>
    <cellStyle name="Warning Text 4" xfId="42978"/>
    <cellStyle name="XComma" xfId="481"/>
    <cellStyle name="XComma 0.0" xfId="482"/>
    <cellStyle name="XComma 0.0 2" xfId="483"/>
    <cellStyle name="XComma 0.0 2 2" xfId="1939"/>
    <cellStyle name="XComma 0.0 3" xfId="667"/>
    <cellStyle name="XComma 0.00" xfId="484"/>
    <cellStyle name="XComma 0.00 2" xfId="485"/>
    <cellStyle name="XComma 0.00 2 2" xfId="1940"/>
    <cellStyle name="XComma 0.00 3" xfId="668"/>
    <cellStyle name="XComma 0.000" xfId="486"/>
    <cellStyle name="XComma 0.000 2" xfId="487"/>
    <cellStyle name="XComma 0.000 2 2" xfId="1941"/>
    <cellStyle name="XComma 0.000 3" xfId="669"/>
    <cellStyle name="XComma 10" xfId="539"/>
    <cellStyle name="XComma 100" xfId="2512"/>
    <cellStyle name="XComma 101" xfId="2436"/>
    <cellStyle name="XComma 102" xfId="2499"/>
    <cellStyle name="XComma 103" xfId="1871"/>
    <cellStyle name="XComma 104" xfId="2528"/>
    <cellStyle name="XComma 105" xfId="1976"/>
    <cellStyle name="XComma 106" xfId="1985"/>
    <cellStyle name="XComma 107" xfId="2432"/>
    <cellStyle name="XComma 108" xfId="2536"/>
    <cellStyle name="XComma 109" xfId="2508"/>
    <cellStyle name="XComma 11" xfId="520"/>
    <cellStyle name="XComma 110" xfId="1975"/>
    <cellStyle name="XComma 111" xfId="1898"/>
    <cellStyle name="XComma 112" xfId="2172"/>
    <cellStyle name="XComma 113" xfId="2546"/>
    <cellStyle name="XComma 114" xfId="1905"/>
    <cellStyle name="XComma 115" xfId="2545"/>
    <cellStyle name="XComma 116" xfId="2518"/>
    <cellStyle name="XComma 117" xfId="2548"/>
    <cellStyle name="XComma 118" xfId="2513"/>
    <cellStyle name="XComma 119" xfId="2561"/>
    <cellStyle name="XComma 12" xfId="538"/>
    <cellStyle name="XComma 120" xfId="2557"/>
    <cellStyle name="XComma 121" xfId="2562"/>
    <cellStyle name="XComma 122" xfId="2569"/>
    <cellStyle name="XComma 123" xfId="2568"/>
    <cellStyle name="XComma 124" xfId="3141"/>
    <cellStyle name="XComma 125" xfId="3086"/>
    <cellStyle name="XComma 126" xfId="3142"/>
    <cellStyle name="XComma 127" xfId="3087"/>
    <cellStyle name="XComma 128" xfId="3150"/>
    <cellStyle name="XComma 129" xfId="5977"/>
    <cellStyle name="XComma 13" xfId="519"/>
    <cellStyle name="XComma 130" xfId="5978"/>
    <cellStyle name="XComma 131" xfId="5979"/>
    <cellStyle name="XComma 132" xfId="5980"/>
    <cellStyle name="XComma 133" xfId="5981"/>
    <cellStyle name="XComma 134" xfId="5982"/>
    <cellStyle name="XComma 135" xfId="5983"/>
    <cellStyle name="XComma 136" xfId="5984"/>
    <cellStyle name="XComma 137" xfId="5985"/>
    <cellStyle name="XComma 138" xfId="5986"/>
    <cellStyle name="XComma 139" xfId="5987"/>
    <cellStyle name="XComma 14" xfId="540"/>
    <cellStyle name="XComma 140" xfId="5988"/>
    <cellStyle name="XComma 141" xfId="5989"/>
    <cellStyle name="XComma 142" xfId="5990"/>
    <cellStyle name="XComma 143" xfId="5991"/>
    <cellStyle name="XComma 144" xfId="5992"/>
    <cellStyle name="XComma 145" xfId="6099"/>
    <cellStyle name="XComma 146" xfId="6102"/>
    <cellStyle name="XComma 147" xfId="6210"/>
    <cellStyle name="XComma 148" xfId="6640"/>
    <cellStyle name="XComma 149" xfId="6687"/>
    <cellStyle name="XComma 15" xfId="515"/>
    <cellStyle name="XComma 150" xfId="6721"/>
    <cellStyle name="XComma 151" xfId="6667"/>
    <cellStyle name="XComma 152" xfId="6695"/>
    <cellStyle name="XComma 153" xfId="6651"/>
    <cellStyle name="XComma 154" xfId="6711"/>
    <cellStyle name="XComma 155" xfId="6634"/>
    <cellStyle name="XComma 156" xfId="6686"/>
    <cellStyle name="XComma 157" xfId="6663"/>
    <cellStyle name="XComma 158" xfId="6719"/>
    <cellStyle name="XComma 159" xfId="6708"/>
    <cellStyle name="XComma 16" xfId="537"/>
    <cellStyle name="XComma 160" xfId="6657"/>
    <cellStyle name="XComma 161" xfId="6642"/>
    <cellStyle name="XComma 162" xfId="6644"/>
    <cellStyle name="XComma 163" xfId="6671"/>
    <cellStyle name="XComma 164" xfId="6637"/>
    <cellStyle name="XComma 165" xfId="6655"/>
    <cellStyle name="XComma 166" xfId="6739"/>
    <cellStyle name="XComma 167" xfId="6742"/>
    <cellStyle name="XComma 168" xfId="6047"/>
    <cellStyle name="XComma 169" xfId="6045"/>
    <cellStyle name="XComma 17" xfId="514"/>
    <cellStyle name="XComma 170" xfId="6817"/>
    <cellStyle name="XComma 171" xfId="6866"/>
    <cellStyle name="XComma 172" xfId="7049"/>
    <cellStyle name="XComma 173" xfId="9548"/>
    <cellStyle name="XComma 174" xfId="6859"/>
    <cellStyle name="XComma 175" xfId="9549"/>
    <cellStyle name="XComma 176" xfId="9551"/>
    <cellStyle name="XComma 177" xfId="9558"/>
    <cellStyle name="XComma 178" xfId="7099"/>
    <cellStyle name="XComma 179" xfId="9608"/>
    <cellStyle name="XComma 18" xfId="1005"/>
    <cellStyle name="XComma 180" xfId="9615"/>
    <cellStyle name="XComma 181" xfId="9622"/>
    <cellStyle name="XComma 182" xfId="9770"/>
    <cellStyle name="XComma 183" xfId="9761"/>
    <cellStyle name="XComma 184" xfId="9617"/>
    <cellStyle name="XComma 185" xfId="9616"/>
    <cellStyle name="XComma 186" xfId="9620"/>
    <cellStyle name="XComma 187" xfId="9854"/>
    <cellStyle name="XComma 188" xfId="9857"/>
    <cellStyle name="XComma 189" xfId="10080"/>
    <cellStyle name="XComma 19" xfId="921"/>
    <cellStyle name="XComma 190" xfId="10118"/>
    <cellStyle name="XComma 191" xfId="10117"/>
    <cellStyle name="XComma 2" xfId="488"/>
    <cellStyle name="XComma 2 2" xfId="1942"/>
    <cellStyle name="XComma 20" xfId="1007"/>
    <cellStyle name="XComma 21" xfId="1032"/>
    <cellStyle name="XComma 22" xfId="1026"/>
    <cellStyle name="XComma 23" xfId="1050"/>
    <cellStyle name="XComma 24" xfId="1045"/>
    <cellStyle name="XComma 25" xfId="1053"/>
    <cellStyle name="XComma 26" xfId="1048"/>
    <cellStyle name="XComma 27" xfId="1042"/>
    <cellStyle name="XComma 28" xfId="1046"/>
    <cellStyle name="XComma 29" xfId="879"/>
    <cellStyle name="XComma 3" xfId="489"/>
    <cellStyle name="XComma 3 2" xfId="1943"/>
    <cellStyle name="XComma 30" xfId="1064"/>
    <cellStyle name="XComma 31" xfId="1101"/>
    <cellStyle name="XComma 32" xfId="1149"/>
    <cellStyle name="XComma 33" xfId="1195"/>
    <cellStyle name="XComma 34" xfId="1201"/>
    <cellStyle name="XComma 35" xfId="1231"/>
    <cellStyle name="XComma 36" xfId="1252"/>
    <cellStyle name="XComma 37" xfId="1243"/>
    <cellStyle name="XComma 38" xfId="1239"/>
    <cellStyle name="XComma 39" xfId="1247"/>
    <cellStyle name="XComma 4" xfId="490"/>
    <cellStyle name="XComma 4 2" xfId="1944"/>
    <cellStyle name="XComma 40" xfId="1233"/>
    <cellStyle name="XComma 41" xfId="1257"/>
    <cellStyle name="XComma 42" xfId="1246"/>
    <cellStyle name="XComma 43" xfId="1251"/>
    <cellStyle name="XComma 44" xfId="1209"/>
    <cellStyle name="XComma 45" xfId="1221"/>
    <cellStyle name="XComma 46" xfId="1249"/>
    <cellStyle name="XComma 47" xfId="1203"/>
    <cellStyle name="XComma 48" xfId="1222"/>
    <cellStyle name="XComma 49" xfId="1220"/>
    <cellStyle name="XComma 5" xfId="491"/>
    <cellStyle name="XComma 5 2" xfId="1945"/>
    <cellStyle name="XComma 50" xfId="1167"/>
    <cellStyle name="XComma 51" xfId="1254"/>
    <cellStyle name="XComma 52" xfId="1267"/>
    <cellStyle name="XComma 53" xfId="1280"/>
    <cellStyle name="XComma 54" xfId="1273"/>
    <cellStyle name="XComma 55" xfId="1294"/>
    <cellStyle name="XComma 56" xfId="1522"/>
    <cellStyle name="XComma 57" xfId="2418"/>
    <cellStyle name="XComma 58" xfId="2437"/>
    <cellStyle name="XComma 59" xfId="2435"/>
    <cellStyle name="XComma 6" xfId="492"/>
    <cellStyle name="XComma 6 2" xfId="1946"/>
    <cellStyle name="XComma 60" xfId="2408"/>
    <cellStyle name="XComma 61" xfId="2430"/>
    <cellStyle name="XComma 62" xfId="2412"/>
    <cellStyle name="XComma 63" xfId="2417"/>
    <cellStyle name="XComma 64" xfId="2406"/>
    <cellStyle name="XComma 65" xfId="2401"/>
    <cellStyle name="XComma 66" xfId="2453"/>
    <cellStyle name="XComma 67" xfId="2451"/>
    <cellStyle name="XComma 68" xfId="2454"/>
    <cellStyle name="XComma 69" xfId="2450"/>
    <cellStyle name="XComma 7" xfId="493"/>
    <cellStyle name="XComma 7 2" xfId="1947"/>
    <cellStyle name="XComma 70" xfId="2455"/>
    <cellStyle name="XComma 71" xfId="2476"/>
    <cellStyle name="XComma 72" xfId="2467"/>
    <cellStyle name="XComma 73" xfId="2468"/>
    <cellStyle name="XComma 74" xfId="2466"/>
    <cellStyle name="XComma 75" xfId="2472"/>
    <cellStyle name="XComma 76" xfId="2475"/>
    <cellStyle name="XComma 77" xfId="2473"/>
    <cellStyle name="XComma 78" xfId="2465"/>
    <cellStyle name="XComma 79" xfId="2474"/>
    <cellStyle name="XComma 8" xfId="494"/>
    <cellStyle name="XComma 8 2" xfId="1948"/>
    <cellStyle name="XComma 80" xfId="2464"/>
    <cellStyle name="XComma 81" xfId="2471"/>
    <cellStyle name="XComma 82" xfId="2470"/>
    <cellStyle name="XComma 83" xfId="2477"/>
    <cellStyle name="XComma 84" xfId="2462"/>
    <cellStyle name="XComma 85" xfId="1908"/>
    <cellStyle name="XComma 86" xfId="1899"/>
    <cellStyle name="XComma 87" xfId="2509"/>
    <cellStyle name="XComma 88" xfId="1977"/>
    <cellStyle name="XComma 89" xfId="2506"/>
    <cellStyle name="XComma 9" xfId="495"/>
    <cellStyle name="XComma 9 2" xfId="1949"/>
    <cellStyle name="XComma 90" xfId="1872"/>
    <cellStyle name="XComma 91" xfId="1892"/>
    <cellStyle name="XComma 92" xfId="2346"/>
    <cellStyle name="XComma 93" xfId="1874"/>
    <cellStyle name="XComma 94" xfId="1938"/>
    <cellStyle name="XComma 95" xfId="1873"/>
    <cellStyle name="XComma 96" xfId="1890"/>
    <cellStyle name="XComma 97" xfId="1894"/>
    <cellStyle name="XComma 98" xfId="2250"/>
    <cellStyle name="XComma 99" xfId="1968"/>
    <cellStyle name="XComma_Black-Scholes Model - 2004 Options" xfId="496"/>
    <cellStyle name="XCurrency" xfId="497"/>
    <cellStyle name="XCurrency 0.0" xfId="498"/>
    <cellStyle name="XCurrency 0.0 2" xfId="499"/>
    <cellStyle name="XCurrency 0.0 2 2" xfId="1950"/>
    <cellStyle name="XCurrency 0.0 3" xfId="670"/>
    <cellStyle name="XCurrency 0.00" xfId="500"/>
    <cellStyle name="XCurrency 0.00 2" xfId="501"/>
    <cellStyle name="XCurrency 0.00 2 2" xfId="1952"/>
    <cellStyle name="XCurrency 0.00 3" xfId="671"/>
    <cellStyle name="XCurrency 0.000" xfId="502"/>
    <cellStyle name="XCurrency 0.000 2" xfId="503"/>
    <cellStyle name="XCurrency 0.000 2 2" xfId="1953"/>
    <cellStyle name="XCurrency 0.000 3" xfId="672"/>
    <cellStyle name="XCurrency 10" xfId="542"/>
    <cellStyle name="XCurrency 100" xfId="1906"/>
    <cellStyle name="XCurrency 101" xfId="1995"/>
    <cellStyle name="XCurrency 102" xfId="2003"/>
    <cellStyle name="XCurrency 103" xfId="1991"/>
    <cellStyle name="XCurrency 104" xfId="2510"/>
    <cellStyle name="XCurrency 105" xfId="2500"/>
    <cellStyle name="XCurrency 106" xfId="2522"/>
    <cellStyle name="XCurrency 107" xfId="2535"/>
    <cellStyle name="XCurrency 108" xfId="2511"/>
    <cellStyle name="XCurrency 109" xfId="1979"/>
    <cellStyle name="XCurrency 11" xfId="517"/>
    <cellStyle name="XCurrency 110" xfId="2524"/>
    <cellStyle name="XCurrency 111" xfId="1981"/>
    <cellStyle name="XCurrency 112" xfId="2544"/>
    <cellStyle name="XCurrency 113" xfId="2543"/>
    <cellStyle name="XCurrency 114" xfId="2493"/>
    <cellStyle name="XCurrency 115" xfId="1997"/>
    <cellStyle name="XCurrency 116" xfId="1969"/>
    <cellStyle name="XCurrency 117" xfId="2547"/>
    <cellStyle name="XCurrency 118" xfId="1893"/>
    <cellStyle name="XCurrency 119" xfId="2563"/>
    <cellStyle name="XCurrency 12" xfId="543"/>
    <cellStyle name="XCurrency 120" xfId="2556"/>
    <cellStyle name="XCurrency 121" xfId="2564"/>
    <cellStyle name="XCurrency 122" xfId="2570"/>
    <cellStyle name="XCurrency 123" xfId="2571"/>
    <cellStyle name="XCurrency 124" xfId="3144"/>
    <cellStyle name="XCurrency 125" xfId="3083"/>
    <cellStyle name="XCurrency 126" xfId="3145"/>
    <cellStyle name="XCurrency 127" xfId="3084"/>
    <cellStyle name="XCurrency 128" xfId="3143"/>
    <cellStyle name="XCurrency 129" xfId="5993"/>
    <cellStyle name="XCurrency 13" xfId="516"/>
    <cellStyle name="XCurrency 130" xfId="5994"/>
    <cellStyle name="XCurrency 131" xfId="5995"/>
    <cellStyle name="XCurrency 132" xfId="5996"/>
    <cellStyle name="XCurrency 133" xfId="5997"/>
    <cellStyle name="XCurrency 134" xfId="5998"/>
    <cellStyle name="XCurrency 135" xfId="5999"/>
    <cellStyle name="XCurrency 136" xfId="6000"/>
    <cellStyle name="XCurrency 137" xfId="6001"/>
    <cellStyle name="XCurrency 138" xfId="6002"/>
    <cellStyle name="XCurrency 139" xfId="6003"/>
    <cellStyle name="XCurrency 14" xfId="545"/>
    <cellStyle name="XCurrency 140" xfId="6004"/>
    <cellStyle name="XCurrency 141" xfId="6005"/>
    <cellStyle name="XCurrency 142" xfId="6006"/>
    <cellStyle name="XCurrency 143" xfId="6007"/>
    <cellStyle name="XCurrency 144" xfId="6008"/>
    <cellStyle name="XCurrency 145" xfId="6103"/>
    <cellStyle name="XCurrency 146" xfId="6100"/>
    <cellStyle name="XCurrency 147" xfId="6211"/>
    <cellStyle name="XCurrency 148" xfId="6641"/>
    <cellStyle name="XCurrency 149" xfId="6683"/>
    <cellStyle name="XCurrency 15" xfId="546"/>
    <cellStyle name="XCurrency 150" xfId="6688"/>
    <cellStyle name="XCurrency 151" xfId="6678"/>
    <cellStyle name="XCurrency 152" xfId="6658"/>
    <cellStyle name="XCurrency 153" xfId="6720"/>
    <cellStyle name="XCurrency 154" xfId="6718"/>
    <cellStyle name="XCurrency 155" xfId="6666"/>
    <cellStyle name="XCurrency 156" xfId="6699"/>
    <cellStyle name="XCurrency 157" xfId="6653"/>
    <cellStyle name="XCurrency 158" xfId="6692"/>
    <cellStyle name="XCurrency 159" xfId="6714"/>
    <cellStyle name="XCurrency 16" xfId="541"/>
    <cellStyle name="XCurrency 160" xfId="6698"/>
    <cellStyle name="XCurrency 161" xfId="6705"/>
    <cellStyle name="XCurrency 162" xfId="6639"/>
    <cellStyle name="XCurrency 163" xfId="6652"/>
    <cellStyle name="XCurrency 164" xfId="6677"/>
    <cellStyle name="XCurrency 165" xfId="6690"/>
    <cellStyle name="XCurrency 166" xfId="6654"/>
    <cellStyle name="XCurrency 167" xfId="6743"/>
    <cellStyle name="XCurrency 168" xfId="6044"/>
    <cellStyle name="XCurrency 169" xfId="6046"/>
    <cellStyle name="XCurrency 17" xfId="547"/>
    <cellStyle name="XCurrency 170" xfId="6818"/>
    <cellStyle name="XCurrency 171" xfId="6863"/>
    <cellStyle name="XCurrency 172" xfId="6875"/>
    <cellStyle name="XCurrency 173" xfId="9545"/>
    <cellStyle name="XCurrency 174" xfId="9309"/>
    <cellStyle name="XCurrency 175" xfId="9366"/>
    <cellStyle name="XCurrency 176" xfId="9552"/>
    <cellStyle name="XCurrency 177" xfId="9559"/>
    <cellStyle name="XCurrency 178" xfId="6810"/>
    <cellStyle name="XCurrency 179" xfId="9609"/>
    <cellStyle name="XCurrency 18" xfId="1006"/>
    <cellStyle name="XCurrency 180" xfId="9722"/>
    <cellStyle name="XCurrency 181" xfId="9618"/>
    <cellStyle name="XCurrency 182" xfId="9849"/>
    <cellStyle name="XCurrency 183" xfId="9720"/>
    <cellStyle name="XCurrency 184" xfId="9760"/>
    <cellStyle name="XCurrency 185" xfId="9619"/>
    <cellStyle name="XCurrency 186" xfId="9715"/>
    <cellStyle name="XCurrency 187" xfId="9855"/>
    <cellStyle name="XCurrency 188" xfId="10016"/>
    <cellStyle name="XCurrency 189" xfId="10081"/>
    <cellStyle name="XCurrency 19" xfId="920"/>
    <cellStyle name="XCurrency 190" xfId="10082"/>
    <cellStyle name="XCurrency 191" xfId="10155"/>
    <cellStyle name="XCurrency 2" xfId="504"/>
    <cellStyle name="XCurrency 2 2" xfId="1954"/>
    <cellStyle name="XCurrency 20" xfId="1008"/>
    <cellStyle name="XCurrency 21" xfId="1033"/>
    <cellStyle name="XCurrency 22" xfId="1037"/>
    <cellStyle name="XCurrency 23" xfId="1051"/>
    <cellStyle name="XCurrency 24" xfId="1054"/>
    <cellStyle name="XCurrency 25" xfId="1047"/>
    <cellStyle name="XCurrency 26" xfId="1041"/>
    <cellStyle name="XCurrency 27" xfId="1056"/>
    <cellStyle name="XCurrency 28" xfId="1057"/>
    <cellStyle name="XCurrency 29" xfId="880"/>
    <cellStyle name="XCurrency 3" xfId="505"/>
    <cellStyle name="XCurrency 3 2" xfId="1955"/>
    <cellStyle name="XCurrency 30" xfId="1065"/>
    <cellStyle name="XCurrency 31" xfId="1102"/>
    <cellStyle name="XCurrency 32" xfId="1150"/>
    <cellStyle name="XCurrency 33" xfId="1196"/>
    <cellStyle name="XCurrency 34" xfId="1202"/>
    <cellStyle name="XCurrency 35" xfId="1223"/>
    <cellStyle name="XCurrency 36" xfId="1217"/>
    <cellStyle name="XCurrency 37" xfId="1218"/>
    <cellStyle name="XCurrency 38" xfId="1256"/>
    <cellStyle name="XCurrency 39" xfId="1225"/>
    <cellStyle name="XCurrency 4" xfId="506"/>
    <cellStyle name="XCurrency 4 2" xfId="1956"/>
    <cellStyle name="XCurrency 40" xfId="1207"/>
    <cellStyle name="XCurrency 41" xfId="1230"/>
    <cellStyle name="XCurrency 42" xfId="1255"/>
    <cellStyle name="XCurrency 43" xfId="1229"/>
    <cellStyle name="XCurrency 44" xfId="1242"/>
    <cellStyle name="XCurrency 45" xfId="1248"/>
    <cellStyle name="XCurrency 46" xfId="1208"/>
    <cellStyle name="XCurrency 47" xfId="1212"/>
    <cellStyle name="XCurrency 48" xfId="1219"/>
    <cellStyle name="XCurrency 49" xfId="1237"/>
    <cellStyle name="XCurrency 5" xfId="507"/>
    <cellStyle name="XCurrency 5 2" xfId="1957"/>
    <cellStyle name="XCurrency 50" xfId="1253"/>
    <cellStyle name="XCurrency 51" xfId="1211"/>
    <cellStyle name="XCurrency 52" xfId="1268"/>
    <cellStyle name="XCurrency 53" xfId="1272"/>
    <cellStyle name="XCurrency 54" xfId="1271"/>
    <cellStyle name="XCurrency 55" xfId="1296"/>
    <cellStyle name="XCurrency 56" xfId="1523"/>
    <cellStyle name="XCurrency 57" xfId="2410"/>
    <cellStyle name="XCurrency 58" xfId="2441"/>
    <cellStyle name="XCurrency 59" xfId="2442"/>
    <cellStyle name="XCurrency 6" xfId="508"/>
    <cellStyle name="XCurrency 6 2" xfId="1958"/>
    <cellStyle name="XCurrency 60" xfId="2407"/>
    <cellStyle name="XCurrency 61" xfId="2409"/>
    <cellStyle name="XCurrency 62" xfId="2434"/>
    <cellStyle name="XCurrency 63" xfId="2446"/>
    <cellStyle name="XCurrency 64" xfId="2415"/>
    <cellStyle name="XCurrency 65" xfId="2413"/>
    <cellStyle name="XCurrency 66" xfId="2456"/>
    <cellStyle name="XCurrency 67" xfId="2449"/>
    <cellStyle name="XCurrency 68" xfId="2457"/>
    <cellStyle name="XCurrency 69" xfId="2448"/>
    <cellStyle name="XCurrency 7" xfId="509"/>
    <cellStyle name="XCurrency 7 2" xfId="1959"/>
    <cellStyle name="XCurrency 70" xfId="2458"/>
    <cellStyle name="XCurrency 71" xfId="2481"/>
    <cellStyle name="XCurrency 72" xfId="2463"/>
    <cellStyle name="XCurrency 73" xfId="2479"/>
    <cellStyle name="XCurrency 74" xfId="2485"/>
    <cellStyle name="XCurrency 75" xfId="2483"/>
    <cellStyle name="XCurrency 76" xfId="2484"/>
    <cellStyle name="XCurrency 77" xfId="2480"/>
    <cellStyle name="XCurrency 78" xfId="2486"/>
    <cellStyle name="XCurrency 79" xfId="2482"/>
    <cellStyle name="XCurrency 8" xfId="510"/>
    <cellStyle name="XCurrency 8 2" xfId="1960"/>
    <cellStyle name="XCurrency 80" xfId="2489"/>
    <cellStyle name="XCurrency 81" xfId="2478"/>
    <cellStyle name="XCurrency 82" xfId="2490"/>
    <cellStyle name="XCurrency 83" xfId="2488"/>
    <cellStyle name="XCurrency 84" xfId="2492"/>
    <cellStyle name="XCurrency 85" xfId="1910"/>
    <cellStyle name="XCurrency 86" xfId="1896"/>
    <cellStyle name="XCurrency 87" xfId="2501"/>
    <cellStyle name="XCurrency 88" xfId="1982"/>
    <cellStyle name="XCurrency 89" xfId="2507"/>
    <cellStyle name="XCurrency 9" xfId="511"/>
    <cellStyle name="XCurrency 9 2" xfId="1961"/>
    <cellStyle name="XCurrency 90" xfId="1877"/>
    <cellStyle name="XCurrency 91" xfId="2521"/>
    <cellStyle name="XCurrency 92" xfId="1895"/>
    <cellStyle name="XCurrency 93" xfId="2542"/>
    <cellStyle name="XCurrency 94" xfId="2232"/>
    <cellStyle name="XCurrency 95" xfId="1881"/>
    <cellStyle name="XCurrency 96" xfId="1984"/>
    <cellStyle name="XCurrency 97" xfId="2537"/>
    <cellStyle name="XCurrency 98" xfId="1930"/>
    <cellStyle name="XCurrency 99" xfId="1876"/>
    <cellStyle name="XCurrency_Black-Scholes Model - 2004 Options" xfId="5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2018-06-30%2004566.0%20rich%20township%20high%20sd%20227%20(sync)\BUDGET201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dgetSum 2-3"/>
      <sheetName val="CashSum 4"/>
      <sheetName val="EstRev 5-10"/>
      <sheetName val="EstExp 11-17"/>
      <sheetName val="Itemize 18"/>
      <sheetName val="DeficitBudgetSum Calc 19"/>
      <sheetName val="DefReductPlan 20-24"/>
      <sheetName val="Bckgrnd-Assumpt 25-26"/>
      <sheetName val="AC 27"/>
      <sheetName val="VendContract 28"/>
      <sheetName val="Ref 29"/>
      <sheetName val="Balancing"/>
      <sheetName val="B18"/>
    </sheetNames>
    <sheetDataSet>
      <sheetData sheetId="0"/>
      <sheetData sheetId="1"/>
      <sheetData sheetId="2"/>
      <sheetData sheetId="3"/>
      <sheetData sheetId="4">
        <row r="5">
          <cell r="K5">
            <v>17090377</v>
          </cell>
        </row>
        <row r="6">
          <cell r="K6">
            <v>0</v>
          </cell>
        </row>
        <row r="7">
          <cell r="K7">
            <v>135000</v>
          </cell>
        </row>
        <row r="8">
          <cell r="K8">
            <v>6181947</v>
          </cell>
        </row>
        <row r="9">
          <cell r="K9">
            <v>0</v>
          </cell>
        </row>
        <row r="10">
          <cell r="K10">
            <v>699708</v>
          </cell>
        </row>
        <row r="11">
          <cell r="K11">
            <v>0</v>
          </cell>
        </row>
        <row r="12">
          <cell r="K12">
            <v>0</v>
          </cell>
        </row>
        <row r="13">
          <cell r="K13">
            <v>1664888</v>
          </cell>
        </row>
        <row r="14">
          <cell r="K14">
            <v>3250168</v>
          </cell>
        </row>
        <row r="15">
          <cell r="K15">
            <v>122297</v>
          </cell>
        </row>
        <row r="16">
          <cell r="K16">
            <v>0</v>
          </cell>
        </row>
        <row r="17">
          <cell r="K17">
            <v>149934</v>
          </cell>
        </row>
        <row r="18">
          <cell r="K18">
            <v>0</v>
          </cell>
        </row>
        <row r="19">
          <cell r="K19">
            <v>0</v>
          </cell>
        </row>
        <row r="20">
          <cell r="K20">
            <v>0</v>
          </cell>
        </row>
        <row r="21">
          <cell r="K21">
            <v>325000</v>
          </cell>
        </row>
        <row r="22">
          <cell r="K22">
            <v>1900000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6">
          <cell r="K36">
            <v>473632</v>
          </cell>
        </row>
        <row r="37">
          <cell r="K37">
            <v>1015849</v>
          </cell>
        </row>
        <row r="38">
          <cell r="K38">
            <v>323370</v>
          </cell>
        </row>
        <row r="39">
          <cell r="K39">
            <v>227877</v>
          </cell>
        </row>
        <row r="40">
          <cell r="K40">
            <v>129930</v>
          </cell>
        </row>
        <row r="41">
          <cell r="K41">
            <v>484058</v>
          </cell>
        </row>
        <row r="44">
          <cell r="K44">
            <v>1286807</v>
          </cell>
        </row>
        <row r="45">
          <cell r="K45">
            <v>289516</v>
          </cell>
        </row>
        <row r="46">
          <cell r="K46">
            <v>658091</v>
          </cell>
        </row>
        <row r="49">
          <cell r="K49">
            <v>512000</v>
          </cell>
        </row>
        <row r="50">
          <cell r="K50">
            <v>464390</v>
          </cell>
        </row>
        <row r="51">
          <cell r="K51">
            <v>783042</v>
          </cell>
        </row>
        <row r="52">
          <cell r="K52">
            <v>0</v>
          </cell>
        </row>
        <row r="55">
          <cell r="K55">
            <v>2681825</v>
          </cell>
        </row>
        <row r="56">
          <cell r="K56">
            <v>1382283</v>
          </cell>
        </row>
        <row r="59">
          <cell r="K59">
            <v>170800</v>
          </cell>
        </row>
        <row r="60">
          <cell r="K60">
            <v>491412</v>
          </cell>
        </row>
        <row r="61">
          <cell r="K61">
            <v>0</v>
          </cell>
        </row>
        <row r="62">
          <cell r="K62">
            <v>38395</v>
          </cell>
        </row>
        <row r="63">
          <cell r="K63">
            <v>2340367</v>
          </cell>
        </row>
        <row r="64">
          <cell r="K64">
            <v>320600</v>
          </cell>
        </row>
        <row r="67">
          <cell r="K67">
            <v>0</v>
          </cell>
        </row>
        <row r="68">
          <cell r="K68">
            <v>0</v>
          </cell>
        </row>
        <row r="69">
          <cell r="K69">
            <v>92000</v>
          </cell>
        </row>
        <row r="70">
          <cell r="K70">
            <v>555062</v>
          </cell>
        </row>
        <row r="71">
          <cell r="K71">
            <v>1285839</v>
          </cell>
        </row>
        <row r="73">
          <cell r="K73">
            <v>47169</v>
          </cell>
        </row>
        <row r="75">
          <cell r="K75">
            <v>16154</v>
          </cell>
        </row>
        <row r="78">
          <cell r="K78">
            <v>32100</v>
          </cell>
        </row>
        <row r="79">
          <cell r="K79">
            <v>0</v>
          </cell>
        </row>
        <row r="80">
          <cell r="K80">
            <v>0</v>
          </cell>
        </row>
        <row r="81">
          <cell r="K81">
            <v>0</v>
          </cell>
        </row>
        <row r="82">
          <cell r="K82">
            <v>0</v>
          </cell>
        </row>
        <row r="83">
          <cell r="K83">
            <v>0</v>
          </cell>
        </row>
        <row r="85">
          <cell r="K85">
            <v>50000</v>
          </cell>
        </row>
        <row r="86">
          <cell r="K86">
            <v>2250000</v>
          </cell>
        </row>
        <row r="87">
          <cell r="K87">
            <v>0</v>
          </cell>
        </row>
        <row r="88">
          <cell r="K88">
            <v>20000</v>
          </cell>
        </row>
        <row r="89">
          <cell r="K89">
            <v>20000</v>
          </cell>
        </row>
        <row r="90">
          <cell r="K90">
            <v>10000</v>
          </cell>
        </row>
        <row r="91">
          <cell r="K91">
            <v>50000</v>
          </cell>
        </row>
        <row r="93">
          <cell r="K93">
            <v>0</v>
          </cell>
        </row>
        <row r="94">
          <cell r="K94">
            <v>0</v>
          </cell>
        </row>
        <row r="95">
          <cell r="K95">
            <v>0</v>
          </cell>
        </row>
        <row r="96">
          <cell r="K96">
            <v>0</v>
          </cell>
        </row>
        <row r="97">
          <cell r="K97">
            <v>0</v>
          </cell>
        </row>
        <row r="98">
          <cell r="K98">
            <v>0</v>
          </cell>
        </row>
        <row r="99">
          <cell r="K99">
            <v>0</v>
          </cell>
        </row>
        <row r="101">
          <cell r="K101">
            <v>0</v>
          </cell>
        </row>
        <row r="105">
          <cell r="K105">
            <v>0</v>
          </cell>
        </row>
        <row r="106">
          <cell r="K106">
            <v>0</v>
          </cell>
        </row>
        <row r="107">
          <cell r="K107">
            <v>0</v>
          </cell>
        </row>
        <row r="108">
          <cell r="K108">
            <v>0</v>
          </cell>
        </row>
        <row r="109">
          <cell r="K109">
            <v>0</v>
          </cell>
        </row>
        <row r="111">
          <cell r="K111">
            <v>0</v>
          </cell>
        </row>
        <row r="113">
          <cell r="K113">
            <v>0</v>
          </cell>
        </row>
        <row r="120">
          <cell r="K120">
            <v>0</v>
          </cell>
        </row>
        <row r="122">
          <cell r="K122">
            <v>0</v>
          </cell>
        </row>
        <row r="123">
          <cell r="K123">
            <v>0</v>
          </cell>
        </row>
        <row r="124">
          <cell r="K124">
            <v>5595392</v>
          </cell>
        </row>
        <row r="125">
          <cell r="K125">
            <v>0</v>
          </cell>
        </row>
        <row r="126">
          <cell r="K126">
            <v>0</v>
          </cell>
        </row>
        <row r="128">
          <cell r="K128">
            <v>0</v>
          </cell>
        </row>
        <row r="130">
          <cell r="K130">
            <v>0</v>
          </cell>
        </row>
        <row r="133">
          <cell r="K133">
            <v>0</v>
          </cell>
        </row>
        <row r="134">
          <cell r="K134">
            <v>0</v>
          </cell>
        </row>
        <row r="135">
          <cell r="K135">
            <v>0</v>
          </cell>
        </row>
        <row r="136">
          <cell r="K136">
            <v>0</v>
          </cell>
        </row>
        <row r="138">
          <cell r="K138">
            <v>0</v>
          </cell>
        </row>
        <row r="142">
          <cell r="K142">
            <v>0</v>
          </cell>
        </row>
        <row r="143">
          <cell r="K143">
            <v>0</v>
          </cell>
        </row>
        <row r="144">
          <cell r="K144">
            <v>0</v>
          </cell>
        </row>
        <row r="145">
          <cell r="K145">
            <v>0</v>
          </cell>
        </row>
        <row r="146">
          <cell r="K146">
            <v>0</v>
          </cell>
        </row>
        <row r="148">
          <cell r="K148">
            <v>0</v>
          </cell>
        </row>
        <row r="150">
          <cell r="K150">
            <v>0</v>
          </cell>
        </row>
        <row r="157">
          <cell r="K157">
            <v>0</v>
          </cell>
        </row>
        <row r="158">
          <cell r="K158">
            <v>0</v>
          </cell>
        </row>
        <row r="159">
          <cell r="K159">
            <v>0</v>
          </cell>
        </row>
        <row r="163">
          <cell r="K163">
            <v>0</v>
          </cell>
        </row>
        <row r="164">
          <cell r="K164">
            <v>0</v>
          </cell>
        </row>
        <row r="165">
          <cell r="K165">
            <v>0</v>
          </cell>
        </row>
        <row r="166">
          <cell r="K166">
            <v>0</v>
          </cell>
        </row>
        <row r="167">
          <cell r="K167">
            <v>0</v>
          </cell>
        </row>
        <row r="169">
          <cell r="K169">
            <v>1033077</v>
          </cell>
        </row>
        <row r="170">
          <cell r="K170">
            <v>3920000</v>
          </cell>
        </row>
        <row r="171">
          <cell r="K171">
            <v>5000</v>
          </cell>
        </row>
        <row r="173">
          <cell r="K173">
            <v>0</v>
          </cell>
        </row>
        <row r="180">
          <cell r="K180">
            <v>0</v>
          </cell>
        </row>
        <row r="182">
          <cell r="K182">
            <v>4809729</v>
          </cell>
        </row>
        <row r="183">
          <cell r="K183">
            <v>0</v>
          </cell>
        </row>
        <row r="185">
          <cell r="K185">
            <v>0</v>
          </cell>
        </row>
        <row r="188">
          <cell r="K188">
            <v>0</v>
          </cell>
        </row>
        <row r="189">
          <cell r="K189">
            <v>0</v>
          </cell>
        </row>
        <row r="190">
          <cell r="K190">
            <v>0</v>
          </cell>
        </row>
        <row r="191">
          <cell r="K191">
            <v>0</v>
          </cell>
        </row>
        <row r="192">
          <cell r="K192">
            <v>0</v>
          </cell>
        </row>
        <row r="193">
          <cell r="K193">
            <v>0</v>
          </cell>
        </row>
        <row r="195">
          <cell r="K195">
            <v>0</v>
          </cell>
        </row>
        <row r="199">
          <cell r="K199">
            <v>0</v>
          </cell>
        </row>
        <row r="200">
          <cell r="K200">
            <v>0</v>
          </cell>
        </row>
        <row r="201">
          <cell r="K201">
            <v>0</v>
          </cell>
        </row>
        <row r="202">
          <cell r="K202">
            <v>0</v>
          </cell>
        </row>
        <row r="203">
          <cell r="K203">
            <v>0</v>
          </cell>
        </row>
        <row r="205">
          <cell r="K205">
            <v>0</v>
          </cell>
        </row>
        <row r="206">
          <cell r="K206">
            <v>0</v>
          </cell>
        </row>
        <row r="207">
          <cell r="K207">
            <v>0</v>
          </cell>
        </row>
        <row r="209">
          <cell r="K209">
            <v>0</v>
          </cell>
        </row>
        <row r="215">
          <cell r="K215">
            <v>229914</v>
          </cell>
        </row>
        <row r="216">
          <cell r="K216">
            <v>0</v>
          </cell>
        </row>
        <row r="217">
          <cell r="K217">
            <v>242247</v>
          </cell>
        </row>
        <row r="218">
          <cell r="K218">
            <v>0</v>
          </cell>
        </row>
        <row r="219">
          <cell r="K219">
            <v>3817</v>
          </cell>
        </row>
        <row r="220">
          <cell r="K220">
            <v>0</v>
          </cell>
        </row>
        <row r="221">
          <cell r="K221">
            <v>0</v>
          </cell>
        </row>
        <row r="222">
          <cell r="K222">
            <v>16961</v>
          </cell>
        </row>
        <row r="223">
          <cell r="K223">
            <v>162248</v>
          </cell>
        </row>
        <row r="224">
          <cell r="K224">
            <v>6366</v>
          </cell>
        </row>
        <row r="225">
          <cell r="K225">
            <v>0</v>
          </cell>
        </row>
        <row r="226">
          <cell r="K226">
            <v>1363</v>
          </cell>
        </row>
        <row r="227">
          <cell r="K227">
            <v>316</v>
          </cell>
        </row>
        <row r="228">
          <cell r="K228">
            <v>0</v>
          </cell>
        </row>
        <row r="232">
          <cell r="K232">
            <v>29249</v>
          </cell>
        </row>
        <row r="233">
          <cell r="K233">
            <v>11238</v>
          </cell>
        </row>
        <row r="234">
          <cell r="K234">
            <v>5211</v>
          </cell>
        </row>
        <row r="235">
          <cell r="K235">
            <v>3204</v>
          </cell>
        </row>
        <row r="236">
          <cell r="K236">
            <v>1377</v>
          </cell>
        </row>
        <row r="237">
          <cell r="K237">
            <v>178313</v>
          </cell>
        </row>
        <row r="240">
          <cell r="K240">
            <v>13704</v>
          </cell>
        </row>
        <row r="241">
          <cell r="K241">
            <v>25505</v>
          </cell>
        </row>
        <row r="242">
          <cell r="K242">
            <v>1523</v>
          </cell>
        </row>
        <row r="245">
          <cell r="K245">
            <v>0</v>
          </cell>
        </row>
        <row r="246">
          <cell r="K246">
            <v>17154</v>
          </cell>
        </row>
        <row r="247">
          <cell r="K247">
            <v>23746</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9">
          <cell r="K259">
            <v>226289</v>
          </cell>
        </row>
        <row r="260">
          <cell r="K260">
            <v>27724</v>
          </cell>
        </row>
        <row r="263">
          <cell r="K263">
            <v>0</v>
          </cell>
        </row>
        <row r="264">
          <cell r="K264">
            <v>37941</v>
          </cell>
        </row>
        <row r="265">
          <cell r="K265">
            <v>0</v>
          </cell>
        </row>
        <row r="266">
          <cell r="K266">
            <v>401199</v>
          </cell>
        </row>
        <row r="267">
          <cell r="K267">
            <v>0</v>
          </cell>
        </row>
        <row r="268">
          <cell r="K268">
            <v>168813</v>
          </cell>
        </row>
        <row r="269">
          <cell r="K269">
            <v>0</v>
          </cell>
        </row>
        <row r="272">
          <cell r="K272">
            <v>0</v>
          </cell>
        </row>
        <row r="273">
          <cell r="K273">
            <v>0</v>
          </cell>
        </row>
        <row r="274">
          <cell r="K274">
            <v>0</v>
          </cell>
        </row>
        <row r="275">
          <cell r="K275">
            <v>24498</v>
          </cell>
        </row>
        <row r="276">
          <cell r="K276">
            <v>78222</v>
          </cell>
        </row>
        <row r="278">
          <cell r="K278">
            <v>7137</v>
          </cell>
        </row>
        <row r="280">
          <cell r="K280">
            <v>0</v>
          </cell>
        </row>
        <row r="282">
          <cell r="K282">
            <v>0</v>
          </cell>
        </row>
        <row r="283">
          <cell r="K283">
            <v>0</v>
          </cell>
        </row>
        <row r="284">
          <cell r="K284">
            <v>0</v>
          </cell>
        </row>
        <row r="288">
          <cell r="K288">
            <v>0</v>
          </cell>
        </row>
        <row r="289">
          <cell r="K289">
            <v>0</v>
          </cell>
        </row>
        <row r="290">
          <cell r="K290">
            <v>0</v>
          </cell>
        </row>
        <row r="291">
          <cell r="K291">
            <v>0</v>
          </cell>
        </row>
        <row r="292">
          <cell r="K292">
            <v>0</v>
          </cell>
        </row>
        <row r="301">
          <cell r="K301">
            <v>0</v>
          </cell>
        </row>
        <row r="302">
          <cell r="K302">
            <v>0</v>
          </cell>
        </row>
        <row r="306">
          <cell r="K306">
            <v>0</v>
          </cell>
        </row>
        <row r="307">
          <cell r="K307">
            <v>0</v>
          </cell>
        </row>
        <row r="308">
          <cell r="K308">
            <v>0</v>
          </cell>
        </row>
        <row r="309">
          <cell r="K309">
            <v>0</v>
          </cell>
        </row>
        <row r="311">
          <cell r="K311">
            <v>0</v>
          </cell>
        </row>
        <row r="319">
          <cell r="K319">
            <v>0</v>
          </cell>
        </row>
        <row r="320">
          <cell r="K320">
            <v>650000</v>
          </cell>
        </row>
        <row r="321">
          <cell r="K321">
            <v>70000</v>
          </cell>
        </row>
        <row r="322">
          <cell r="K322">
            <v>209441</v>
          </cell>
        </row>
        <row r="323">
          <cell r="K323">
            <v>1000000</v>
          </cell>
        </row>
        <row r="324">
          <cell r="K324">
            <v>0</v>
          </cell>
        </row>
        <row r="325">
          <cell r="K325">
            <v>0</v>
          </cell>
        </row>
        <row r="326">
          <cell r="K326">
            <v>0</v>
          </cell>
        </row>
        <row r="327">
          <cell r="K327">
            <v>0</v>
          </cell>
        </row>
        <row r="328">
          <cell r="K328">
            <v>0</v>
          </cell>
        </row>
        <row r="329">
          <cell r="K329">
            <v>0</v>
          </cell>
        </row>
        <row r="332">
          <cell r="K332">
            <v>0</v>
          </cell>
        </row>
        <row r="333">
          <cell r="K333">
            <v>0</v>
          </cell>
        </row>
        <row r="337">
          <cell r="K337">
            <v>0</v>
          </cell>
        </row>
        <row r="338">
          <cell r="K338">
            <v>0</v>
          </cell>
        </row>
        <row r="339">
          <cell r="K339">
            <v>0</v>
          </cell>
        </row>
        <row r="341">
          <cell r="K341">
            <v>0</v>
          </cell>
        </row>
        <row r="348">
          <cell r="K348">
            <v>0</v>
          </cell>
        </row>
        <row r="349">
          <cell r="K349">
            <v>0</v>
          </cell>
        </row>
        <row r="351">
          <cell r="K351">
            <v>0</v>
          </cell>
        </row>
        <row r="354">
          <cell r="K354">
            <v>0</v>
          </cell>
        </row>
        <row r="355">
          <cell r="K355">
            <v>0</v>
          </cell>
        </row>
        <row r="356">
          <cell r="K356">
            <v>0</v>
          </cell>
        </row>
        <row r="360">
          <cell r="K360">
            <v>0</v>
          </cell>
        </row>
        <row r="361">
          <cell r="K361">
            <v>0</v>
          </cell>
        </row>
        <row r="363">
          <cell r="K363">
            <v>0</v>
          </cell>
        </row>
        <row r="364">
          <cell r="K364">
            <v>0</v>
          </cell>
        </row>
        <row r="366">
          <cell r="K366">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95" zoomScaleNormal="110" zoomScaleSheetLayoutView="95" workbookViewId="0">
      <selection activeCell="E58" sqref="E5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16" t="s">
        <v>425</v>
      </c>
      <c r="J1" s="2017"/>
      <c r="K1" s="2017"/>
      <c r="L1" s="2017"/>
      <c r="M1" s="2017"/>
      <c r="N1" s="2017"/>
      <c r="O1" s="2017"/>
      <c r="P1" s="2017"/>
      <c r="Q1" s="2017"/>
      <c r="R1" s="2017"/>
      <c r="S1" s="2017"/>
    </row>
    <row r="2" spans="1:28" ht="12" customHeight="1">
      <c r="A2" s="47" t="s">
        <v>1684</v>
      </c>
      <c r="D2" s="48"/>
      <c r="I2" s="2018" t="s">
        <v>1036</v>
      </c>
      <c r="J2" s="2017"/>
      <c r="K2" s="2017"/>
      <c r="L2" s="2017"/>
      <c r="M2" s="2017"/>
      <c r="N2" s="2017"/>
      <c r="O2" s="2017"/>
      <c r="P2" s="2017"/>
      <c r="Q2" s="2017"/>
      <c r="R2" s="2017"/>
      <c r="S2" s="2017"/>
    </row>
    <row r="3" spans="1:28" ht="12" customHeight="1">
      <c r="A3" s="154" t="s">
        <v>1685</v>
      </c>
      <c r="B3" s="155"/>
      <c r="C3" s="155"/>
      <c r="D3" s="156"/>
      <c r="I3" s="2018" t="s">
        <v>54</v>
      </c>
      <c r="J3" s="2017"/>
      <c r="K3" s="2017"/>
      <c r="L3" s="2017"/>
      <c r="M3" s="2017"/>
      <c r="N3" s="2017"/>
      <c r="O3" s="2017"/>
      <c r="P3" s="2017"/>
      <c r="Q3" s="2017"/>
      <c r="R3" s="2017"/>
      <c r="S3" s="2017"/>
    </row>
    <row r="4" spans="1:28" ht="12" customHeight="1">
      <c r="A4" s="37"/>
      <c r="I4" s="2018" t="s">
        <v>545</v>
      </c>
      <c r="J4" s="2017"/>
      <c r="K4" s="2017"/>
      <c r="L4" s="2017"/>
      <c r="M4" s="2017"/>
      <c r="N4" s="2017"/>
      <c r="O4" s="2017"/>
      <c r="P4" s="2017"/>
      <c r="Q4" s="2017"/>
      <c r="R4" s="2017"/>
      <c r="S4" s="2017"/>
    </row>
    <row r="5" spans="1:28" ht="14.1" customHeight="1">
      <c r="B5" s="103" t="s">
        <v>2081</v>
      </c>
      <c r="C5" s="26" t="s">
        <v>966</v>
      </c>
      <c r="D5" s="84"/>
      <c r="E5" s="84"/>
      <c r="H5" s="38"/>
      <c r="I5" s="2026" t="s">
        <v>701</v>
      </c>
      <c r="J5" s="2025"/>
      <c r="K5" s="2025"/>
      <c r="L5" s="2025"/>
      <c r="M5" s="2025"/>
      <c r="N5" s="2025"/>
      <c r="O5" s="2025"/>
      <c r="P5" s="2025"/>
      <c r="Q5" s="2025"/>
      <c r="R5" s="2025"/>
      <c r="S5" s="2025"/>
    </row>
    <row r="6" spans="1:28" ht="14.1" customHeight="1">
      <c r="B6" s="103"/>
      <c r="C6" s="26" t="s">
        <v>967</v>
      </c>
      <c r="D6" s="84"/>
      <c r="E6" s="84"/>
      <c r="I6" s="2024" t="s">
        <v>938</v>
      </c>
      <c r="J6" s="2025"/>
      <c r="K6" s="2025"/>
      <c r="L6" s="2025"/>
      <c r="M6" s="2025"/>
      <c r="N6" s="2025"/>
      <c r="O6" s="2025"/>
      <c r="P6" s="2025"/>
      <c r="Q6" s="2025"/>
      <c r="R6" s="2025"/>
      <c r="S6" s="2025"/>
    </row>
    <row r="7" spans="1:28" ht="12.2" customHeight="1">
      <c r="I7" s="2019">
        <v>43281</v>
      </c>
      <c r="J7" s="2020"/>
      <c r="K7" s="2020"/>
      <c r="L7" s="2020"/>
      <c r="M7" s="2020"/>
      <c r="N7" s="2020"/>
      <c r="O7" s="2020"/>
      <c r="P7" s="2020"/>
      <c r="Q7" s="2020"/>
      <c r="R7" s="2020"/>
      <c r="S7" s="2020"/>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c r="A11" s="2047" t="s">
        <v>1012</v>
      </c>
      <c r="B11" s="2048"/>
      <c r="C11" s="2048"/>
      <c r="D11" s="2048"/>
      <c r="E11" s="2048"/>
      <c r="F11" s="2048"/>
      <c r="G11" s="2048"/>
      <c r="H11" s="2049"/>
      <c r="I11" s="27"/>
      <c r="J11" s="74"/>
      <c r="K11" s="27"/>
      <c r="O11" s="147" t="s">
        <v>2081</v>
      </c>
      <c r="P11" s="100" t="s">
        <v>210</v>
      </c>
      <c r="Q11" s="30"/>
      <c r="R11" s="28"/>
      <c r="S11" s="27"/>
      <c r="T11" s="2041"/>
      <c r="U11" s="2042"/>
      <c r="V11" s="2042"/>
      <c r="W11" s="2042"/>
      <c r="X11" s="2042"/>
      <c r="Y11" s="2042"/>
      <c r="Z11" s="2042"/>
      <c r="AA11" s="2043"/>
    </row>
    <row r="12" spans="1:28" ht="13.5" customHeight="1">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c r="A13" s="2051" t="s">
        <v>2082</v>
      </c>
      <c r="B13" s="2052"/>
      <c r="C13" s="2052"/>
      <c r="D13" s="2052"/>
      <c r="E13" s="2052"/>
      <c r="F13" s="2052"/>
      <c r="G13" s="2052"/>
      <c r="H13" s="2053"/>
      <c r="I13" s="31"/>
      <c r="J13" s="30"/>
      <c r="K13" s="28"/>
      <c r="L13" s="30"/>
      <c r="M13" s="30"/>
      <c r="N13" s="30"/>
      <c r="O13" s="30"/>
      <c r="P13" s="30"/>
      <c r="Q13" s="30"/>
      <c r="R13" s="30"/>
      <c r="S13" s="30"/>
      <c r="T13" s="2056" t="s">
        <v>2075</v>
      </c>
      <c r="U13" s="2057"/>
      <c r="V13" s="2057"/>
      <c r="W13" s="2057"/>
      <c r="X13" s="2057"/>
      <c r="Y13" s="2058"/>
      <c r="Z13" s="2058"/>
      <c r="AA13" s="2059"/>
    </row>
    <row r="14" spans="1:28" ht="14.1" customHeight="1">
      <c r="A14" s="85" t="s">
        <v>737</v>
      </c>
      <c r="B14" s="76"/>
      <c r="C14" s="76"/>
      <c r="D14" s="76"/>
      <c r="E14" s="76"/>
      <c r="F14" s="76"/>
      <c r="G14" s="76"/>
      <c r="H14" s="53"/>
      <c r="I14" s="115"/>
      <c r="S14" s="48"/>
      <c r="T14" s="85" t="s">
        <v>1396</v>
      </c>
      <c r="U14" s="51"/>
      <c r="V14" s="51"/>
      <c r="W14" s="51"/>
      <c r="X14" s="51"/>
      <c r="Y14" s="45"/>
      <c r="Z14" s="45"/>
      <c r="AA14" s="46"/>
    </row>
    <row r="15" spans="1:28" ht="13.5" customHeight="1">
      <c r="A15" s="2050" t="s">
        <v>2083</v>
      </c>
      <c r="B15" s="2054"/>
      <c r="C15" s="2054"/>
      <c r="D15" s="2054"/>
      <c r="E15" s="2054"/>
      <c r="F15" s="2054"/>
      <c r="G15" s="2054"/>
      <c r="H15" s="2055"/>
      <c r="T15" s="2060" t="s">
        <v>2094</v>
      </c>
      <c r="U15" s="2004"/>
      <c r="V15" s="2004"/>
      <c r="W15" s="2004"/>
      <c r="X15" s="2004"/>
      <c r="Y15" s="2061"/>
      <c r="Z15" s="2061"/>
      <c r="AA15" s="2062"/>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10" t="s">
        <v>2084</v>
      </c>
      <c r="B17" s="2011"/>
      <c r="C17" s="2011"/>
      <c r="D17" s="2011"/>
      <c r="E17" s="2011"/>
      <c r="F17" s="2011"/>
      <c r="G17" s="2011"/>
      <c r="H17" s="2036"/>
      <c r="T17" s="2067" t="s">
        <v>2076</v>
      </c>
      <c r="U17" s="2068"/>
      <c r="V17" s="2068"/>
      <c r="W17" s="2068"/>
      <c r="X17" s="2068"/>
      <c r="Y17" s="2068"/>
      <c r="Z17" s="2068"/>
      <c r="AA17" s="2069"/>
    </row>
    <row r="18" spans="1:27" ht="13.5" customHeight="1">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8" t="s">
        <v>698</v>
      </c>
      <c r="AA18" s="46"/>
    </row>
    <row r="19" spans="1:27" ht="13.5" customHeight="1">
      <c r="A19" s="2050" t="s">
        <v>2085</v>
      </c>
      <c r="B19" s="1996"/>
      <c r="C19" s="1996"/>
      <c r="D19" s="1996"/>
      <c r="E19" s="1996"/>
      <c r="F19" s="1996"/>
      <c r="G19" s="1996"/>
      <c r="H19" s="1976"/>
      <c r="I19" s="30"/>
      <c r="J19" s="99"/>
      <c r="K19" s="40"/>
      <c r="L19" s="38"/>
      <c r="M19" s="111" t="s">
        <v>333</v>
      </c>
      <c r="P19" s="27"/>
      <c r="Q19" s="27"/>
      <c r="R19" s="27"/>
      <c r="S19" s="31"/>
      <c r="T19" s="2050" t="s">
        <v>2077</v>
      </c>
      <c r="U19" s="1975"/>
      <c r="V19" s="1975"/>
      <c r="W19" s="1976"/>
      <c r="X19" s="2065" t="s">
        <v>2078</v>
      </c>
      <c r="Y19" s="2066"/>
      <c r="Z19" s="2063">
        <v>60015</v>
      </c>
      <c r="AA19" s="2064"/>
    </row>
    <row r="20" spans="1:27" ht="13.5" customHeight="1">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c r="A21" s="1974" t="s">
        <v>2086</v>
      </c>
      <c r="B21" s="1975"/>
      <c r="C21" s="1975"/>
      <c r="D21" s="1975"/>
      <c r="E21" s="1975"/>
      <c r="F21" s="1975"/>
      <c r="G21" s="1975"/>
      <c r="H21" s="1976"/>
      <c r="I21" s="2030" t="s">
        <v>699</v>
      </c>
      <c r="J21" s="2025"/>
      <c r="K21" s="2025"/>
      <c r="L21" s="2025"/>
      <c r="M21" s="2025"/>
      <c r="N21" s="2025"/>
      <c r="O21" s="2025"/>
      <c r="P21" s="2025"/>
      <c r="Q21" s="2025"/>
      <c r="R21" s="2025"/>
      <c r="S21" s="2031"/>
      <c r="T21" s="2074" t="s">
        <v>2079</v>
      </c>
      <c r="U21" s="2075"/>
      <c r="V21" s="2075"/>
      <c r="W21" s="2075"/>
      <c r="X21" s="2080" t="s">
        <v>2080</v>
      </c>
      <c r="Y21" s="2081"/>
      <c r="Z21" s="2081"/>
      <c r="AA21" s="2082"/>
    </row>
    <row r="22" spans="1:27" ht="13.5" customHeight="1">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59" t="s">
        <v>1385</v>
      </c>
      <c r="Z22" s="45"/>
      <c r="AA22" s="46"/>
    </row>
    <row r="23" spans="1:27" ht="13.5" customHeight="1">
      <c r="A23" s="2027" t="s">
        <v>2254</v>
      </c>
      <c r="B23" s="2028"/>
      <c r="C23" s="2028"/>
      <c r="D23" s="2028"/>
      <c r="E23" s="2028"/>
      <c r="F23" s="2028"/>
      <c r="G23" s="2028"/>
      <c r="H23" s="2029"/>
      <c r="T23" s="2010" t="str">
        <f>++IF(T15="Susan R. Jones","065-027771","065-046525")</f>
        <v>065-046525</v>
      </c>
      <c r="U23" s="2073"/>
      <c r="V23" s="2073"/>
      <c r="W23" s="2073"/>
      <c r="X23" s="2077">
        <v>44469</v>
      </c>
      <c r="Y23" s="2078"/>
      <c r="Z23" s="2078"/>
      <c r="AA23" s="2079"/>
    </row>
    <row r="24" spans="1:27" ht="14.1" customHeight="1">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4" t="s">
        <v>552</v>
      </c>
      <c r="U24" s="105"/>
      <c r="V24" s="105"/>
      <c r="W24" s="105"/>
      <c r="X24" s="106"/>
      <c r="Y24" s="106"/>
      <c r="Z24" s="106"/>
      <c r="AA24" s="107"/>
    </row>
    <row r="25" spans="1:27" ht="14.1" customHeight="1">
      <c r="A25" s="1974">
        <v>60443</v>
      </c>
      <c r="B25" s="1975"/>
      <c r="C25" s="1975"/>
      <c r="D25" s="1975"/>
      <c r="E25" s="1975"/>
      <c r="F25" s="1975"/>
      <c r="G25" s="1975"/>
      <c r="H25" s="1976"/>
      <c r="I25" s="112"/>
      <c r="J25" s="1999"/>
      <c r="K25" s="1999"/>
      <c r="L25" s="1999"/>
      <c r="M25" s="1999"/>
      <c r="N25" s="1999"/>
      <c r="O25" s="1999"/>
      <c r="P25" s="1999"/>
      <c r="Q25" s="1999"/>
      <c r="R25" s="1999"/>
      <c r="S25" s="2000"/>
      <c r="T25" s="2070" t="str">
        <f>+IF(T15="Susan R. Jones","sjones@millercooper.com","ballen@millercooper.com")</f>
        <v>ballen@millercooper.com</v>
      </c>
      <c r="U25" s="2071"/>
      <c r="V25" s="2071"/>
      <c r="W25" s="2071"/>
      <c r="X25" s="2071"/>
      <c r="Y25" s="2071"/>
      <c r="Z25" s="2071"/>
      <c r="AA25" s="2072"/>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1224</v>
      </c>
      <c r="D27" s="118"/>
      <c r="E27" s="118"/>
      <c r="I27" s="1985" t="s">
        <v>1591</v>
      </c>
      <c r="J27" s="1986"/>
      <c r="K27" s="1986"/>
      <c r="L27" s="1986"/>
      <c r="M27" s="1986"/>
      <c r="N27" s="1986"/>
      <c r="O27" s="1986"/>
      <c r="P27" s="1986"/>
      <c r="Q27" s="1986"/>
      <c r="R27" s="1986"/>
      <c r="S27" s="1987"/>
      <c r="T27" s="129"/>
      <c r="U27" s="130"/>
      <c r="V27" s="130"/>
      <c r="W27" s="130"/>
      <c r="X27" s="130"/>
      <c r="Y27" s="130"/>
      <c r="Z27" s="130"/>
      <c r="AA27" s="131"/>
    </row>
    <row r="28" spans="1:27" ht="14.1" customHeight="1">
      <c r="A28" s="151"/>
      <c r="B28" s="113"/>
      <c r="C28" s="117" t="s">
        <v>1225</v>
      </c>
      <c r="D28" s="113"/>
      <c r="E28" s="113"/>
      <c r="F28" s="113"/>
      <c r="G28" s="113"/>
      <c r="I28" s="115"/>
      <c r="S28" s="48"/>
      <c r="T28" s="129"/>
      <c r="U28" s="130"/>
      <c r="V28" s="130"/>
      <c r="W28" s="132" t="s">
        <v>1108</v>
      </c>
      <c r="X28" s="130"/>
      <c r="Y28" s="130"/>
      <c r="Z28" s="130"/>
      <c r="AA28" s="131"/>
    </row>
    <row r="29" spans="1:27" ht="14.1" customHeight="1">
      <c r="A29" s="151"/>
      <c r="B29" s="135"/>
      <c r="C29" s="123" t="s">
        <v>874</v>
      </c>
      <c r="D29" s="113"/>
      <c r="E29" s="135" t="s">
        <v>2081</v>
      </c>
      <c r="F29" s="140" t="s">
        <v>1383</v>
      </c>
      <c r="G29" s="113"/>
      <c r="I29" s="54"/>
      <c r="J29" s="147" t="s">
        <v>2081</v>
      </c>
      <c r="K29" s="28" t="s">
        <v>597</v>
      </c>
      <c r="L29" s="101"/>
      <c r="M29" s="40" t="s">
        <v>101</v>
      </c>
      <c r="N29" s="32" t="s">
        <v>1604</v>
      </c>
      <c r="O29" s="32"/>
      <c r="P29" s="32"/>
      <c r="Q29" s="32"/>
      <c r="R29" s="32"/>
      <c r="S29" s="122"/>
      <c r="T29" s="6"/>
      <c r="U29" s="6"/>
      <c r="V29" s="6"/>
      <c r="W29" s="6"/>
      <c r="X29" s="6"/>
      <c r="Y29" s="6"/>
      <c r="Z29" s="6"/>
      <c r="AA29" s="131"/>
    </row>
    <row r="30" spans="1:27" ht="13.5" customHeight="1">
      <c r="A30" s="152"/>
      <c r="B30" s="135"/>
      <c r="C30" s="123" t="s">
        <v>1226</v>
      </c>
      <c r="D30" s="28"/>
      <c r="E30" s="28"/>
      <c r="F30" s="139"/>
      <c r="G30" s="113"/>
      <c r="H30" s="113"/>
      <c r="I30" s="54"/>
      <c r="J30" s="147" t="s">
        <v>2081</v>
      </c>
      <c r="K30" s="28" t="s">
        <v>597</v>
      </c>
      <c r="L30" s="101"/>
      <c r="M30" s="40" t="s">
        <v>101</v>
      </c>
      <c r="N30" s="32" t="s">
        <v>1592</v>
      </c>
      <c r="O30" s="32"/>
      <c r="P30" s="32"/>
      <c r="Q30" s="32"/>
      <c r="R30" s="32"/>
      <c r="S30" s="55"/>
      <c r="T30" s="6"/>
      <c r="U30" s="6"/>
      <c r="V30" s="6"/>
      <c r="W30" s="6"/>
      <c r="X30" s="6"/>
      <c r="Y30" s="6"/>
      <c r="Z30" s="6"/>
      <c r="AA30" s="48"/>
    </row>
    <row r="31" spans="1:27" ht="13.5" customHeight="1">
      <c r="A31" s="152"/>
      <c r="B31" s="135"/>
      <c r="C31" s="123" t="s">
        <v>1227</v>
      </c>
      <c r="D31" s="28"/>
      <c r="E31" s="28"/>
      <c r="F31" s="28"/>
      <c r="G31" s="28"/>
      <c r="H31" s="28"/>
      <c r="I31" s="54"/>
      <c r="J31" s="147" t="s">
        <v>2081</v>
      </c>
      <c r="K31" s="40" t="s">
        <v>940</v>
      </c>
      <c r="L31" s="101"/>
      <c r="M31" s="40" t="s">
        <v>101</v>
      </c>
      <c r="N31" s="32" t="s">
        <v>1682</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2081</v>
      </c>
      <c r="C34" s="32" t="s">
        <v>563</v>
      </c>
      <c r="D34" s="31"/>
      <c r="E34" s="31"/>
      <c r="F34" s="31"/>
      <c r="G34" s="31"/>
      <c r="H34" s="31"/>
      <c r="I34" s="54"/>
      <c r="J34" s="83"/>
      <c r="L34" s="148" t="s">
        <v>2081</v>
      </c>
      <c r="M34" s="93" t="s">
        <v>731</v>
      </c>
      <c r="N34" s="30"/>
      <c r="O34" s="30"/>
      <c r="P34" s="30"/>
      <c r="Q34" s="30"/>
      <c r="R34" s="30"/>
      <c r="S34" s="55"/>
      <c r="T34" s="30"/>
      <c r="U34" s="101"/>
      <c r="V34" s="32" t="s">
        <v>436</v>
      </c>
      <c r="W34" s="30"/>
      <c r="X34" s="30"/>
      <c r="AA34" s="48"/>
    </row>
    <row r="35" spans="1:27" ht="13.5" customHeight="1">
      <c r="A35" s="54"/>
      <c r="B35" s="30"/>
      <c r="C35" s="30"/>
      <c r="D35" s="34"/>
      <c r="E35" s="34"/>
      <c r="F35" s="34"/>
      <c r="G35" s="34"/>
      <c r="H35" s="34"/>
      <c r="I35" s="54"/>
      <c r="J35" s="33"/>
      <c r="L35" s="32" t="s">
        <v>732</v>
      </c>
      <c r="N35" s="33"/>
      <c r="O35" s="33"/>
      <c r="P35" s="1996" t="s">
        <v>2087</v>
      </c>
      <c r="Q35" s="1975"/>
      <c r="R35" s="1975"/>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c r="A38" s="2010" t="s">
        <v>2088</v>
      </c>
      <c r="B38" s="2011"/>
      <c r="C38" s="2011"/>
      <c r="D38" s="2011"/>
      <c r="E38" s="2011"/>
      <c r="F38" s="1975"/>
      <c r="G38" s="1975"/>
      <c r="H38" s="1976"/>
      <c r="I38" s="2003" t="s">
        <v>2091</v>
      </c>
      <c r="J38" s="2004"/>
      <c r="K38" s="2004"/>
      <c r="L38" s="2004"/>
      <c r="M38" s="2004"/>
      <c r="N38" s="2004"/>
      <c r="O38" s="2004"/>
      <c r="P38" s="2005"/>
      <c r="Q38" s="2005"/>
      <c r="R38" s="2005"/>
      <c r="S38" s="2006"/>
      <c r="T38" s="2060" t="s">
        <v>2095</v>
      </c>
      <c r="U38" s="2004"/>
      <c r="V38" s="2004"/>
      <c r="W38" s="2004"/>
      <c r="X38" s="2005"/>
      <c r="Y38" s="2005"/>
      <c r="Z38" s="2005"/>
      <c r="AA38" s="2006"/>
    </row>
    <row r="39" spans="1:27" ht="12" customHeight="1">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c r="A40" s="1988"/>
      <c r="B40" s="1989"/>
      <c r="C40" s="1990"/>
      <c r="D40" s="1990"/>
      <c r="E40" s="1990"/>
      <c r="F40" s="1991"/>
      <c r="G40" s="1991"/>
      <c r="H40" s="1992"/>
      <c r="I40" s="2013"/>
      <c r="J40" s="2014"/>
      <c r="K40" s="2014"/>
      <c r="L40" s="2014"/>
      <c r="M40" s="2014"/>
      <c r="N40" s="2014"/>
      <c r="O40" s="2014"/>
      <c r="P40" s="2014"/>
      <c r="Q40" s="2014"/>
      <c r="R40" s="2014"/>
      <c r="S40" s="2015"/>
      <c r="T40" s="2013" t="s">
        <v>2096</v>
      </c>
      <c r="U40" s="2076"/>
      <c r="V40" s="2014"/>
      <c r="W40" s="2014"/>
      <c r="X40" s="2014"/>
      <c r="Y40" s="2014"/>
      <c r="Z40" s="2014"/>
      <c r="AA40" s="2015"/>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02" t="s">
        <v>2089</v>
      </c>
      <c r="B42" s="1994"/>
      <c r="C42" s="1995"/>
      <c r="D42" s="1993" t="s">
        <v>2090</v>
      </c>
      <c r="E42" s="1994"/>
      <c r="F42" s="1994"/>
      <c r="G42" s="1994"/>
      <c r="H42" s="1995"/>
      <c r="I42" s="1977" t="s">
        <v>2092</v>
      </c>
      <c r="J42" s="1978"/>
      <c r="K42" s="1978"/>
      <c r="L42" s="1978"/>
      <c r="M42" s="1978"/>
      <c r="N42" s="1978"/>
      <c r="O42" s="1979"/>
      <c r="P42" s="2012" t="s">
        <v>2093</v>
      </c>
      <c r="Q42" s="1978"/>
      <c r="R42" s="1978"/>
      <c r="S42" s="1979"/>
      <c r="T42" s="1977" t="s">
        <v>2097</v>
      </c>
      <c r="U42" s="1978"/>
      <c r="V42" s="1978"/>
      <c r="W42" s="1979"/>
      <c r="X42" s="2012" t="s">
        <v>2098</v>
      </c>
      <c r="Y42" s="1978"/>
      <c r="Z42" s="1978"/>
      <c r="AA42" s="1979"/>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c r="A45" s="41" t="s">
        <v>195</v>
      </c>
      <c r="Q45" s="41" t="s">
        <v>1491</v>
      </c>
      <c r="R45" s="41"/>
      <c r="S45" s="41"/>
      <c r="T45" s="146"/>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6"/>
      <c r="Q47" s="41" t="s">
        <v>2065</v>
      </c>
      <c r="R47" s="41"/>
      <c r="S47" s="41"/>
      <c r="T47" s="41"/>
      <c r="U47" s="41"/>
      <c r="V47" s="41"/>
      <c r="W47" s="41"/>
      <c r="X47" s="41"/>
      <c r="Y47" s="41"/>
      <c r="Z47" s="41"/>
      <c r="AA47" s="41"/>
    </row>
    <row r="48" spans="1:27">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topLeftCell="A2" colorId="8" zoomScaleNormal="110" zoomScaleSheetLayoutView="100" workbookViewId="0">
      <selection activeCell="E17" sqref="E17"/>
    </sheetView>
  </sheetViews>
  <sheetFormatPr defaultColWidth="9.140625" defaultRowHeight="12.75"/>
  <cols>
    <col min="1" max="1" width="41.42578125" style="251" customWidth="1"/>
    <col min="2" max="3" width="17.7109375" style="683" customWidth="1"/>
    <col min="4" max="5" width="17.7109375" style="684" customWidth="1"/>
    <col min="6" max="6" width="17.7109375" style="328" customWidth="1"/>
    <col min="7" max="7" width="4.28515625" style="328" customWidth="1"/>
    <col min="8" max="8" width="33.28515625" style="328" customWidth="1"/>
    <col min="9" max="16384" width="9.140625" style="328"/>
  </cols>
  <sheetData>
    <row r="1" spans="1:6" ht="33.75" customHeight="1">
      <c r="A1" s="1878" t="s">
        <v>106</v>
      </c>
    </row>
    <row r="2" spans="1:6" ht="39.75" customHeight="1">
      <c r="A2" s="2216" t="s">
        <v>1903</v>
      </c>
      <c r="B2" s="1520" t="s">
        <v>2035</v>
      </c>
      <c r="C2" s="685" t="s">
        <v>1908</v>
      </c>
      <c r="D2" s="685" t="s">
        <v>1909</v>
      </c>
      <c r="E2" s="685" t="s">
        <v>1910</v>
      </c>
      <c r="F2" s="685" t="s">
        <v>1911</v>
      </c>
    </row>
    <row r="3" spans="1:6" ht="12" customHeight="1">
      <c r="A3" s="2217"/>
      <c r="B3" s="1517"/>
      <c r="C3" s="1518"/>
      <c r="D3" s="1519" t="s">
        <v>274</v>
      </c>
      <c r="E3" s="1518"/>
      <c r="F3" s="1519" t="s">
        <v>275</v>
      </c>
    </row>
    <row r="4" spans="1:6" ht="13.7" customHeight="1">
      <c r="A4" s="686" t="s">
        <v>1217</v>
      </c>
      <c r="B4" s="1741">
        <f>'Revenues 9-14'!C5</f>
        <v>31605552</v>
      </c>
      <c r="C4" s="1516">
        <v>18127153</v>
      </c>
      <c r="D4" s="1744">
        <f>B4-C4</f>
        <v>13478399</v>
      </c>
      <c r="E4" s="1516">
        <v>40873761</v>
      </c>
      <c r="F4" s="1744">
        <f>E4-C4</f>
        <v>22746608</v>
      </c>
    </row>
    <row r="5" spans="1:6" ht="13.7" customHeight="1">
      <c r="A5" s="686" t="s">
        <v>925</v>
      </c>
      <c r="B5" s="1742">
        <f>'Revenues 9-14'!D5</f>
        <v>4344147</v>
      </c>
      <c r="C5" s="563">
        <v>2253363</v>
      </c>
      <c r="D5" s="1745">
        <f t="shared" ref="D5:D18" si="0">B5-C5</f>
        <v>2090784</v>
      </c>
      <c r="E5" s="563">
        <v>5080864</v>
      </c>
      <c r="F5" s="1745">
        <f>E5-C5</f>
        <v>2827501</v>
      </c>
    </row>
    <row r="6" spans="1:6" ht="13.7" customHeight="1">
      <c r="A6" s="686" t="s">
        <v>431</v>
      </c>
      <c r="B6" s="1742">
        <f>'Revenues 9-14'!E5</f>
        <v>4319168</v>
      </c>
      <c r="C6" s="563">
        <v>2213352</v>
      </c>
      <c r="D6" s="1745">
        <f t="shared" si="0"/>
        <v>2105816</v>
      </c>
      <c r="E6" s="563">
        <v>4990855</v>
      </c>
      <c r="F6" s="1745">
        <f t="shared" ref="F6:F18" si="1">E6-C6</f>
        <v>2777503</v>
      </c>
    </row>
    <row r="7" spans="1:6" ht="13.7" customHeight="1">
      <c r="A7" s="686" t="s">
        <v>157</v>
      </c>
      <c r="B7" s="1742">
        <f>'Revenues 9-14'!F5</f>
        <v>3203586</v>
      </c>
      <c r="C7" s="563">
        <v>378125</v>
      </c>
      <c r="D7" s="1745">
        <f t="shared" si="0"/>
        <v>2825461</v>
      </c>
      <c r="E7" s="563">
        <v>852278</v>
      </c>
      <c r="F7" s="1745">
        <f t="shared" si="1"/>
        <v>474153</v>
      </c>
    </row>
    <row r="8" spans="1:6" ht="13.7" customHeight="1">
      <c r="A8" s="686" t="s">
        <v>1241</v>
      </c>
      <c r="B8" s="1742">
        <f>'Revenues 9-14'!G5</f>
        <v>458482</v>
      </c>
      <c r="C8" s="563">
        <v>119593</v>
      </c>
      <c r="D8" s="1745">
        <f t="shared" si="0"/>
        <v>338889</v>
      </c>
      <c r="E8" s="563">
        <v>269889</v>
      </c>
      <c r="F8" s="1745">
        <f t="shared" si="1"/>
        <v>150296</v>
      </c>
    </row>
    <row r="9" spans="1:6" ht="13.7" customHeight="1">
      <c r="A9" s="686" t="s">
        <v>428</v>
      </c>
      <c r="B9" s="1742">
        <f>'Revenues 9-14'!H5</f>
        <v>0</v>
      </c>
      <c r="C9" s="563"/>
      <c r="D9" s="1745">
        <f t="shared" si="0"/>
        <v>0</v>
      </c>
      <c r="E9" s="563"/>
      <c r="F9" s="1745">
        <f t="shared" si="1"/>
        <v>0</v>
      </c>
    </row>
    <row r="10" spans="1:6" ht="13.7" customHeight="1">
      <c r="A10" s="686" t="s">
        <v>427</v>
      </c>
      <c r="B10" s="1742">
        <f>'Revenues 9-14'!I5</f>
        <v>394918</v>
      </c>
      <c r="C10" s="563">
        <v>204891</v>
      </c>
      <c r="D10" s="1745">
        <f t="shared" si="0"/>
        <v>190027</v>
      </c>
      <c r="E10" s="563">
        <v>461897</v>
      </c>
      <c r="F10" s="1745">
        <f t="shared" si="1"/>
        <v>257006</v>
      </c>
    </row>
    <row r="11" spans="1:6">
      <c r="A11" s="686" t="s">
        <v>429</v>
      </c>
      <c r="B11" s="1742">
        <f>'Revenues 9-14'!J5</f>
        <v>1955476</v>
      </c>
      <c r="C11" s="563">
        <v>931244</v>
      </c>
      <c r="D11" s="1745">
        <f t="shared" si="0"/>
        <v>1024232</v>
      </c>
      <c r="E11" s="563">
        <v>2100000</v>
      </c>
      <c r="F11" s="1745">
        <f t="shared" si="1"/>
        <v>1168756</v>
      </c>
    </row>
    <row r="12" spans="1:6" ht="13.7" customHeight="1">
      <c r="A12" s="686" t="s">
        <v>159</v>
      </c>
      <c r="B12" s="1742">
        <f>'Revenues 9-14'!K5</f>
        <v>362400</v>
      </c>
      <c r="C12" s="563"/>
      <c r="D12" s="1745">
        <f t="shared" si="0"/>
        <v>362400</v>
      </c>
      <c r="E12" s="563"/>
      <c r="F12" s="1745">
        <f t="shared" si="1"/>
        <v>0</v>
      </c>
    </row>
    <row r="13" spans="1:6" ht="13.7" customHeight="1">
      <c r="A13" s="686" t="s">
        <v>993</v>
      </c>
      <c r="B13" s="1742">
        <f>SUM('Revenues 9-14'!C6:D6)</f>
        <v>152769</v>
      </c>
      <c r="C13" s="563"/>
      <c r="D13" s="1745">
        <f t="shared" si="0"/>
        <v>152769</v>
      </c>
      <c r="E13" s="563"/>
      <c r="F13" s="1745">
        <f t="shared" si="1"/>
        <v>0</v>
      </c>
    </row>
    <row r="14" spans="1:6" ht="13.7" customHeight="1">
      <c r="A14" s="686" t="s">
        <v>430</v>
      </c>
      <c r="B14" s="1742">
        <f>SUM('Revenues 9-14'!C7:D7,'Revenues 9-14'!F7:H7)</f>
        <v>3175665</v>
      </c>
      <c r="C14" s="563">
        <v>1638690</v>
      </c>
      <c r="D14" s="1745">
        <f t="shared" si="0"/>
        <v>1536975</v>
      </c>
      <c r="E14" s="563">
        <v>3695174</v>
      </c>
      <c r="F14" s="1745">
        <f t="shared" si="1"/>
        <v>2056484</v>
      </c>
    </row>
    <row r="15" spans="1:6" ht="13.7" customHeight="1">
      <c r="A15" s="686" t="s">
        <v>1220</v>
      </c>
      <c r="B15" s="1742">
        <f>'Revenues 9-14'!E9</f>
        <v>0</v>
      </c>
      <c r="C15" s="563"/>
      <c r="D15" s="1745">
        <f t="shared" si="0"/>
        <v>0</v>
      </c>
      <c r="E15" s="563"/>
      <c r="F15" s="1745">
        <f t="shared" si="1"/>
        <v>0</v>
      </c>
    </row>
    <row r="16" spans="1:6" ht="13.7" customHeight="1">
      <c r="A16" s="686" t="s">
        <v>1221</v>
      </c>
      <c r="B16" s="1742">
        <f>'Revenues 9-14'!G8</f>
        <v>537389</v>
      </c>
      <c r="C16" s="563">
        <v>145095</v>
      </c>
      <c r="D16" s="1745">
        <f t="shared" si="0"/>
        <v>392294</v>
      </c>
      <c r="E16" s="563">
        <v>326707</v>
      </c>
      <c r="F16" s="1745">
        <f t="shared" si="1"/>
        <v>181612</v>
      </c>
    </row>
    <row r="17" spans="1:6" ht="13.7" customHeight="1">
      <c r="A17" s="686" t="s">
        <v>1222</v>
      </c>
      <c r="B17" s="1742">
        <f>'Revenues 9-14'!C10</f>
        <v>0</v>
      </c>
      <c r="C17" s="563"/>
      <c r="D17" s="1745">
        <f t="shared" si="0"/>
        <v>0</v>
      </c>
      <c r="E17" s="563"/>
      <c r="F17" s="1745">
        <f t="shared" si="1"/>
        <v>0</v>
      </c>
    </row>
    <row r="18" spans="1:6" ht="13.7" customHeight="1">
      <c r="A18" s="686" t="s">
        <v>786</v>
      </c>
      <c r="B18" s="1742">
        <f>SUM('Revenues 9-14'!C11:K11)</f>
        <v>0</v>
      </c>
      <c r="C18" s="563"/>
      <c r="D18" s="1745">
        <f t="shared" si="0"/>
        <v>0</v>
      </c>
      <c r="E18" s="563"/>
      <c r="F18" s="1745">
        <f t="shared" si="1"/>
        <v>0</v>
      </c>
    </row>
    <row r="19" spans="1:6" ht="13.7" customHeight="1" thickBot="1">
      <c r="A19" s="1746" t="s">
        <v>1223</v>
      </c>
      <c r="B19" s="1743">
        <f>SUM(B4:B18)</f>
        <v>50509552</v>
      </c>
      <c r="C19" s="1743">
        <f>SUM(C4:C18)</f>
        <v>26011506</v>
      </c>
      <c r="D19" s="1743">
        <f>SUM(D4:D18)</f>
        <v>24498046</v>
      </c>
      <c r="E19" s="1743">
        <f>SUM(E4:E18)</f>
        <v>58651425</v>
      </c>
      <c r="F19" s="1743">
        <f>SUM(F4:F18)</f>
        <v>32639919</v>
      </c>
    </row>
    <row r="20" spans="1:6" ht="13.5" thickTop="1">
      <c r="B20" s="684"/>
      <c r="F20" s="687"/>
    </row>
    <row r="21" spans="1:6">
      <c r="A21" s="688" t="s">
        <v>1913</v>
      </c>
      <c r="B21" s="689"/>
      <c r="F21" s="687"/>
    </row>
    <row r="22" spans="1:6">
      <c r="A22" s="690" t="s">
        <v>649</v>
      </c>
      <c r="B22" s="691"/>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9" colorId="8" zoomScaleNormal="110" zoomScaleSheetLayoutView="100" workbookViewId="0">
      <selection activeCell="A39" sqref="A39"/>
    </sheetView>
  </sheetViews>
  <sheetFormatPr defaultColWidth="9.140625" defaultRowHeight="12.75"/>
  <cols>
    <col min="1" max="1" width="44" style="400" customWidth="1"/>
    <col min="2" max="2" width="12.140625" style="693" customWidth="1"/>
    <col min="3" max="5" width="16.7109375" style="693" customWidth="1"/>
    <col min="6" max="6" width="13.42578125" style="383" customWidth="1"/>
    <col min="7" max="7" width="14.7109375" style="383" customWidth="1"/>
    <col min="8" max="10" width="16.7109375" style="383" customWidth="1"/>
    <col min="11" max="16384" width="9.140625" style="383"/>
  </cols>
  <sheetData>
    <row r="1" spans="1:7" ht="27" customHeight="1">
      <c r="A1" s="2238" t="s">
        <v>650</v>
      </c>
      <c r="B1" s="2236"/>
      <c r="C1" s="692"/>
    </row>
    <row r="2" spans="1:7" ht="33.75">
      <c r="A2" s="2243" t="s">
        <v>1903</v>
      </c>
      <c r="B2" s="2244"/>
      <c r="C2" s="1879" t="s">
        <v>2036</v>
      </c>
      <c r="D2" s="694" t="s">
        <v>2043</v>
      </c>
      <c r="E2" s="694" t="s">
        <v>2044</v>
      </c>
      <c r="F2" s="1879" t="s">
        <v>2037</v>
      </c>
    </row>
    <row r="3" spans="1:7" ht="15.75" customHeight="1">
      <c r="A3" s="2245" t="s">
        <v>1176</v>
      </c>
      <c r="B3" s="2246"/>
      <c r="C3" s="2239"/>
      <c r="D3" s="2240"/>
      <c r="E3" s="2240"/>
      <c r="F3" s="2241"/>
    </row>
    <row r="4" spans="1:7" ht="12.75" customHeight="1" thickBot="1">
      <c r="A4" s="2233" t="s">
        <v>651</v>
      </c>
      <c r="B4" s="2234"/>
      <c r="C4" s="560"/>
      <c r="D4" s="560"/>
      <c r="E4" s="560"/>
      <c r="F4" s="1747">
        <f>SUM(C4+D4)-E4</f>
        <v>0</v>
      </c>
    </row>
    <row r="5" spans="1:7" ht="15.75" customHeight="1" thickTop="1">
      <c r="A5" s="2237" t="s">
        <v>1172</v>
      </c>
      <c r="B5" s="2232"/>
      <c r="C5" s="2226"/>
      <c r="D5" s="2227"/>
      <c r="E5" s="2227"/>
      <c r="F5" s="2228"/>
    </row>
    <row r="6" spans="1:7" ht="12.75" customHeight="1" thickBot="1">
      <c r="A6" s="695" t="s">
        <v>66</v>
      </c>
      <c r="B6" s="696"/>
      <c r="C6" s="697"/>
      <c r="D6" s="563"/>
      <c r="E6" s="697"/>
      <c r="F6" s="1747">
        <f t="shared" ref="F6:F14" si="0">SUM(C6+D6)-E6</f>
        <v>0</v>
      </c>
    </row>
    <row r="7" spans="1:7" ht="12.75" customHeight="1" thickTop="1" thickBot="1">
      <c r="A7" s="695" t="s">
        <v>6</v>
      </c>
      <c r="B7" s="696"/>
      <c r="C7" s="697"/>
      <c r="D7" s="563"/>
      <c r="E7" s="697"/>
      <c r="F7" s="1747">
        <f t="shared" si="0"/>
        <v>0</v>
      </c>
    </row>
    <row r="8" spans="1:7" ht="12.75" customHeight="1" thickTop="1" thickBot="1">
      <c r="A8" s="695" t="s">
        <v>529</v>
      </c>
      <c r="B8" s="696"/>
      <c r="C8" s="697"/>
      <c r="D8" s="563"/>
      <c r="E8" s="697"/>
      <c r="F8" s="1747">
        <f t="shared" si="0"/>
        <v>0</v>
      </c>
    </row>
    <row r="9" spans="1:7" ht="12.75" customHeight="1" thickTop="1" thickBot="1">
      <c r="A9" s="695" t="s">
        <v>530</v>
      </c>
      <c r="B9" s="696"/>
      <c r="C9" s="697"/>
      <c r="D9" s="563"/>
      <c r="E9" s="697"/>
      <c r="F9" s="1747">
        <f t="shared" si="0"/>
        <v>0</v>
      </c>
    </row>
    <row r="10" spans="1:7" ht="12.75" customHeight="1" thickTop="1" thickBot="1">
      <c r="A10" s="695" t="s">
        <v>531</v>
      </c>
      <c r="B10" s="696"/>
      <c r="C10" s="697"/>
      <c r="D10" s="563"/>
      <c r="E10" s="697"/>
      <c r="F10" s="1747">
        <f t="shared" si="0"/>
        <v>0</v>
      </c>
    </row>
    <row r="11" spans="1:7" ht="12.75" customHeight="1" thickTop="1" thickBot="1">
      <c r="A11" s="695" t="s">
        <v>359</v>
      </c>
      <c r="B11" s="696"/>
      <c r="C11" s="697"/>
      <c r="D11" s="563"/>
      <c r="E11" s="697"/>
      <c r="F11" s="1747">
        <f t="shared" si="0"/>
        <v>0</v>
      </c>
    </row>
    <row r="12" spans="1:7" ht="12.75" customHeight="1" thickTop="1" thickBot="1">
      <c r="A12" s="695" t="s">
        <v>1219</v>
      </c>
      <c r="B12" s="696"/>
      <c r="C12" s="697"/>
      <c r="D12" s="563"/>
      <c r="E12" s="697"/>
      <c r="F12" s="1747">
        <f t="shared" si="0"/>
        <v>0</v>
      </c>
    </row>
    <row r="13" spans="1:7" ht="12.75" customHeight="1" thickTop="1" thickBot="1">
      <c r="A13" s="695" t="s">
        <v>406</v>
      </c>
      <c r="B13" s="696"/>
      <c r="C13" s="697"/>
      <c r="D13" s="563"/>
      <c r="E13" s="697"/>
      <c r="F13" s="1747">
        <f t="shared" si="0"/>
        <v>0</v>
      </c>
    </row>
    <row r="14" spans="1:7" ht="12.75" customHeight="1" thickTop="1" thickBot="1">
      <c r="A14" s="695" t="s">
        <v>468</v>
      </c>
      <c r="B14" s="696"/>
      <c r="C14" s="697"/>
      <c r="D14" s="563"/>
      <c r="E14" s="697"/>
      <c r="F14" s="1747">
        <f t="shared" si="0"/>
        <v>0</v>
      </c>
    </row>
    <row r="15" spans="1:7" ht="14.25" thickTop="1" thickBot="1">
      <c r="A15" s="2229" t="s">
        <v>652</v>
      </c>
      <c r="B15" s="2230"/>
      <c r="C15" s="1747">
        <f>SUM(C6:C14)</f>
        <v>0</v>
      </c>
      <c r="D15" s="1747">
        <f>SUM(D6:D14)</f>
        <v>0</v>
      </c>
      <c r="E15" s="1747">
        <f>SUM(E6:E14)</f>
        <v>0</v>
      </c>
      <c r="F15" s="1747">
        <f>SUM(F6:F14)</f>
        <v>0</v>
      </c>
      <c r="G15" s="539"/>
    </row>
    <row r="16" spans="1:7" s="201" customFormat="1" ht="15.75" customHeight="1" thickTop="1">
      <c r="A16" s="2242" t="s">
        <v>1173</v>
      </c>
      <c r="B16" s="2232"/>
      <c r="C16" s="2226"/>
      <c r="D16" s="2227"/>
      <c r="E16" s="2227"/>
      <c r="F16" s="2228"/>
    </row>
    <row r="17" spans="1:11" ht="12.75" customHeight="1" thickBot="1">
      <c r="A17" s="2224" t="s">
        <v>66</v>
      </c>
      <c r="B17" s="2225"/>
      <c r="C17" s="697"/>
      <c r="D17" s="563"/>
      <c r="E17" s="697"/>
      <c r="F17" s="1747">
        <f>SUM(C17+D17)-E17</f>
        <v>0</v>
      </c>
    </row>
    <row r="18" spans="1:11" ht="12.75" customHeight="1" thickTop="1" thickBot="1">
      <c r="A18" s="2224" t="s">
        <v>6</v>
      </c>
      <c r="B18" s="2225"/>
      <c r="C18" s="697"/>
      <c r="D18" s="563"/>
      <c r="E18" s="697"/>
      <c r="F18" s="1747">
        <f>SUM(C18+D18)-E18</f>
        <v>0</v>
      </c>
    </row>
    <row r="19" spans="1:11" ht="12.75" customHeight="1" thickTop="1" thickBot="1">
      <c r="A19" s="2224" t="s">
        <v>406</v>
      </c>
      <c r="B19" s="2225"/>
      <c r="C19" s="697"/>
      <c r="D19" s="563"/>
      <c r="E19" s="697"/>
      <c r="F19" s="1747">
        <f>SUM(C19+D19)-E19</f>
        <v>0</v>
      </c>
    </row>
    <row r="20" spans="1:11" ht="12.75" customHeight="1" thickTop="1" thickBot="1">
      <c r="A20" s="2224" t="s">
        <v>468</v>
      </c>
      <c r="B20" s="2225"/>
      <c r="C20" s="697"/>
      <c r="D20" s="563"/>
      <c r="E20" s="697"/>
      <c r="F20" s="1747">
        <f>SUM(C20+D20)-E20</f>
        <v>0</v>
      </c>
    </row>
    <row r="21" spans="1:11" ht="14.25" thickTop="1" thickBot="1">
      <c r="A21" s="2229" t="s">
        <v>653</v>
      </c>
      <c r="B21" s="2230"/>
      <c r="C21" s="1747">
        <f>SUM(C17:C20)</f>
        <v>0</v>
      </c>
      <c r="D21" s="1747">
        <f>SUM(D17:D20)</f>
        <v>0</v>
      </c>
      <c r="E21" s="1747">
        <f>SUM(E17:E20)</f>
        <v>0</v>
      </c>
      <c r="F21" s="1747">
        <f>SUM(F17:F20)</f>
        <v>0</v>
      </c>
      <c r="G21" s="539"/>
    </row>
    <row r="22" spans="1:11" ht="15.75" customHeight="1" thickTop="1">
      <c r="A22" s="2231" t="s">
        <v>1174</v>
      </c>
      <c r="B22" s="2232"/>
      <c r="C22" s="2226"/>
      <c r="D22" s="2227"/>
      <c r="E22" s="2227"/>
      <c r="F22" s="2228"/>
    </row>
    <row r="23" spans="1:11" ht="13.5" thickBot="1">
      <c r="A23" s="2233" t="s">
        <v>654</v>
      </c>
      <c r="B23" s="2234"/>
      <c r="C23" s="560"/>
      <c r="D23" s="560"/>
      <c r="E23" s="560"/>
      <c r="F23" s="1747">
        <f>SUM(C23+D23)-E23</f>
        <v>0</v>
      </c>
      <c r="G23" s="539"/>
    </row>
    <row r="24" spans="1:11" ht="15.75" customHeight="1" thickTop="1">
      <c r="A24" s="2231" t="s">
        <v>1175</v>
      </c>
      <c r="B24" s="2232"/>
      <c r="C24" s="2226"/>
      <c r="D24" s="2227"/>
      <c r="E24" s="2227"/>
      <c r="F24" s="2228"/>
    </row>
    <row r="25" spans="1:11" ht="13.5" thickBot="1">
      <c r="A25" s="2233" t="s">
        <v>655</v>
      </c>
      <c r="B25" s="2234"/>
      <c r="C25" s="560"/>
      <c r="D25" s="560"/>
      <c r="E25" s="560"/>
      <c r="F25" s="1747">
        <f>SUM(C25+D25)-E25</f>
        <v>0</v>
      </c>
      <c r="G25" s="539"/>
    </row>
    <row r="26" spans="1:11" ht="15.75" customHeight="1" thickTop="1">
      <c r="A26" s="2237" t="s">
        <v>678</v>
      </c>
      <c r="B26" s="2232"/>
      <c r="C26" s="698"/>
      <c r="D26" s="698"/>
      <c r="E26" s="698"/>
      <c r="F26" s="699"/>
    </row>
    <row r="27" spans="1:11" ht="13.5" thickBot="1">
      <c r="A27" s="2229" t="s">
        <v>1130</v>
      </c>
      <c r="B27" s="2230"/>
      <c r="C27" s="563"/>
      <c r="D27" s="563"/>
      <c r="E27" s="563"/>
      <c r="F27" s="1747">
        <f>SUM(C27+D27)-E27</f>
        <v>0</v>
      </c>
      <c r="G27" s="539"/>
    </row>
    <row r="28" spans="1:11" ht="7.5" customHeight="1" thickTop="1">
      <c r="A28" s="568"/>
    </row>
    <row r="29" spans="1:11" ht="23.25" customHeight="1">
      <c r="A29" s="2235" t="s">
        <v>603</v>
      </c>
      <c r="B29" s="2236"/>
      <c r="C29" s="700"/>
      <c r="D29" s="700"/>
      <c r="E29" s="700"/>
      <c r="F29" s="700"/>
      <c r="G29" s="700"/>
      <c r="H29" s="700"/>
      <c r="I29" s="700"/>
      <c r="J29" s="700"/>
    </row>
    <row r="30" spans="1:11" ht="33.75">
      <c r="A30" s="1521" t="s">
        <v>1131</v>
      </c>
      <c r="B30" s="701" t="s">
        <v>1186</v>
      </c>
      <c r="C30" s="1880" t="s">
        <v>604</v>
      </c>
      <c r="D30" s="1880" t="s">
        <v>1772</v>
      </c>
      <c r="E30" s="1880" t="s">
        <v>2038</v>
      </c>
      <c r="F30" s="1880" t="s">
        <v>2039</v>
      </c>
      <c r="G30" s="1880" t="s">
        <v>2042</v>
      </c>
      <c r="H30" s="1880" t="s">
        <v>2040</v>
      </c>
      <c r="I30" s="1880" t="s">
        <v>2041</v>
      </c>
      <c r="J30" s="1881" t="s">
        <v>2</v>
      </c>
      <c r="K30" s="702"/>
    </row>
    <row r="31" spans="1:11" ht="12" customHeight="1">
      <c r="A31" s="703" t="s">
        <v>2144</v>
      </c>
      <c r="B31" s="704">
        <v>39967</v>
      </c>
      <c r="C31" s="705">
        <v>5390000</v>
      </c>
      <c r="D31" s="706">
        <v>3</v>
      </c>
      <c r="E31" s="705">
        <v>3055000</v>
      </c>
      <c r="F31" s="705"/>
      <c r="G31" s="705"/>
      <c r="H31" s="705">
        <v>185000</v>
      </c>
      <c r="I31" s="1748">
        <f>((E31+F31)-H31)+G31</f>
        <v>2870000</v>
      </c>
      <c r="J31" s="705">
        <f>I31/$I$49*($I$49-('Assets-Liab 5-6'!$E$38+'Assets-Liab 5-6'!$E$39))</f>
        <v>2513567.0100578782</v>
      </c>
      <c r="K31" s="707"/>
    </row>
    <row r="32" spans="1:11" ht="12" customHeight="1">
      <c r="A32" s="703" t="s">
        <v>2145</v>
      </c>
      <c r="B32" s="704">
        <v>40794</v>
      </c>
      <c r="C32" s="705">
        <v>5935000</v>
      </c>
      <c r="D32" s="706">
        <v>3</v>
      </c>
      <c r="E32" s="705">
        <v>5935000</v>
      </c>
      <c r="F32" s="705"/>
      <c r="G32" s="705"/>
      <c r="H32" s="705"/>
      <c r="I32" s="1748">
        <f>((E32+F32)-H32)+G32</f>
        <v>5935000</v>
      </c>
      <c r="J32" s="705">
        <f>I32/$I$49*($I$49-('Assets-Liab 5-6'!$E$38+'Assets-Liab 5-6'!$E$39))</f>
        <v>5197916.4476284003</v>
      </c>
      <c r="K32" s="707"/>
    </row>
    <row r="33" spans="1:11" ht="12" customHeight="1">
      <c r="A33" s="703" t="s">
        <v>2146</v>
      </c>
      <c r="B33" s="704">
        <v>42327</v>
      </c>
      <c r="C33" s="705">
        <v>6990000</v>
      </c>
      <c r="D33" s="706">
        <v>3</v>
      </c>
      <c r="E33" s="705">
        <v>6825000</v>
      </c>
      <c r="F33" s="705"/>
      <c r="G33" s="705"/>
      <c r="H33" s="705"/>
      <c r="I33" s="1748">
        <f t="shared" ref="I33:I48" si="1">((E33+F33)-H33)+G33</f>
        <v>6825000</v>
      </c>
      <c r="J33" s="705">
        <f>I33/$I$49*($I$49-('Assets-Liab 5-6'!$E$38+'Assets-Liab 5-6'!$E$39))</f>
        <v>5977384.9629425155</v>
      </c>
      <c r="K33" s="707"/>
    </row>
    <row r="34" spans="1:11" ht="12" customHeight="1">
      <c r="A34" s="703" t="s">
        <v>2147</v>
      </c>
      <c r="B34" s="704">
        <v>42620</v>
      </c>
      <c r="C34" s="705">
        <v>16435000</v>
      </c>
      <c r="D34" s="706">
        <v>3</v>
      </c>
      <c r="E34" s="705">
        <v>16435000</v>
      </c>
      <c r="F34" s="705"/>
      <c r="G34" s="705"/>
      <c r="H34" s="705">
        <v>3735000</v>
      </c>
      <c r="I34" s="1748">
        <f t="shared" si="1"/>
        <v>12700000</v>
      </c>
      <c r="J34" s="705">
        <f>I34/$I$49*($I$49-('Assets-Liab 5-6'!$E$38+'Assets-Liab 5-6'!$E$39))</f>
        <v>11122752.971336257</v>
      </c>
      <c r="K34" s="708"/>
    </row>
    <row r="35" spans="1:11" ht="12" customHeight="1">
      <c r="A35" s="703" t="s">
        <v>2149</v>
      </c>
      <c r="B35" s="704">
        <v>42556</v>
      </c>
      <c r="C35" s="709">
        <v>302754</v>
      </c>
      <c r="D35" s="706">
        <v>7</v>
      </c>
      <c r="E35" s="709">
        <v>181573</v>
      </c>
      <c r="F35" s="709"/>
      <c r="G35" s="709"/>
      <c r="H35" s="709">
        <v>58983</v>
      </c>
      <c r="I35" s="1748">
        <f t="shared" si="1"/>
        <v>122590</v>
      </c>
      <c r="J35" s="705">
        <f>I35/$I$49*($I$49-('Assets-Liab 5-6'!$E$38+'Assets-Liab 5-6'!$E$39))</f>
        <v>107365.2194296151</v>
      </c>
      <c r="K35" s="708"/>
    </row>
    <row r="36" spans="1:11" ht="12" customHeight="1">
      <c r="A36" s="703" t="s">
        <v>2148</v>
      </c>
      <c r="B36" s="704">
        <v>42566</v>
      </c>
      <c r="C36" s="705">
        <v>420000</v>
      </c>
      <c r="D36" s="706">
        <v>7</v>
      </c>
      <c r="E36" s="705">
        <v>330343</v>
      </c>
      <c r="F36" s="705"/>
      <c r="G36" s="705"/>
      <c r="H36" s="705">
        <v>159700</v>
      </c>
      <c r="I36" s="1748">
        <f t="shared" si="1"/>
        <v>170643</v>
      </c>
      <c r="J36" s="705">
        <f>I36/$I$49*($I$49-('Assets-Liab 5-6'!$E$38+'Assets-Liab 5-6'!$E$39))</f>
        <v>149450.38860533328</v>
      </c>
      <c r="K36" s="710"/>
    </row>
    <row r="37" spans="1:11" ht="12" customHeight="1">
      <c r="A37" s="703"/>
      <c r="B37" s="704"/>
      <c r="C37" s="465"/>
      <c r="D37" s="711"/>
      <c r="E37" s="465"/>
      <c r="F37" s="465"/>
      <c r="G37" s="465"/>
      <c r="H37" s="465"/>
      <c r="I37" s="1748">
        <f t="shared" si="1"/>
        <v>0</v>
      </c>
      <c r="J37" s="465"/>
      <c r="K37" s="708"/>
    </row>
    <row r="38" spans="1:11" ht="12" customHeight="1">
      <c r="A38" s="703"/>
      <c r="B38" s="704"/>
      <c r="C38" s="705"/>
      <c r="D38" s="712"/>
      <c r="E38" s="713"/>
      <c r="F38" s="713"/>
      <c r="G38" s="713"/>
      <c r="H38" s="713"/>
      <c r="I38" s="1748">
        <f t="shared" si="1"/>
        <v>0</v>
      </c>
      <c r="J38" s="714" t="s">
        <v>282</v>
      </c>
      <c r="K38" s="715"/>
    </row>
    <row r="39" spans="1:11" ht="12" customHeight="1">
      <c r="A39" s="703"/>
      <c r="B39" s="704"/>
      <c r="C39" s="705"/>
      <c r="D39" s="712"/>
      <c r="E39" s="713"/>
      <c r="F39" s="713"/>
      <c r="G39" s="713"/>
      <c r="H39" s="713"/>
      <c r="I39" s="1748">
        <f t="shared" si="1"/>
        <v>0</v>
      </c>
      <c r="J39" s="714"/>
      <c r="K39" s="715"/>
    </row>
    <row r="40" spans="1:11" ht="12" customHeight="1">
      <c r="A40" s="703"/>
      <c r="B40" s="704"/>
      <c r="C40" s="705"/>
      <c r="D40" s="712"/>
      <c r="E40" s="713"/>
      <c r="F40" s="713"/>
      <c r="G40" s="713"/>
      <c r="H40" s="713"/>
      <c r="I40" s="1748">
        <f t="shared" si="1"/>
        <v>0</v>
      </c>
      <c r="J40" s="714"/>
      <c r="K40" s="715"/>
    </row>
    <row r="41" spans="1:11" ht="12" customHeight="1">
      <c r="A41" s="703"/>
      <c r="B41" s="704"/>
      <c r="C41" s="705"/>
      <c r="D41" s="712"/>
      <c r="E41" s="713"/>
      <c r="F41" s="713"/>
      <c r="G41" s="713"/>
      <c r="H41" s="713"/>
      <c r="I41" s="1748">
        <f t="shared" si="1"/>
        <v>0</v>
      </c>
      <c r="J41" s="714"/>
      <c r="K41" s="715"/>
    </row>
    <row r="42" spans="1:11" ht="12" customHeight="1">
      <c r="A42" s="703"/>
      <c r="B42" s="704"/>
      <c r="C42" s="705"/>
      <c r="D42" s="712"/>
      <c r="E42" s="713"/>
      <c r="F42" s="713"/>
      <c r="G42" s="713"/>
      <c r="H42" s="713"/>
      <c r="I42" s="1748">
        <f t="shared" si="1"/>
        <v>0</v>
      </c>
      <c r="J42" s="714"/>
      <c r="K42" s="715"/>
    </row>
    <row r="43" spans="1:11" ht="12" customHeight="1">
      <c r="A43" s="703"/>
      <c r="B43" s="704"/>
      <c r="C43" s="705"/>
      <c r="D43" s="712"/>
      <c r="E43" s="713"/>
      <c r="F43" s="713"/>
      <c r="G43" s="713"/>
      <c r="H43" s="713"/>
      <c r="I43" s="1748">
        <f t="shared" si="1"/>
        <v>0</v>
      </c>
      <c r="J43" s="714"/>
      <c r="K43" s="715"/>
    </row>
    <row r="44" spans="1:11" ht="12" customHeight="1">
      <c r="A44" s="703"/>
      <c r="B44" s="704"/>
      <c r="C44" s="705"/>
      <c r="D44" s="706"/>
      <c r="E44" s="705"/>
      <c r="F44" s="705"/>
      <c r="G44" s="705"/>
      <c r="H44" s="705"/>
      <c r="I44" s="1748">
        <f t="shared" si="1"/>
        <v>0</v>
      </c>
      <c r="J44" s="705"/>
      <c r="K44" s="708"/>
    </row>
    <row r="45" spans="1:11" ht="12" customHeight="1">
      <c r="A45" s="703"/>
      <c r="B45" s="704"/>
      <c r="C45" s="705"/>
      <c r="D45" s="706"/>
      <c r="E45" s="705"/>
      <c r="F45" s="705"/>
      <c r="G45" s="705"/>
      <c r="H45" s="705"/>
      <c r="I45" s="1748">
        <f t="shared" si="1"/>
        <v>0</v>
      </c>
      <c r="J45" s="705"/>
      <c r="K45" s="708"/>
    </row>
    <row r="46" spans="1:11" ht="12" customHeight="1">
      <c r="A46" s="703"/>
      <c r="B46" s="704"/>
      <c r="C46" s="705"/>
      <c r="D46" s="706"/>
      <c r="E46" s="705"/>
      <c r="F46" s="705"/>
      <c r="G46" s="705"/>
      <c r="H46" s="705"/>
      <c r="I46" s="1748">
        <f t="shared" si="1"/>
        <v>0</v>
      </c>
      <c r="J46" s="705"/>
      <c r="K46" s="708"/>
    </row>
    <row r="47" spans="1:11" ht="12" customHeight="1">
      <c r="A47" s="703"/>
      <c r="B47" s="704"/>
      <c r="C47" s="709"/>
      <c r="D47" s="706"/>
      <c r="E47" s="709"/>
      <c r="F47" s="709"/>
      <c r="G47" s="709"/>
      <c r="H47" s="709"/>
      <c r="I47" s="1748">
        <f t="shared" si="1"/>
        <v>0</v>
      </c>
      <c r="J47" s="709"/>
      <c r="K47" s="708"/>
    </row>
    <row r="48" spans="1:11" ht="12" customHeight="1">
      <c r="A48" s="703"/>
      <c r="B48" s="704"/>
      <c r="C48" s="705"/>
      <c r="D48" s="706"/>
      <c r="E48" s="705"/>
      <c r="F48" s="705"/>
      <c r="G48" s="705"/>
      <c r="H48" s="705"/>
      <c r="I48" s="1748">
        <f t="shared" si="1"/>
        <v>0</v>
      </c>
      <c r="J48" s="705"/>
      <c r="K48" s="708"/>
    </row>
    <row r="49" spans="1:11" ht="12" customHeight="1">
      <c r="A49" s="703"/>
      <c r="B49" s="704"/>
      <c r="C49" s="1748">
        <f>SUM(C31:C48)</f>
        <v>35472754</v>
      </c>
      <c r="D49" s="716"/>
      <c r="E49" s="1748">
        <f t="shared" ref="E49:J49" si="2">SUM(E31:E48)</f>
        <v>32761916</v>
      </c>
      <c r="F49" s="1748">
        <f t="shared" si="2"/>
        <v>0</v>
      </c>
      <c r="G49" s="1748">
        <f t="shared" si="2"/>
        <v>0</v>
      </c>
      <c r="H49" s="1748">
        <f t="shared" si="2"/>
        <v>4138683</v>
      </c>
      <c r="I49" s="1748">
        <f t="shared" si="2"/>
        <v>28623233</v>
      </c>
      <c r="J49" s="1748">
        <f t="shared" si="2"/>
        <v>25068437</v>
      </c>
      <c r="K49" s="708"/>
    </row>
    <row r="50" spans="1:11" ht="6" customHeight="1">
      <c r="A50" s="717"/>
      <c r="B50" s="707"/>
      <c r="C50" s="707"/>
      <c r="D50" s="707"/>
      <c r="E50" s="707"/>
      <c r="F50" s="707"/>
      <c r="G50" s="707"/>
      <c r="H50" s="707"/>
      <c r="I50" s="707"/>
      <c r="J50" s="717"/>
    </row>
    <row r="51" spans="1:11">
      <c r="A51" s="718" t="s">
        <v>1912</v>
      </c>
      <c r="B51" s="717"/>
      <c r="C51" s="708"/>
      <c r="D51" s="708"/>
      <c r="E51" s="708"/>
      <c r="F51" s="708"/>
      <c r="G51" s="708"/>
      <c r="H51" s="707"/>
      <c r="I51" s="707"/>
      <c r="J51" s="717"/>
    </row>
    <row r="52" spans="1:11" ht="11.25" customHeight="1">
      <c r="A52" s="719" t="s">
        <v>968</v>
      </c>
      <c r="B52" s="2218" t="s">
        <v>605</v>
      </c>
      <c r="C52" s="2219"/>
      <c r="D52" s="2219"/>
      <c r="E52" s="720" t="s">
        <v>900</v>
      </c>
      <c r="F52" s="2220" t="s">
        <v>2150</v>
      </c>
      <c r="G52" s="2221"/>
      <c r="H52" s="707"/>
      <c r="I52" s="707"/>
      <c r="J52" s="717"/>
    </row>
    <row r="53" spans="1:11" ht="11.25" customHeight="1">
      <c r="A53" s="721" t="s">
        <v>969</v>
      </c>
      <c r="B53" s="722" t="s">
        <v>1008</v>
      </c>
      <c r="C53" s="717"/>
      <c r="D53" s="708"/>
      <c r="E53" s="720" t="s">
        <v>518</v>
      </c>
      <c r="F53" s="2222"/>
      <c r="G53" s="2223"/>
      <c r="H53" s="707"/>
      <c r="I53" s="707"/>
      <c r="J53" s="717"/>
    </row>
    <row r="54" spans="1:11" ht="11.25" customHeight="1">
      <c r="A54" s="723" t="s">
        <v>970</v>
      </c>
      <c r="B54" s="718" t="s">
        <v>1009</v>
      </c>
      <c r="C54" s="717"/>
      <c r="D54" s="708"/>
      <c r="E54" s="720" t="s">
        <v>519</v>
      </c>
      <c r="F54" s="2222"/>
      <c r="G54" s="2223"/>
      <c r="H54" s="707"/>
      <c r="I54" s="707"/>
      <c r="J54" s="717"/>
    </row>
    <row r="55" spans="1:11" ht="6" customHeight="1">
      <c r="A55" s="708"/>
      <c r="B55" s="724"/>
      <c r="C55" s="725"/>
      <c r="D55" s="726"/>
      <c r="E55" s="727"/>
      <c r="F55" s="728"/>
      <c r="G55" s="717"/>
      <c r="H55" s="707"/>
      <c r="I55" s="707"/>
      <c r="J55" s="717"/>
    </row>
    <row r="56" spans="1:11" ht="11.25" customHeight="1">
      <c r="A56" s="724"/>
      <c r="B56" s="729"/>
      <c r="C56" s="708"/>
      <c r="D56" s="708"/>
      <c r="E56" s="708"/>
      <c r="F56" s="708"/>
      <c r="G56" s="707"/>
      <c r="H56" s="707"/>
      <c r="I56" s="707"/>
      <c r="J56" s="717"/>
    </row>
    <row r="57" spans="1:11" ht="11.25" customHeight="1">
      <c r="A57" s="708"/>
      <c r="B57" s="730"/>
      <c r="C57" s="708"/>
      <c r="D57" s="708"/>
      <c r="E57" s="708"/>
      <c r="F57" s="708"/>
      <c r="G57" s="707"/>
      <c r="H57" s="707"/>
      <c r="I57" s="707"/>
      <c r="J57" s="717"/>
    </row>
    <row r="58" spans="1:11" ht="11.25" customHeight="1">
      <c r="A58" s="724"/>
      <c r="B58" s="729"/>
      <c r="C58" s="708"/>
      <c r="D58" s="708"/>
      <c r="E58" s="708"/>
      <c r="F58" s="708"/>
      <c r="G58" s="707"/>
      <c r="H58" s="707"/>
      <c r="I58" s="707"/>
      <c r="J58" s="71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90" zoomScaleNormal="110" zoomScaleSheetLayoutView="90" workbookViewId="0">
      <selection activeCell="D31" sqref="D31"/>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247" t="s">
        <v>911</v>
      </c>
      <c r="B1" s="2248"/>
      <c r="C1" s="2248"/>
      <c r="D1" s="2248"/>
      <c r="E1" s="2248"/>
      <c r="F1" s="2248"/>
      <c r="G1" s="2249"/>
      <c r="H1" s="1522"/>
      <c r="I1" s="731"/>
      <c r="J1" s="432"/>
    </row>
    <row r="2" spans="1:11" ht="26.25">
      <c r="A2" s="2266" t="s">
        <v>1776</v>
      </c>
      <c r="B2" s="2267"/>
      <c r="C2" s="2267"/>
      <c r="D2" s="2267"/>
      <c r="E2" s="2268"/>
      <c r="F2" s="732" t="s">
        <v>960</v>
      </c>
      <c r="G2" s="733" t="s">
        <v>1773</v>
      </c>
      <c r="H2" s="733" t="s">
        <v>430</v>
      </c>
      <c r="I2" s="733" t="s">
        <v>1220</v>
      </c>
      <c r="J2" s="733" t="s">
        <v>1917</v>
      </c>
      <c r="K2" s="733" t="s">
        <v>140</v>
      </c>
    </row>
    <row r="3" spans="1:11">
      <c r="A3" s="2269" t="s">
        <v>1698</v>
      </c>
      <c r="B3" s="2270"/>
      <c r="C3" s="2270"/>
      <c r="D3" s="2270"/>
      <c r="E3" s="2271"/>
      <c r="F3" s="734"/>
      <c r="G3" s="735"/>
      <c r="H3" s="735"/>
      <c r="I3" s="735"/>
      <c r="J3" s="736"/>
      <c r="K3" s="736"/>
    </row>
    <row r="4" spans="1:11">
      <c r="A4" s="2272" t="s">
        <v>387</v>
      </c>
      <c r="B4" s="2273"/>
      <c r="C4" s="2273"/>
      <c r="D4" s="2273"/>
      <c r="E4" s="2219"/>
      <c r="F4" s="737"/>
      <c r="G4" s="738"/>
      <c r="H4" s="739"/>
      <c r="I4" s="738"/>
      <c r="J4" s="740"/>
      <c r="K4" s="740"/>
    </row>
    <row r="5" spans="1:11">
      <c r="A5" s="2250" t="s">
        <v>1129</v>
      </c>
      <c r="B5" s="2251"/>
      <c r="C5" s="2251"/>
      <c r="D5" s="2251"/>
      <c r="E5" s="2252"/>
      <c r="F5" s="741" t="s">
        <v>903</v>
      </c>
      <c r="G5" s="742"/>
      <c r="H5" s="735">
        <v>3175665</v>
      </c>
      <c r="I5" s="743"/>
      <c r="J5" s="744"/>
      <c r="K5" s="744"/>
    </row>
    <row r="6" spans="1:11">
      <c r="A6" s="745" t="s">
        <v>744</v>
      </c>
      <c r="B6" s="746"/>
      <c r="C6" s="746"/>
      <c r="D6" s="746"/>
      <c r="E6" s="747"/>
      <c r="F6" s="748" t="s">
        <v>904</v>
      </c>
      <c r="G6" s="735"/>
      <c r="H6" s="735"/>
      <c r="I6" s="735"/>
      <c r="J6" s="736"/>
      <c r="K6" s="736"/>
    </row>
    <row r="7" spans="1:11">
      <c r="A7" s="749" t="s">
        <v>264</v>
      </c>
      <c r="B7" s="750"/>
      <c r="C7" s="750"/>
      <c r="D7" s="750"/>
      <c r="E7" s="751"/>
      <c r="F7" s="741" t="s">
        <v>905</v>
      </c>
      <c r="G7" s="738"/>
      <c r="H7" s="738"/>
      <c r="I7" s="738"/>
      <c r="J7" s="752"/>
      <c r="K7" s="736"/>
    </row>
    <row r="8" spans="1:11">
      <c r="A8" s="749" t="s">
        <v>363</v>
      </c>
      <c r="B8" s="750"/>
      <c r="C8" s="750"/>
      <c r="D8" s="750"/>
      <c r="E8" s="751"/>
      <c r="F8" s="741" t="s">
        <v>906</v>
      </c>
      <c r="G8" s="753"/>
      <c r="H8" s="753"/>
      <c r="I8" s="753"/>
      <c r="J8" s="736"/>
      <c r="K8" s="740"/>
    </row>
    <row r="9" spans="1:11">
      <c r="A9" s="749" t="s">
        <v>140</v>
      </c>
      <c r="B9" s="750"/>
      <c r="C9" s="750"/>
      <c r="D9" s="750"/>
      <c r="E9" s="751"/>
      <c r="F9" s="748" t="s">
        <v>908</v>
      </c>
      <c r="G9" s="753"/>
      <c r="H9" s="742"/>
      <c r="I9" s="742"/>
      <c r="J9" s="752"/>
      <c r="K9" s="736">
        <v>125145</v>
      </c>
    </row>
    <row r="10" spans="1:11">
      <c r="A10" s="2250" t="s">
        <v>1918</v>
      </c>
      <c r="B10" s="2251"/>
      <c r="C10" s="2251"/>
      <c r="D10" s="2251"/>
      <c r="E10" s="2253"/>
      <c r="F10" s="754" t="s">
        <v>917</v>
      </c>
      <c r="G10" s="753"/>
      <c r="H10" s="755"/>
      <c r="I10" s="735"/>
      <c r="J10" s="736"/>
      <c r="K10" s="736"/>
    </row>
    <row r="11" spans="1:11">
      <c r="A11" s="2250" t="s">
        <v>162</v>
      </c>
      <c r="B11" s="2251"/>
      <c r="C11" s="2251"/>
      <c r="D11" s="2251"/>
      <c r="E11" s="2252"/>
      <c r="F11" s="741" t="s">
        <v>907</v>
      </c>
      <c r="G11" s="742"/>
      <c r="H11" s="735"/>
      <c r="I11" s="735"/>
      <c r="J11" s="736"/>
      <c r="K11" s="744"/>
    </row>
    <row r="12" spans="1:11" ht="13.5" thickBot="1">
      <c r="A12" s="2277" t="s">
        <v>961</v>
      </c>
      <c r="B12" s="2278"/>
      <c r="C12" s="2278"/>
      <c r="D12" s="2278"/>
      <c r="E12" s="2279"/>
      <c r="F12" s="1749"/>
      <c r="G12" s="1750">
        <f>SUM(G5:G11)</f>
        <v>0</v>
      </c>
      <c r="H12" s="1750">
        <f>SUM(H5:H11)</f>
        <v>3175665</v>
      </c>
      <c r="I12" s="1750">
        <f>SUM(I5:I11)</f>
        <v>0</v>
      </c>
      <c r="J12" s="1750">
        <f>SUM(J5:J11)</f>
        <v>0</v>
      </c>
      <c r="K12" s="1750">
        <f>SUM(K5:K11)</f>
        <v>125145</v>
      </c>
    </row>
    <row r="13" spans="1:11" ht="13.5" thickTop="1">
      <c r="A13" s="2274" t="s">
        <v>388</v>
      </c>
      <c r="B13" s="2275"/>
      <c r="C13" s="2275"/>
      <c r="D13" s="2275"/>
      <c r="E13" s="2276"/>
      <c r="F13" s="756"/>
      <c r="G13" s="757"/>
      <c r="H13" s="758"/>
      <c r="I13" s="759"/>
      <c r="J13" s="759"/>
      <c r="K13" s="759"/>
    </row>
    <row r="14" spans="1:11">
      <c r="A14" s="2257" t="s">
        <v>476</v>
      </c>
      <c r="B14" s="2257"/>
      <c r="C14" s="2257"/>
      <c r="D14" s="2257"/>
      <c r="E14" s="2258"/>
      <c r="F14" s="760" t="s">
        <v>909</v>
      </c>
      <c r="G14" s="753"/>
      <c r="H14" s="735">
        <f>+H5</f>
        <v>3175665</v>
      </c>
      <c r="I14" s="742"/>
      <c r="J14" s="744"/>
      <c r="K14" s="736">
        <f>+K9</f>
        <v>125145</v>
      </c>
    </row>
    <row r="15" spans="1:11">
      <c r="A15" s="2251" t="s">
        <v>4</v>
      </c>
      <c r="B15" s="2251"/>
      <c r="C15" s="2251"/>
      <c r="D15" s="2251"/>
      <c r="E15" s="2252"/>
      <c r="F15" s="760" t="s">
        <v>910</v>
      </c>
      <c r="G15" s="742"/>
      <c r="H15" s="735"/>
      <c r="I15" s="735"/>
      <c r="J15" s="736"/>
      <c r="K15" s="736"/>
    </row>
    <row r="16" spans="1:11">
      <c r="A16" s="2251" t="s">
        <v>316</v>
      </c>
      <c r="B16" s="2251"/>
      <c r="C16" s="2251"/>
      <c r="D16" s="2251"/>
      <c r="E16" s="2252"/>
      <c r="F16" s="760" t="s">
        <v>980</v>
      </c>
      <c r="G16" s="743"/>
      <c r="H16" s="738"/>
      <c r="I16" s="738"/>
      <c r="J16" s="740"/>
      <c r="K16" s="740"/>
    </row>
    <row r="17" spans="1:11">
      <c r="A17" s="2282" t="s">
        <v>992</v>
      </c>
      <c r="B17" s="2282"/>
      <c r="C17" s="2282"/>
      <c r="D17" s="2282"/>
      <c r="E17" s="2283"/>
      <c r="F17" s="761"/>
      <c r="G17" s="762"/>
      <c r="H17" s="763"/>
      <c r="I17" s="763"/>
      <c r="J17" s="764"/>
      <c r="K17" s="765"/>
    </row>
    <row r="18" spans="1:11">
      <c r="A18" s="2261" t="s">
        <v>386</v>
      </c>
      <c r="B18" s="2262"/>
      <c r="C18" s="2262"/>
      <c r="D18" s="2262"/>
      <c r="E18" s="2263"/>
      <c r="F18" s="760" t="s">
        <v>989</v>
      </c>
      <c r="G18" s="753"/>
      <c r="H18" s="753"/>
      <c r="I18" s="753"/>
      <c r="J18" s="736"/>
      <c r="K18" s="766"/>
    </row>
    <row r="19" spans="1:11" ht="21.75" customHeight="1">
      <c r="A19" s="2259" t="s">
        <v>1914</v>
      </c>
      <c r="B19" s="2259"/>
      <c r="C19" s="2259"/>
      <c r="D19" s="2259"/>
      <c r="E19" s="2260"/>
      <c r="F19" s="760" t="s">
        <v>990</v>
      </c>
      <c r="G19" s="753"/>
      <c r="H19" s="753"/>
      <c r="I19" s="753"/>
      <c r="J19" s="736"/>
      <c r="K19" s="766"/>
    </row>
    <row r="20" spans="1:11">
      <c r="A20" s="2261" t="s">
        <v>1919</v>
      </c>
      <c r="B20" s="2262"/>
      <c r="C20" s="2262"/>
      <c r="D20" s="2262"/>
      <c r="E20" s="2263"/>
      <c r="F20" s="760" t="s">
        <v>991</v>
      </c>
      <c r="G20" s="753"/>
      <c r="H20" s="753"/>
      <c r="I20" s="753"/>
      <c r="J20" s="736"/>
      <c r="K20" s="766"/>
    </row>
    <row r="21" spans="1:11" ht="13.5" thickBot="1">
      <c r="A21" s="2280" t="s">
        <v>659</v>
      </c>
      <c r="B21" s="2280"/>
      <c r="C21" s="2280"/>
      <c r="D21" s="2280"/>
      <c r="E21" s="2280"/>
      <c r="F21" s="1751"/>
      <c r="G21" s="763"/>
      <c r="H21" s="767"/>
      <c r="I21" s="767"/>
      <c r="J21" s="1752">
        <f>SUM(J18:J20)</f>
        <v>0</v>
      </c>
      <c r="K21" s="764"/>
    </row>
    <row r="22" spans="1:11" ht="13.5" thickTop="1">
      <c r="A22" s="2251" t="s">
        <v>1920</v>
      </c>
      <c r="B22" s="2251"/>
      <c r="C22" s="2251"/>
      <c r="D22" s="2251"/>
      <c r="E22" s="2252"/>
      <c r="F22" s="760" t="s">
        <v>917</v>
      </c>
      <c r="G22" s="753"/>
      <c r="H22" s="735"/>
      <c r="I22" s="735"/>
      <c r="J22" s="768"/>
      <c r="K22" s="736"/>
    </row>
    <row r="23" spans="1:11" ht="13.5" thickBot="1">
      <c r="A23" s="2281" t="s">
        <v>962</v>
      </c>
      <c r="B23" s="2280"/>
      <c r="C23" s="2280"/>
      <c r="D23" s="2280"/>
      <c r="E23" s="2280"/>
      <c r="F23" s="1753"/>
      <c r="G23" s="1750">
        <f>SUM(G14:G16,G21,G22)</f>
        <v>0</v>
      </c>
      <c r="H23" s="1750">
        <f>SUM(H14:H16,H21,H22)</f>
        <v>3175665</v>
      </c>
      <c r="I23" s="1750">
        <f>SUM(I14:I16,I21,I22)</f>
        <v>0</v>
      </c>
      <c r="J23" s="1750">
        <f>SUM(J14:J16,J21,J22)</f>
        <v>0</v>
      </c>
      <c r="K23" s="1750">
        <f>SUM(K14:K16,K21,K22)</f>
        <v>125145</v>
      </c>
    </row>
    <row r="24" spans="1:11" ht="14.25" thickTop="1" thickBot="1">
      <c r="A24" s="2281" t="s">
        <v>2024</v>
      </c>
      <c r="B24" s="2280"/>
      <c r="C24" s="2280"/>
      <c r="D24" s="2280"/>
      <c r="E24" s="2280"/>
      <c r="F24" s="1754"/>
      <c r="G24" s="1755">
        <f>SUM(G3,G12)-G23</f>
        <v>0</v>
      </c>
      <c r="H24" s="1755">
        <f>SUM(H3,H12)-H23</f>
        <v>0</v>
      </c>
      <c r="I24" s="1755">
        <f>SUM(I3,I12)-I23</f>
        <v>0</v>
      </c>
      <c r="J24" s="1755">
        <f>SUM(J3,J12)-J23</f>
        <v>0</v>
      </c>
      <c r="K24" s="1755">
        <f>SUM(K3,K12)-K23</f>
        <v>0</v>
      </c>
    </row>
    <row r="25" spans="1:11" ht="13.5" thickTop="1">
      <c r="A25" s="769" t="s">
        <v>440</v>
      </c>
      <c r="B25" s="770"/>
      <c r="C25" s="770"/>
      <c r="D25" s="770"/>
      <c r="E25" s="771"/>
      <c r="F25" s="772">
        <v>714</v>
      </c>
      <c r="G25" s="773"/>
      <c r="H25" s="773"/>
      <c r="I25" s="773"/>
      <c r="J25" s="768"/>
      <c r="K25" s="768"/>
    </row>
    <row r="26" spans="1:11" ht="13.5" thickBot="1">
      <c r="A26" s="769" t="s">
        <v>360</v>
      </c>
      <c r="B26" s="770"/>
      <c r="C26" s="770"/>
      <c r="D26" s="770"/>
      <c r="E26" s="771"/>
      <c r="F26" s="772">
        <v>730</v>
      </c>
      <c r="G26" s="1750">
        <f>G24-G25</f>
        <v>0</v>
      </c>
      <c r="H26" s="1750">
        <f>H24-H25</f>
        <v>0</v>
      </c>
      <c r="I26" s="1750">
        <f>I24-I25</f>
        <v>0</v>
      </c>
      <c r="J26" s="1750">
        <f>J24-J25</f>
        <v>0</v>
      </c>
      <c r="K26" s="1750">
        <f>K24-K25</f>
        <v>0</v>
      </c>
    </row>
    <row r="27" spans="1:11" ht="5.25" customHeight="1" thickTop="1">
      <c r="I27" s="201"/>
      <c r="J27" s="201"/>
    </row>
    <row r="28" spans="1:11" ht="29.25" customHeight="1">
      <c r="A28" s="1875" t="s">
        <v>2034</v>
      </c>
      <c r="B28" s="1876"/>
      <c r="C28" s="1876"/>
      <c r="D28" s="1876"/>
      <c r="E28" s="1877"/>
      <c r="F28" s="774"/>
      <c r="G28" s="775"/>
    </row>
    <row r="29" spans="1:11">
      <c r="B29" s="494"/>
      <c r="C29" s="494"/>
      <c r="D29" s="494"/>
      <c r="F29" s="201"/>
      <c r="G29" s="776"/>
    </row>
    <row r="30" spans="1:11">
      <c r="A30" s="777" t="s">
        <v>593</v>
      </c>
      <c r="B30" s="778"/>
      <c r="C30" s="777" t="s">
        <v>401</v>
      </c>
      <c r="D30" s="778" t="s">
        <v>2081</v>
      </c>
      <c r="E30" s="779" t="s">
        <v>792</v>
      </c>
      <c r="F30" s="201"/>
      <c r="G30" s="776"/>
    </row>
    <row r="31" spans="1:11">
      <c r="A31" s="780"/>
      <c r="D31" s="236"/>
      <c r="E31" s="781" t="s">
        <v>793</v>
      </c>
      <c r="F31" s="782" t="s">
        <v>560</v>
      </c>
      <c r="G31" s="735"/>
      <c r="H31" s="2254"/>
      <c r="I31" s="2255"/>
      <c r="J31" s="2255"/>
      <c r="K31" s="2255"/>
    </row>
    <row r="32" spans="1:11">
      <c r="A32" s="780"/>
      <c r="B32" s="236"/>
      <c r="C32" s="236"/>
      <c r="D32" s="236"/>
      <c r="E32" s="776"/>
      <c r="F32" s="782" t="s">
        <v>561</v>
      </c>
      <c r="G32" s="735"/>
      <c r="H32" s="2256"/>
      <c r="I32" s="2255"/>
      <c r="J32" s="2255"/>
      <c r="K32" s="2255"/>
    </row>
    <row r="33" spans="1:11" ht="1.5" customHeight="1">
      <c r="A33" s="783" t="s">
        <v>1231</v>
      </c>
      <c r="B33" s="363"/>
      <c r="C33" s="363"/>
      <c r="D33" s="363"/>
      <c r="E33" s="363"/>
      <c r="F33" s="363"/>
      <c r="G33" s="784"/>
      <c r="H33" s="2256"/>
      <c r="I33" s="2255"/>
      <c r="J33" s="2255"/>
      <c r="K33" s="2255"/>
    </row>
    <row r="34" spans="1:11">
      <c r="A34" s="785" t="s">
        <v>1921</v>
      </c>
      <c r="B34" s="363"/>
      <c r="C34" s="363"/>
      <c r="D34" s="363"/>
      <c r="E34" s="363"/>
      <c r="F34" s="363"/>
      <c r="G34" s="784"/>
    </row>
    <row r="35" spans="1:11" ht="15">
      <c r="A35" s="796" t="s">
        <v>963</v>
      </c>
      <c r="B35" s="786"/>
      <c r="C35" s="786"/>
      <c r="D35" s="786"/>
      <c r="E35" s="786"/>
      <c r="F35" s="786"/>
      <c r="G35" s="787"/>
      <c r="H35" s="788"/>
    </row>
    <row r="36" spans="1:11">
      <c r="A36" s="749" t="s">
        <v>1171</v>
      </c>
      <c r="B36" s="789"/>
      <c r="C36" s="789"/>
      <c r="D36" s="789"/>
      <c r="E36" s="789"/>
      <c r="F36" s="790"/>
      <c r="G36" s="736"/>
    </row>
    <row r="37" spans="1:11">
      <c r="A37" s="791" t="s">
        <v>952</v>
      </c>
      <c r="B37" s="789"/>
      <c r="C37" s="789"/>
      <c r="D37" s="789"/>
      <c r="E37" s="789"/>
      <c r="F37" s="790"/>
      <c r="G37" s="736"/>
    </row>
    <row r="38" spans="1:11">
      <c r="A38" s="791" t="s">
        <v>1050</v>
      </c>
      <c r="B38" s="789"/>
      <c r="C38" s="789"/>
      <c r="D38" s="789"/>
      <c r="E38" s="789"/>
      <c r="F38" s="790"/>
      <c r="G38" s="736"/>
    </row>
    <row r="39" spans="1:11">
      <c r="A39" s="791" t="s">
        <v>1051</v>
      </c>
      <c r="B39" s="789"/>
      <c r="C39" s="789"/>
      <c r="D39" s="789"/>
      <c r="E39" s="789"/>
      <c r="F39" s="790"/>
      <c r="G39" s="736"/>
    </row>
    <row r="40" spans="1:11">
      <c r="A40" s="791" t="s">
        <v>1052</v>
      </c>
      <c r="B40" s="789"/>
      <c r="C40" s="789"/>
      <c r="D40" s="789"/>
      <c r="E40" s="789"/>
      <c r="F40" s="790"/>
      <c r="G40" s="736"/>
    </row>
    <row r="41" spans="1:11">
      <c r="A41" s="2251" t="s">
        <v>562</v>
      </c>
      <c r="B41" s="2264"/>
      <c r="C41" s="2264"/>
      <c r="D41" s="2264"/>
      <c r="E41" s="2264"/>
      <c r="F41" s="2265"/>
      <c r="G41" s="736"/>
    </row>
    <row r="42" spans="1:11">
      <c r="A42" s="791" t="s">
        <v>1027</v>
      </c>
      <c r="B42" s="789"/>
      <c r="C42" s="789"/>
      <c r="D42" s="789"/>
      <c r="E42" s="789"/>
      <c r="F42" s="790"/>
      <c r="G42" s="736"/>
    </row>
    <row r="43" spans="1:11">
      <c r="A43" s="791" t="s">
        <v>1028</v>
      </c>
      <c r="B43" s="789"/>
      <c r="C43" s="789"/>
      <c r="D43" s="789"/>
      <c r="E43" s="789"/>
      <c r="F43" s="790"/>
      <c r="G43" s="736"/>
    </row>
    <row r="44" spans="1:11">
      <c r="A44" s="791" t="s">
        <v>1029</v>
      </c>
      <c r="B44" s="789"/>
      <c r="C44" s="789"/>
      <c r="D44" s="789"/>
      <c r="E44" s="789"/>
      <c r="F44" s="790"/>
      <c r="G44" s="736"/>
    </row>
    <row r="45" spans="1:11" ht="6.75" customHeight="1"/>
    <row r="46" spans="1:11" ht="15">
      <c r="A46" s="1523" t="s">
        <v>1915</v>
      </c>
      <c r="B46" s="407" t="s">
        <v>1774</v>
      </c>
    </row>
    <row r="47" spans="1:11" s="794" customFormat="1" ht="12.75" customHeight="1">
      <c r="A47" s="792"/>
      <c r="B47" s="793" t="s">
        <v>1775</v>
      </c>
      <c r="E47" s="793"/>
      <c r="K47" s="795"/>
    </row>
    <row r="48" spans="1:11" ht="12.75" customHeight="1">
      <c r="A48" s="1524" t="s">
        <v>1916</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topLeftCell="A7" colorId="8" zoomScaleNormal="110" zoomScaleSheetLayoutView="100" workbookViewId="0">
      <selection activeCell="I17" sqref="I17"/>
    </sheetView>
  </sheetViews>
  <sheetFormatPr defaultColWidth="9.140625" defaultRowHeight="12.75"/>
  <cols>
    <col min="1" max="1" width="28.85546875" style="779"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6" t="s">
        <v>2033</v>
      </c>
      <c r="B1" s="2287"/>
      <c r="C1" s="2288"/>
      <c r="D1" s="797"/>
      <c r="E1" s="798"/>
      <c r="F1" s="798"/>
      <c r="G1" s="799"/>
      <c r="H1" s="800"/>
      <c r="I1" s="801"/>
      <c r="J1" s="2284"/>
      <c r="K1" s="2285"/>
      <c r="L1" s="2285"/>
    </row>
    <row r="2" spans="1:14" ht="69.75" customHeight="1">
      <c r="A2" s="802" t="s">
        <v>1777</v>
      </c>
      <c r="B2" s="803" t="s">
        <v>396</v>
      </c>
      <c r="C2" s="804" t="s">
        <v>2028</v>
      </c>
      <c r="D2" s="804" t="s">
        <v>2025</v>
      </c>
      <c r="E2" s="804" t="s">
        <v>2026</v>
      </c>
      <c r="F2" s="804" t="s">
        <v>2027</v>
      </c>
      <c r="G2" s="804" t="s">
        <v>626</v>
      </c>
      <c r="H2" s="804" t="s">
        <v>2029</v>
      </c>
      <c r="I2" s="804" t="s">
        <v>2030</v>
      </c>
      <c r="J2" s="804" t="s">
        <v>2045</v>
      </c>
      <c r="K2" s="804" t="s">
        <v>2031</v>
      </c>
      <c r="L2" s="804" t="s">
        <v>2032</v>
      </c>
      <c r="M2" s="805"/>
      <c r="N2" s="805"/>
    </row>
    <row r="3" spans="1:14" ht="13.5" thickBot="1">
      <c r="A3" s="1621" t="s">
        <v>948</v>
      </c>
      <c r="B3" s="1622">
        <v>210</v>
      </c>
      <c r="C3" s="806"/>
      <c r="D3" s="806"/>
      <c r="E3" s="806"/>
      <c r="F3" s="1752">
        <f>(C3+D3)-E3</f>
        <v>0</v>
      </c>
      <c r="G3" s="807"/>
      <c r="H3" s="806"/>
      <c r="I3" s="806"/>
      <c r="J3" s="806"/>
      <c r="K3" s="1761">
        <f>(H3+I3)-J3</f>
        <v>0</v>
      </c>
      <c r="L3" s="1761">
        <f>F3-K3</f>
        <v>0</v>
      </c>
      <c r="M3" s="805"/>
      <c r="N3" s="805"/>
    </row>
    <row r="4" spans="1:14" ht="15" customHeight="1" thickTop="1">
      <c r="A4" s="1623" t="s">
        <v>160</v>
      </c>
      <c r="B4" s="1622">
        <v>220</v>
      </c>
      <c r="C4" s="752"/>
      <c r="D4" s="752"/>
      <c r="E4" s="752"/>
      <c r="F4" s="744"/>
      <c r="G4" s="808"/>
      <c r="H4" s="809"/>
      <c r="I4" s="809"/>
      <c r="J4" s="809"/>
      <c r="K4" s="810"/>
      <c r="L4" s="744"/>
    </row>
    <row r="5" spans="1:14" ht="13.5" thickBot="1">
      <c r="A5" s="749" t="s">
        <v>949</v>
      </c>
      <c r="B5" s="811">
        <v>221</v>
      </c>
      <c r="C5" s="812">
        <v>1334210</v>
      </c>
      <c r="D5" s="812"/>
      <c r="E5" s="812"/>
      <c r="F5" s="1752">
        <f>(C5+D5)-E5</f>
        <v>1334210</v>
      </c>
      <c r="G5" s="808"/>
      <c r="H5" s="813"/>
      <c r="I5" s="813"/>
      <c r="J5" s="813"/>
      <c r="K5" s="764"/>
      <c r="L5" s="1761">
        <f>F5-K5</f>
        <v>1334210</v>
      </c>
    </row>
    <row r="6" spans="1:14" ht="14.25" thickTop="1" thickBot="1">
      <c r="A6" s="749" t="s">
        <v>1179</v>
      </c>
      <c r="B6" s="811">
        <v>222</v>
      </c>
      <c r="C6" s="736"/>
      <c r="D6" s="736"/>
      <c r="E6" s="736"/>
      <c r="F6" s="1752">
        <f>(C6+D6)-E6</f>
        <v>0</v>
      </c>
      <c r="G6" s="808">
        <v>50</v>
      </c>
      <c r="H6" s="736"/>
      <c r="I6" s="736"/>
      <c r="J6" s="736"/>
      <c r="K6" s="1761">
        <f>(H6+I6)-J6</f>
        <v>0</v>
      </c>
      <c r="L6" s="1761">
        <f>F6-K6</f>
        <v>0</v>
      </c>
    </row>
    <row r="7" spans="1:14" ht="15" customHeight="1" thickTop="1">
      <c r="A7" s="1623" t="s">
        <v>161</v>
      </c>
      <c r="B7" s="1622">
        <v>230</v>
      </c>
      <c r="C7" s="752"/>
      <c r="D7" s="752"/>
      <c r="E7" s="752"/>
      <c r="F7" s="744"/>
      <c r="G7" s="814"/>
      <c r="H7" s="752"/>
      <c r="I7" s="752"/>
      <c r="J7" s="752"/>
      <c r="K7" s="744"/>
      <c r="L7" s="744"/>
    </row>
    <row r="8" spans="1:14" ht="13.5" thickBot="1">
      <c r="A8" s="749" t="s">
        <v>1180</v>
      </c>
      <c r="B8" s="811">
        <v>231</v>
      </c>
      <c r="C8" s="815">
        <v>102398031</v>
      </c>
      <c r="D8" s="815"/>
      <c r="E8" s="815"/>
      <c r="F8" s="1752">
        <f>(C8+D8)-E8</f>
        <v>102398031</v>
      </c>
      <c r="G8" s="814">
        <v>50</v>
      </c>
      <c r="H8" s="736">
        <v>56198020</v>
      </c>
      <c r="I8" s="736">
        <v>2047961</v>
      </c>
      <c r="J8" s="736"/>
      <c r="K8" s="1761">
        <f>(H8+I8)-J8</f>
        <v>58245981</v>
      </c>
      <c r="L8" s="1761">
        <f>F8-K8</f>
        <v>44152050</v>
      </c>
    </row>
    <row r="9" spans="1:14" ht="14.25" thickTop="1" thickBot="1">
      <c r="A9" s="749" t="s">
        <v>1181</v>
      </c>
      <c r="B9" s="811">
        <v>232</v>
      </c>
      <c r="C9" s="736"/>
      <c r="D9" s="736"/>
      <c r="E9" s="736"/>
      <c r="F9" s="1752">
        <f>(C9+D9)-E9</f>
        <v>0</v>
      </c>
      <c r="G9" s="814">
        <v>20</v>
      </c>
      <c r="H9" s="736"/>
      <c r="I9" s="736"/>
      <c r="J9" s="736"/>
      <c r="K9" s="1761">
        <f>(H9+I9)-J9</f>
        <v>0</v>
      </c>
      <c r="L9" s="1761">
        <f>F9-K9</f>
        <v>0</v>
      </c>
    </row>
    <row r="10" spans="1:14" ht="24" thickTop="1" thickBot="1">
      <c r="A10" s="816" t="s">
        <v>1182</v>
      </c>
      <c r="B10" s="811">
        <v>240</v>
      </c>
      <c r="C10" s="817">
        <v>4944469</v>
      </c>
      <c r="D10" s="817">
        <v>245919</v>
      </c>
      <c r="E10" s="817"/>
      <c r="F10" s="1756">
        <f>(C10+D10)-E10</f>
        <v>5190388</v>
      </c>
      <c r="G10" s="814">
        <v>20</v>
      </c>
      <c r="H10" s="818">
        <v>2441613</v>
      </c>
      <c r="I10" s="818">
        <v>253371</v>
      </c>
      <c r="J10" s="818"/>
      <c r="K10" s="1761">
        <f>(H10+I10)-J10</f>
        <v>2694984</v>
      </c>
      <c r="L10" s="1761">
        <f>F10-K10</f>
        <v>2495404</v>
      </c>
    </row>
    <row r="11" spans="1:14" ht="13.5" thickTop="1">
      <c r="A11" s="1624" t="s">
        <v>1198</v>
      </c>
      <c r="B11" s="1622">
        <v>250</v>
      </c>
      <c r="C11" s="752"/>
      <c r="D11" s="752"/>
      <c r="E11" s="752"/>
      <c r="F11" s="744"/>
      <c r="G11" s="814"/>
      <c r="H11" s="752"/>
      <c r="I11" s="752"/>
      <c r="J11" s="752"/>
      <c r="K11" s="744"/>
      <c r="L11" s="744"/>
    </row>
    <row r="12" spans="1:14" ht="13.5" thickBot="1">
      <c r="A12" s="819" t="s">
        <v>1183</v>
      </c>
      <c r="B12" s="811">
        <v>251</v>
      </c>
      <c r="C12" s="815">
        <v>8460925</v>
      </c>
      <c r="D12" s="815">
        <v>218201</v>
      </c>
      <c r="E12" s="815"/>
      <c r="F12" s="1752">
        <f>(C12+D12)-E12</f>
        <v>8679126</v>
      </c>
      <c r="G12" s="814">
        <v>10</v>
      </c>
      <c r="H12" s="736">
        <v>7595912</v>
      </c>
      <c r="I12" s="736">
        <v>101964</v>
      </c>
      <c r="J12" s="736"/>
      <c r="K12" s="1761">
        <f>(H12+I12)-J12</f>
        <v>7697876</v>
      </c>
      <c r="L12" s="1761">
        <f>F12-K12</f>
        <v>981250</v>
      </c>
    </row>
    <row r="13" spans="1:14" ht="14.25" thickTop="1" thickBot="1">
      <c r="A13" s="819" t="s">
        <v>1184</v>
      </c>
      <c r="B13" s="811">
        <v>252</v>
      </c>
      <c r="C13" s="815"/>
      <c r="D13" s="815"/>
      <c r="E13" s="815"/>
      <c r="F13" s="1752">
        <f>(C13+D13)-E13</f>
        <v>0</v>
      </c>
      <c r="G13" s="814">
        <v>5</v>
      </c>
      <c r="H13" s="736"/>
      <c r="I13" s="736"/>
      <c r="J13" s="736"/>
      <c r="K13" s="1761">
        <f>(H13+I13)-J13</f>
        <v>0</v>
      </c>
      <c r="L13" s="1761">
        <f>F13-K13</f>
        <v>0</v>
      </c>
    </row>
    <row r="14" spans="1:14" ht="14.25" thickTop="1" thickBot="1">
      <c r="A14" s="819" t="s">
        <v>1185</v>
      </c>
      <c r="B14" s="811">
        <v>253</v>
      </c>
      <c r="C14" s="736"/>
      <c r="D14" s="736"/>
      <c r="E14" s="736"/>
      <c r="F14" s="1752">
        <f>(C14+D14)-E14</f>
        <v>0</v>
      </c>
      <c r="G14" s="814">
        <v>3</v>
      </c>
      <c r="H14" s="736"/>
      <c r="I14" s="736"/>
      <c r="J14" s="736"/>
      <c r="K14" s="1761">
        <f>(H14+I14)-J14</f>
        <v>0</v>
      </c>
      <c r="L14" s="1761">
        <f>F14-K14</f>
        <v>0</v>
      </c>
    </row>
    <row r="15" spans="1:14" ht="15" customHeight="1" thickTop="1" thickBot="1">
      <c r="A15" s="1623" t="s">
        <v>549</v>
      </c>
      <c r="B15" s="1622">
        <v>260</v>
      </c>
      <c r="C15" s="815"/>
      <c r="D15" s="815"/>
      <c r="E15" s="815"/>
      <c r="F15" s="1752">
        <f>(C15+D15)-E15</f>
        <v>0</v>
      </c>
      <c r="G15" s="820" t="s">
        <v>917</v>
      </c>
      <c r="H15" s="752"/>
      <c r="I15" s="752"/>
      <c r="J15" s="752"/>
      <c r="K15" s="752"/>
      <c r="L15" s="1761">
        <f>F15-K15</f>
        <v>0</v>
      </c>
    </row>
    <row r="16" spans="1:14" ht="15" customHeight="1" thickTop="1" thickBot="1">
      <c r="A16" s="1757" t="s">
        <v>664</v>
      </c>
      <c r="B16" s="1758">
        <v>200</v>
      </c>
      <c r="C16" s="1752">
        <f>SUM(C3,C5:C6,C8:C10,C12:C15)</f>
        <v>117137635</v>
      </c>
      <c r="D16" s="1752">
        <f>SUM(D3,D5:D6,D8:D10,D12:D15)</f>
        <v>464120</v>
      </c>
      <c r="E16" s="1752">
        <f>SUM(E3,E5:E6,E8:E10,E12:E15)</f>
        <v>0</v>
      </c>
      <c r="F16" s="1752">
        <f>SUM(F3,F5:F6,F8:F10,F12:F15)</f>
        <v>117601755</v>
      </c>
      <c r="G16" s="814"/>
      <c r="H16" s="1752">
        <f>SUM(H3,H6,H8:H10,H12:H14,)</f>
        <v>66235545</v>
      </c>
      <c r="I16" s="1752">
        <f>SUM(I3,I6,I8:I10,I12:I14,)</f>
        <v>2403296</v>
      </c>
      <c r="J16" s="1752">
        <f>SUM(J3,J6,J8:J10,J12:J14,)</f>
        <v>0</v>
      </c>
      <c r="K16" s="1752">
        <f>(H16+I16)-J16</f>
        <v>68638841</v>
      </c>
      <c r="L16" s="1752">
        <f>F16-K16</f>
        <v>48962914</v>
      </c>
    </row>
    <row r="17" spans="1:12" ht="15" customHeight="1" thickTop="1" thickBot="1">
      <c r="A17" s="1625" t="s">
        <v>309</v>
      </c>
      <c r="B17" s="1622">
        <v>700</v>
      </c>
      <c r="C17" s="740"/>
      <c r="D17" s="740"/>
      <c r="E17" s="740"/>
      <c r="F17" s="1752">
        <f>SUM('Expenditures 15-22'!I114,'Expenditures 15-22'!I151,'Expenditures 15-22'!I210,'Expenditures 15-22'!I312,'Expenditures 15-22'!I342,'Expenditures 15-22'!I367)</f>
        <v>378574</v>
      </c>
      <c r="G17" s="808">
        <v>10</v>
      </c>
      <c r="H17" s="740"/>
      <c r="I17" s="1761">
        <f>F17/G17</f>
        <v>37857.4</v>
      </c>
      <c r="J17" s="740"/>
      <c r="K17" s="766"/>
      <c r="L17" s="766"/>
    </row>
    <row r="18" spans="1:12" ht="14.25" thickTop="1" thickBot="1">
      <c r="A18" s="1759" t="s">
        <v>706</v>
      </c>
      <c r="B18" s="1760"/>
      <c r="C18" s="742"/>
      <c r="D18" s="742"/>
      <c r="E18" s="742"/>
      <c r="F18" s="821"/>
      <c r="G18" s="822"/>
      <c r="H18" s="744"/>
      <c r="I18" s="1752">
        <f>SUM(I16,I17)</f>
        <v>2441153.4</v>
      </c>
      <c r="J18" s="744"/>
      <c r="K18" s="744"/>
      <c r="L18" s="744"/>
    </row>
    <row r="19" spans="1:12" ht="12" customHeight="1" thickTop="1">
      <c r="F19" s="496"/>
      <c r="L19" s="496"/>
    </row>
    <row r="20" spans="1:12" ht="12" customHeight="1">
      <c r="A20" s="823"/>
      <c r="B20" s="494"/>
      <c r="F20" s="496"/>
      <c r="L20" s="496"/>
    </row>
    <row r="21" spans="1:12" ht="12" customHeight="1">
      <c r="B21" s="494"/>
      <c r="F21" s="496"/>
      <c r="L21" s="496"/>
    </row>
    <row r="22" spans="1:12" ht="12" customHeight="1">
      <c r="B22" s="494"/>
      <c r="F22" s="496"/>
      <c r="L22" s="496"/>
    </row>
    <row r="23" spans="1:12" ht="12" customHeight="1">
      <c r="A23" s="824"/>
      <c r="B23" s="494"/>
      <c r="F23" s="496"/>
      <c r="L23" s="496"/>
    </row>
    <row r="24" spans="1:12" ht="12" customHeight="1">
      <c r="B24" s="494"/>
      <c r="F24" s="496"/>
      <c r="L24" s="496"/>
    </row>
    <row r="25" spans="1:12">
      <c r="F25" s="496"/>
      <c r="L25" s="496"/>
    </row>
    <row r="26" spans="1:12" ht="10.9" customHeight="1">
      <c r="A26" s="825"/>
      <c r="B26" s="246"/>
      <c r="D26" s="346"/>
    </row>
    <row r="27" spans="1:12">
      <c r="A27" s="825"/>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110" zoomScaleNormal="110" zoomScaleSheetLayoutView="110" workbookViewId="0">
      <pane ySplit="5" topLeftCell="A170" activePane="bottomLeft" state="frozen"/>
      <selection activeCell="M97" activeCellId="1" sqref="A1 M97"/>
      <selection pane="bottomLeft" activeCell="F176" sqref="F176"/>
    </sheetView>
  </sheetViews>
  <sheetFormatPr defaultColWidth="8.7109375" defaultRowHeight="11.25"/>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c r="A1" s="2292" t="s">
        <v>1699</v>
      </c>
      <c r="B1" s="2293"/>
      <c r="C1" s="2293"/>
      <c r="D1" s="2293"/>
      <c r="E1" s="2293"/>
      <c r="F1" s="2294"/>
      <c r="G1" s="826"/>
    </row>
    <row r="2" spans="1:7" ht="15" customHeight="1" thickBot="1">
      <c r="A2" s="2295" t="s">
        <v>498</v>
      </c>
      <c r="B2" s="2296"/>
      <c r="C2" s="2296"/>
      <c r="D2" s="2296"/>
      <c r="E2" s="2296"/>
      <c r="F2" s="2297"/>
      <c r="G2" s="828"/>
    </row>
    <row r="3" spans="1:7" ht="5.25" customHeight="1" thickTop="1">
      <c r="A3" s="829"/>
      <c r="B3" s="830"/>
      <c r="C3" s="831"/>
      <c r="D3" s="830"/>
      <c r="E3" s="831"/>
      <c r="F3" s="830"/>
      <c r="G3" s="830"/>
    </row>
    <row r="4" spans="1:7" ht="12.2" customHeight="1">
      <c r="A4" s="832" t="s">
        <v>1137</v>
      </c>
      <c r="B4" s="833" t="s">
        <v>117</v>
      </c>
      <c r="D4" s="835" t="s">
        <v>532</v>
      </c>
      <c r="F4" s="833" t="s">
        <v>920</v>
      </c>
    </row>
    <row r="5" spans="1:7" ht="7.5" customHeight="1">
      <c r="A5" s="2298"/>
      <c r="B5" s="2299"/>
      <c r="C5" s="2299"/>
      <c r="D5" s="2299"/>
      <c r="E5" s="2299"/>
      <c r="F5" s="2299"/>
    </row>
    <row r="6" spans="1:7" ht="13.5" customHeight="1" thickBot="1">
      <c r="A6" s="2289" t="s">
        <v>1166</v>
      </c>
      <c r="B6" s="2290"/>
      <c r="C6" s="2290"/>
      <c r="D6" s="2290"/>
      <c r="E6" s="2290"/>
      <c r="F6" s="2291"/>
      <c r="G6" s="836"/>
    </row>
    <row r="7" spans="1:7" s="836" customFormat="1" ht="12" thickTop="1">
      <c r="A7" s="837" t="s">
        <v>523</v>
      </c>
      <c r="B7" s="838"/>
      <c r="C7" s="839"/>
      <c r="D7" s="838"/>
      <c r="E7" s="839"/>
      <c r="F7" s="838"/>
    </row>
    <row r="8" spans="1:7">
      <c r="A8" s="840" t="s">
        <v>479</v>
      </c>
      <c r="B8" s="841" t="s">
        <v>1544</v>
      </c>
      <c r="C8" s="842"/>
      <c r="D8" s="840" t="s">
        <v>522</v>
      </c>
      <c r="E8" s="839" t="s">
        <v>1015</v>
      </c>
      <c r="F8" s="1904">
        <f>'Expenditures 15-22'!K114</f>
        <v>47339063</v>
      </c>
      <c r="G8" s="836"/>
    </row>
    <row r="9" spans="1:7">
      <c r="A9" s="840" t="s">
        <v>480</v>
      </c>
      <c r="B9" s="841" t="s">
        <v>1987</v>
      </c>
      <c r="C9" s="842"/>
      <c r="D9" s="840" t="s">
        <v>522</v>
      </c>
      <c r="E9" s="839"/>
      <c r="F9" s="1905">
        <f>'Expenditures 15-22'!K151</f>
        <v>4973630</v>
      </c>
      <c r="G9" s="843"/>
    </row>
    <row r="10" spans="1:7">
      <c r="A10" s="840" t="s">
        <v>520</v>
      </c>
      <c r="B10" s="841" t="s">
        <v>1988</v>
      </c>
      <c r="C10" s="842"/>
      <c r="D10" s="840" t="s">
        <v>522</v>
      </c>
      <c r="E10" s="839"/>
      <c r="F10" s="1905">
        <f>'Expenditures 15-22'!K174</f>
        <v>5133817</v>
      </c>
      <c r="G10" s="843"/>
    </row>
    <row r="11" spans="1:7">
      <c r="A11" s="840" t="s">
        <v>481</v>
      </c>
      <c r="B11" s="841" t="s">
        <v>1989</v>
      </c>
      <c r="C11" s="842"/>
      <c r="D11" s="840" t="s">
        <v>522</v>
      </c>
      <c r="E11" s="839"/>
      <c r="F11" s="1905">
        <f>'Expenditures 15-22'!K210</f>
        <v>4823291</v>
      </c>
      <c r="G11" s="843"/>
    </row>
    <row r="12" spans="1:7">
      <c r="A12" s="840" t="s">
        <v>482</v>
      </c>
      <c r="B12" s="841" t="s">
        <v>1990</v>
      </c>
      <c r="C12" s="842"/>
      <c r="D12" s="840" t="s">
        <v>522</v>
      </c>
      <c r="E12" s="839"/>
      <c r="F12" s="1905">
        <f>'Expenditures 15-22'!K295</f>
        <v>1937465</v>
      </c>
      <c r="G12" s="843"/>
    </row>
    <row r="13" spans="1:7">
      <c r="A13" s="840" t="s">
        <v>108</v>
      </c>
      <c r="B13" s="841" t="s">
        <v>1991</v>
      </c>
      <c r="C13" s="842"/>
      <c r="D13" s="840" t="s">
        <v>522</v>
      </c>
      <c r="E13" s="839"/>
      <c r="F13" s="1905">
        <f>'Expenditures 15-22'!K342</f>
        <v>1932061</v>
      </c>
      <c r="G13" s="844"/>
    </row>
    <row r="14" spans="1:7" ht="12" customHeight="1" thickBot="1">
      <c r="A14" s="1762"/>
      <c r="B14" s="1763"/>
      <c r="C14" s="1764"/>
      <c r="D14" s="1765" t="s">
        <v>522</v>
      </c>
      <c r="E14" s="1766" t="s">
        <v>1015</v>
      </c>
      <c r="F14" s="1767">
        <f>SUM(F8:F13)</f>
        <v>66139327</v>
      </c>
      <c r="G14" s="836"/>
    </row>
    <row r="15" spans="1:7" ht="3.75" customHeight="1" thickTop="1">
      <c r="A15" s="836"/>
      <c r="B15" s="836"/>
      <c r="C15" s="842"/>
      <c r="D15" s="836"/>
      <c r="E15" s="839"/>
      <c r="F15" s="836"/>
      <c r="G15" s="836"/>
    </row>
    <row r="16" spans="1:7" ht="12" customHeight="1">
      <c r="A16" s="845" t="s">
        <v>533</v>
      </c>
      <c r="B16" s="230"/>
      <c r="C16" s="230"/>
      <c r="D16" s="838"/>
      <c r="E16" s="839"/>
      <c r="F16" s="838"/>
      <c r="G16" s="836"/>
    </row>
    <row r="17" spans="1:7" ht="4.5" customHeight="1">
      <c r="A17" s="845"/>
      <c r="B17" s="230"/>
      <c r="C17" s="230"/>
      <c r="D17" s="838"/>
      <c r="E17" s="839"/>
      <c r="F17" s="838"/>
      <c r="G17" s="836"/>
    </row>
    <row r="18" spans="1:7">
      <c r="A18" s="840" t="s">
        <v>481</v>
      </c>
      <c r="B18" s="841" t="s">
        <v>1068</v>
      </c>
      <c r="C18" s="846">
        <f>'Revenues 9-14'!B43</f>
        <v>1412</v>
      </c>
      <c r="D18" s="847" t="str">
        <f>'Revenues 9-14'!A43</f>
        <v>Regular - Transp Fees from Other Districts (In State)</v>
      </c>
      <c r="E18" s="839" t="s">
        <v>1015</v>
      </c>
      <c r="F18" s="1906">
        <f>'Revenues 9-14'!F43</f>
        <v>39255</v>
      </c>
      <c r="G18" s="836"/>
    </row>
    <row r="19" spans="1:7">
      <c r="A19" s="840" t="s">
        <v>481</v>
      </c>
      <c r="B19" s="841" t="s">
        <v>1069</v>
      </c>
      <c r="C19" s="848">
        <f>'Revenues 9-14'!B47</f>
        <v>1421</v>
      </c>
      <c r="D19" s="849" t="str">
        <f>'Revenues 9-14'!A47</f>
        <v>Summer Sch - Transp. Fees from Pupils or Parents (In State)</v>
      </c>
      <c r="E19" s="850"/>
      <c r="F19" s="1907">
        <f>'Revenues 9-14'!F47</f>
        <v>0</v>
      </c>
      <c r="G19" s="836"/>
    </row>
    <row r="20" spans="1:7">
      <c r="A20" s="840" t="s">
        <v>481</v>
      </c>
      <c r="B20" s="841" t="s">
        <v>1070</v>
      </c>
      <c r="C20" s="846">
        <f>'Revenues 9-14'!B48</f>
        <v>1422</v>
      </c>
      <c r="D20" s="847" t="str">
        <f>'Revenues 9-14'!A48</f>
        <v>Summer Sch - Transp. Fees from Other Districts (In State)</v>
      </c>
      <c r="E20" s="839"/>
      <c r="F20" s="1908">
        <f>'Revenues 9-14'!F48</f>
        <v>0</v>
      </c>
      <c r="G20" s="836"/>
    </row>
    <row r="21" spans="1:7">
      <c r="A21" s="840" t="s">
        <v>481</v>
      </c>
      <c r="B21" s="841" t="s">
        <v>1071</v>
      </c>
      <c r="C21" s="848">
        <f>'Revenues 9-14'!B49</f>
        <v>1423</v>
      </c>
      <c r="D21" s="847" t="str">
        <f>'Revenues 9-14'!A49</f>
        <v>Summer Sch - Transp. Fees from Other Sources (In State)</v>
      </c>
      <c r="E21" s="839"/>
      <c r="F21" s="1909">
        <f>'Revenues 9-14'!F49</f>
        <v>0</v>
      </c>
      <c r="G21" s="836"/>
    </row>
    <row r="22" spans="1:7">
      <c r="A22" s="840" t="s">
        <v>481</v>
      </c>
      <c r="B22" s="841" t="s">
        <v>1072</v>
      </c>
      <c r="C22" s="848">
        <f>'Revenues 9-14'!B50</f>
        <v>1424</v>
      </c>
      <c r="D22" s="847" t="str">
        <f>'Revenues 9-14'!A50</f>
        <v>Summer Sch - Transp. Fees from Other Sources (Out of State)</v>
      </c>
      <c r="E22" s="839"/>
      <c r="F22" s="1909">
        <f>'Revenues 9-14'!F50</f>
        <v>0</v>
      </c>
      <c r="G22" s="836"/>
    </row>
    <row r="23" spans="1:7">
      <c r="A23" s="840" t="s">
        <v>481</v>
      </c>
      <c r="B23" s="841" t="s">
        <v>1073</v>
      </c>
      <c r="C23" s="846">
        <f>'Revenues 9-14'!B52</f>
        <v>1432</v>
      </c>
      <c r="D23" s="847" t="str">
        <f>'Revenues 9-14'!A52</f>
        <v>CTE - Transp Fees from Other Districts (In State)</v>
      </c>
      <c r="E23" s="839"/>
      <c r="F23" s="1909">
        <f>'Revenues 9-14'!F52</f>
        <v>0</v>
      </c>
      <c r="G23" s="836"/>
    </row>
    <row r="24" spans="1:7">
      <c r="A24" s="840" t="s">
        <v>481</v>
      </c>
      <c r="B24" s="841" t="s">
        <v>1074</v>
      </c>
      <c r="C24" s="846">
        <f>'Revenues 9-14'!B56</f>
        <v>1442</v>
      </c>
      <c r="D24" s="847" t="str">
        <f>'Revenues 9-14'!A56</f>
        <v>Special Ed - Transp Fees from Other Districts (In State)</v>
      </c>
      <c r="E24" s="839"/>
      <c r="F24" s="1909">
        <f>'Revenues 9-14'!F56</f>
        <v>0</v>
      </c>
      <c r="G24" s="836"/>
    </row>
    <row r="25" spans="1:7">
      <c r="A25" s="840" t="s">
        <v>481</v>
      </c>
      <c r="B25" s="841" t="s">
        <v>1075</v>
      </c>
      <c r="C25" s="846">
        <f>'Revenues 9-14'!B59</f>
        <v>1451</v>
      </c>
      <c r="D25" s="847" t="str">
        <f>'Revenues 9-14'!A59</f>
        <v>Adult - Transp Fees from Pupils or Parents (In State)</v>
      </c>
      <c r="E25" s="839"/>
      <c r="F25" s="1909">
        <f>'Revenues 9-14'!F59</f>
        <v>0</v>
      </c>
      <c r="G25" s="836"/>
    </row>
    <row r="26" spans="1:7">
      <c r="A26" s="840" t="s">
        <v>481</v>
      </c>
      <c r="B26" s="841" t="s">
        <v>1076</v>
      </c>
      <c r="C26" s="846">
        <f>'Revenues 9-14'!B60</f>
        <v>1452</v>
      </c>
      <c r="D26" s="847" t="str">
        <f>'Revenues 9-14'!A60</f>
        <v>Adult - Transp Fees from Other Districts (In State)</v>
      </c>
      <c r="E26" s="839"/>
      <c r="F26" s="1909">
        <f>'Revenues 9-14'!F60</f>
        <v>0</v>
      </c>
      <c r="G26" s="836"/>
    </row>
    <row r="27" spans="1:7">
      <c r="A27" s="840" t="s">
        <v>481</v>
      </c>
      <c r="B27" s="841" t="s">
        <v>1077</v>
      </c>
      <c r="C27" s="846">
        <f>'Revenues 9-14'!B61</f>
        <v>1453</v>
      </c>
      <c r="D27" s="847" t="str">
        <f>'Revenues 9-14'!A61</f>
        <v>Adult - Transp Fees from Other Sources (In State)</v>
      </c>
      <c r="E27" s="839"/>
      <c r="F27" s="1909">
        <f>'Revenues 9-14'!F61</f>
        <v>0</v>
      </c>
      <c r="G27" s="836"/>
    </row>
    <row r="28" spans="1:7">
      <c r="A28" s="840" t="s">
        <v>481</v>
      </c>
      <c r="B28" s="841" t="s">
        <v>1078</v>
      </c>
      <c r="C28" s="846">
        <f>'Revenues 9-14'!B62</f>
        <v>1454</v>
      </c>
      <c r="D28" s="847" t="str">
        <f>'Revenues 9-14'!A62</f>
        <v>Adult - Transp Fees from Other Sources (Out of State)</v>
      </c>
      <c r="E28" s="839"/>
      <c r="F28" s="1909">
        <f>'Revenues 9-14'!F62</f>
        <v>0</v>
      </c>
      <c r="G28" s="836"/>
    </row>
    <row r="29" spans="1:7">
      <c r="A29" s="840" t="s">
        <v>1159</v>
      </c>
      <c r="B29" s="841" t="s">
        <v>1683</v>
      </c>
      <c r="C29" s="851">
        <f>'Revenues 9-14'!B148</f>
        <v>3410</v>
      </c>
      <c r="D29" s="852" t="str">
        <f>'Revenues 9-14'!A148</f>
        <v>Adult Ed (from ICCB)</v>
      </c>
      <c r="E29" s="839"/>
      <c r="F29" s="1909">
        <f>SUM('Revenues 9-14'!D148,F149)</f>
        <v>0</v>
      </c>
      <c r="G29" s="836"/>
    </row>
    <row r="30" spans="1:7">
      <c r="A30" s="840" t="s">
        <v>1159</v>
      </c>
      <c r="B30" s="841" t="s">
        <v>861</v>
      </c>
      <c r="C30" s="851">
        <f>'Revenues 9-14'!B149</f>
        <v>3499</v>
      </c>
      <c r="D30" s="852" t="str">
        <f>'Revenues 9-14'!A149</f>
        <v>Adult Ed - Other (Describe &amp; Itemize)</v>
      </c>
      <c r="E30" s="839"/>
      <c r="F30" s="1910">
        <f>('Revenues 9-14'!D149+'Revenues 9-14'!F149)</f>
        <v>0</v>
      </c>
      <c r="G30" s="836"/>
    </row>
    <row r="31" spans="1:7">
      <c r="A31" s="840" t="s">
        <v>1159</v>
      </c>
      <c r="B31" s="841" t="s">
        <v>862</v>
      </c>
      <c r="C31" s="846">
        <f>'Revenues 9-14'!B218</f>
        <v>4600</v>
      </c>
      <c r="D31" s="854" t="str">
        <f>'Revenues 9-14'!A218</f>
        <v>Fed - Spec Education - Preschool Flow-Through</v>
      </c>
      <c r="E31" s="855"/>
      <c r="F31" s="1909">
        <f>SUM('Revenues 9-14'!D218,'Revenues 9-14'!F218)</f>
        <v>0</v>
      </c>
      <c r="G31" s="836"/>
    </row>
    <row r="32" spans="1:7">
      <c r="A32" s="840" t="s">
        <v>1159</v>
      </c>
      <c r="B32" s="841" t="s">
        <v>800</v>
      </c>
      <c r="C32" s="846">
        <f>'Revenues 9-14'!B219</f>
        <v>4605</v>
      </c>
      <c r="D32" s="856" t="str">
        <f>'Revenues 9-14'!A219</f>
        <v>Fed - Spec Education - Preschool Discretionary</v>
      </c>
      <c r="E32" s="855"/>
      <c r="F32" s="1909">
        <f>SUM('Revenues 9-14'!D219,'Revenues 9-14'!F219)</f>
        <v>0</v>
      </c>
      <c r="G32" s="836"/>
    </row>
    <row r="33" spans="1:7">
      <c r="A33" s="840" t="s">
        <v>480</v>
      </c>
      <c r="B33" s="841" t="s">
        <v>801</v>
      </c>
      <c r="C33" s="846">
        <f>'Revenues 9-14'!B229</f>
        <v>4810</v>
      </c>
      <c r="D33" s="854" t="str">
        <f>'Revenues 9-14'!A229</f>
        <v>Federal - Adult Education</v>
      </c>
      <c r="E33" s="839"/>
      <c r="F33" s="1909">
        <f>'Revenues 9-14'!D229</f>
        <v>0</v>
      </c>
      <c r="G33" s="836"/>
    </row>
    <row r="34" spans="1:7">
      <c r="A34" s="840" t="s">
        <v>479</v>
      </c>
      <c r="B34" s="840" t="s">
        <v>1545</v>
      </c>
      <c r="C34" s="857" t="str">
        <f>'Expenditures 15-22'!B7</f>
        <v>1125</v>
      </c>
      <c r="D34" s="858" t="str">
        <f>'Expenditures 15-22'!A7</f>
        <v>Pre-K Programs</v>
      </c>
      <c r="E34" s="839"/>
      <c r="F34" s="1909">
        <f>'Expenditures 15-22'!K7-SUM('Expenditures 15-22'!G7,'Expenditures 15-22'!I7)</f>
        <v>0</v>
      </c>
      <c r="G34" s="836"/>
    </row>
    <row r="35" spans="1:7">
      <c r="A35" s="840" t="s">
        <v>479</v>
      </c>
      <c r="B35" s="840" t="s">
        <v>1546</v>
      </c>
      <c r="C35" s="857" t="str">
        <f>'Expenditures 15-22'!B9</f>
        <v>1225</v>
      </c>
      <c r="D35" s="858" t="str">
        <f>'Expenditures 15-22'!A9</f>
        <v>Special Education Programs Pre-K</v>
      </c>
      <c r="E35" s="839"/>
      <c r="F35" s="1909">
        <f>'Expenditures 15-22'!K9-SUM('Expenditures 15-22'!G9+'Expenditures 15-22'!I9)</f>
        <v>0</v>
      </c>
      <c r="G35" s="836"/>
    </row>
    <row r="36" spans="1:7">
      <c r="A36" s="840" t="s">
        <v>479</v>
      </c>
      <c r="B36" s="840" t="s">
        <v>118</v>
      </c>
      <c r="C36" s="857" t="str">
        <f>'Expenditures 15-22'!B11</f>
        <v>1275</v>
      </c>
      <c r="D36" s="858" t="str">
        <f>'Expenditures 15-22'!A11</f>
        <v>Remedial and Supplemental Programs Pre-K</v>
      </c>
      <c r="E36" s="839"/>
      <c r="F36" s="1909">
        <f>'Expenditures 15-22'!K11-SUM('Expenditures 15-22'!G11,'Expenditures 15-22'!I11)</f>
        <v>0</v>
      </c>
      <c r="G36" s="836"/>
    </row>
    <row r="37" spans="1:7">
      <c r="A37" s="840" t="s">
        <v>479</v>
      </c>
      <c r="B37" s="840" t="s">
        <v>1547</v>
      </c>
      <c r="C37" s="857">
        <f>'Expenditures 15-22'!B12</f>
        <v>1300</v>
      </c>
      <c r="D37" s="859" t="str">
        <f>'Expenditures 15-22'!A12</f>
        <v>Adult/Continuing Education Programs</v>
      </c>
      <c r="E37" s="839"/>
      <c r="F37" s="1909">
        <f>'Expenditures 15-22'!K12-SUM('Expenditures 15-22'!G12+'Expenditures 15-22'!I12)</f>
        <v>0</v>
      </c>
      <c r="G37" s="836"/>
    </row>
    <row r="38" spans="1:7">
      <c r="A38" s="840" t="s">
        <v>479</v>
      </c>
      <c r="B38" s="840" t="s">
        <v>1548</v>
      </c>
      <c r="C38" s="857">
        <f>'Expenditures 15-22'!B15</f>
        <v>1600</v>
      </c>
      <c r="D38" s="859" t="str">
        <f>'Expenditures 15-22'!A15</f>
        <v>Summer School Programs</v>
      </c>
      <c r="E38" s="839"/>
      <c r="F38" s="1909">
        <f>'Expenditures 15-22'!K15-SUM('Expenditures 15-22'!G15,'Expenditures 15-22'!I15)</f>
        <v>118610</v>
      </c>
      <c r="G38" s="836"/>
    </row>
    <row r="39" spans="1:7">
      <c r="A39" s="840" t="s">
        <v>479</v>
      </c>
      <c r="B39" s="840" t="s">
        <v>119</v>
      </c>
      <c r="C39" s="857" t="str">
        <f>'Expenditures 15-22'!B20</f>
        <v>1910</v>
      </c>
      <c r="D39" s="859" t="str">
        <f>'Expenditures 15-22'!A20</f>
        <v>Pre-K Programs - Private Tuition</v>
      </c>
      <c r="E39" s="839"/>
      <c r="F39" s="1909">
        <f>'Expenditures 15-22'!K20</f>
        <v>0</v>
      </c>
      <c r="G39" s="836"/>
    </row>
    <row r="40" spans="1:7">
      <c r="A40" s="840" t="s">
        <v>479</v>
      </c>
      <c r="B40" s="840" t="s">
        <v>120</v>
      </c>
      <c r="C40" s="857" t="str">
        <f>'Expenditures 15-22'!B21</f>
        <v>1911</v>
      </c>
      <c r="D40" s="859" t="str">
        <f>'Expenditures 15-22'!A21</f>
        <v>Regular K-12 Programs - Private Tuition</v>
      </c>
      <c r="E40" s="839"/>
      <c r="F40" s="1909">
        <f>'Expenditures 15-22'!K21</f>
        <v>111209</v>
      </c>
      <c r="G40" s="836"/>
    </row>
    <row r="41" spans="1:7">
      <c r="A41" s="840" t="s">
        <v>479</v>
      </c>
      <c r="B41" s="840" t="s">
        <v>121</v>
      </c>
      <c r="C41" s="857" t="str">
        <f>'Expenditures 15-22'!B22</f>
        <v>1912</v>
      </c>
      <c r="D41" s="859" t="str">
        <f>'Expenditures 15-22'!A22</f>
        <v>Special Education Programs K-12 - Private Tuition</v>
      </c>
      <c r="E41" s="839"/>
      <c r="F41" s="1909">
        <f>'Expenditures 15-22'!K22</f>
        <v>1748416</v>
      </c>
      <c r="G41" s="836"/>
    </row>
    <row r="42" spans="1:7">
      <c r="A42" s="840" t="s">
        <v>479</v>
      </c>
      <c r="B42" s="840" t="s">
        <v>122</v>
      </c>
      <c r="C42" s="860" t="str">
        <f>'Expenditures 15-22'!B23</f>
        <v>1913</v>
      </c>
      <c r="D42" s="859" t="str">
        <f>'Expenditures 15-22'!A23</f>
        <v>Special Education Programs Pre-K - Tuition</v>
      </c>
      <c r="E42" s="839"/>
      <c r="F42" s="1909">
        <f>'Expenditures 15-22'!K23</f>
        <v>0</v>
      </c>
      <c r="G42" s="836"/>
    </row>
    <row r="43" spans="1:7">
      <c r="A43" s="840" t="s">
        <v>479</v>
      </c>
      <c r="B43" s="840" t="s">
        <v>123</v>
      </c>
      <c r="C43" s="857" t="str">
        <f>'Expenditures 15-22'!B24</f>
        <v>1914</v>
      </c>
      <c r="D43" s="859" t="str">
        <f>'Expenditures 15-22'!A24</f>
        <v>Remedial/Supplemental Programs K-12 - Private Tuition</v>
      </c>
      <c r="E43" s="839"/>
      <c r="F43" s="1909">
        <f>'Expenditures 15-22'!K24</f>
        <v>0</v>
      </c>
      <c r="G43" s="836"/>
    </row>
    <row r="44" spans="1:7">
      <c r="A44" s="840" t="s">
        <v>479</v>
      </c>
      <c r="B44" s="840" t="s">
        <v>124</v>
      </c>
      <c r="C44" s="860" t="str">
        <f>'Expenditures 15-22'!B25</f>
        <v>1915</v>
      </c>
      <c r="D44" s="859" t="str">
        <f>'Expenditures 15-22'!A25</f>
        <v>Remedial/Supplemental Programs Pre-K - Private Tuition</v>
      </c>
      <c r="E44" s="839"/>
      <c r="F44" s="1909">
        <f>'Expenditures 15-22'!K25</f>
        <v>0</v>
      </c>
      <c r="G44" s="836"/>
    </row>
    <row r="45" spans="1:7">
      <c r="A45" s="840" t="s">
        <v>479</v>
      </c>
      <c r="B45" s="840" t="s">
        <v>125</v>
      </c>
      <c r="C45" s="860" t="str">
        <f>'Expenditures 15-22'!B26</f>
        <v>1916</v>
      </c>
      <c r="D45" s="859" t="str">
        <f>'Expenditures 15-22'!A26</f>
        <v>Adult/Continuing Education Programs - Private Tuition</v>
      </c>
      <c r="E45" s="839"/>
      <c r="F45" s="1909">
        <f>'Expenditures 15-22'!K26</f>
        <v>0</v>
      </c>
      <c r="G45" s="836"/>
    </row>
    <row r="46" spans="1:7">
      <c r="A46" s="840" t="s">
        <v>479</v>
      </c>
      <c r="B46" s="840" t="s">
        <v>126</v>
      </c>
      <c r="C46" s="857" t="str">
        <f>'Expenditures 15-22'!B27</f>
        <v>1917</v>
      </c>
      <c r="D46" s="859" t="str">
        <f>'Expenditures 15-22'!A27</f>
        <v>CTE Programs - Private Tuition</v>
      </c>
      <c r="E46" s="839"/>
      <c r="F46" s="1909">
        <f>'Expenditures 15-22'!K27</f>
        <v>0</v>
      </c>
      <c r="G46" s="836"/>
    </row>
    <row r="47" spans="1:7">
      <c r="A47" s="840" t="s">
        <v>479</v>
      </c>
      <c r="B47" s="840" t="s">
        <v>127</v>
      </c>
      <c r="C47" s="861" t="str">
        <f>'Expenditures 15-22'!B28</f>
        <v>1918</v>
      </c>
      <c r="D47" s="862" t="str">
        <f>'Expenditures 15-22'!A28</f>
        <v>Interscholastic Programs - Private Tuition</v>
      </c>
      <c r="E47" s="839"/>
      <c r="F47" s="1909">
        <f>'Expenditures 15-22'!K28</f>
        <v>0</v>
      </c>
      <c r="G47" s="836"/>
    </row>
    <row r="48" spans="1:7">
      <c r="A48" s="840" t="s">
        <v>479</v>
      </c>
      <c r="B48" s="840" t="s">
        <v>128</v>
      </c>
      <c r="C48" s="860" t="str">
        <f>'Expenditures 15-22'!B29</f>
        <v>1919</v>
      </c>
      <c r="D48" s="859" t="str">
        <f>'Expenditures 15-22'!A29</f>
        <v>Summer School Programs - Private Tuition</v>
      </c>
      <c r="E48" s="839"/>
      <c r="F48" s="1909">
        <f>'Expenditures 15-22'!K29</f>
        <v>0</v>
      </c>
      <c r="G48" s="836"/>
    </row>
    <row r="49" spans="1:7">
      <c r="A49" s="840" t="s">
        <v>479</v>
      </c>
      <c r="B49" s="840" t="s">
        <v>129</v>
      </c>
      <c r="C49" s="857" t="str">
        <f>'Expenditures 15-22'!B30</f>
        <v>1920</v>
      </c>
      <c r="D49" s="859" t="str">
        <f>'Expenditures 15-22'!A30</f>
        <v>Gifted Programs - Private Tuition</v>
      </c>
      <c r="E49" s="839"/>
      <c r="F49" s="1909">
        <f>'Expenditures 15-22'!K30</f>
        <v>0</v>
      </c>
      <c r="G49" s="836"/>
    </row>
    <row r="50" spans="1:7">
      <c r="A50" s="840" t="s">
        <v>479</v>
      </c>
      <c r="B50" s="840" t="s">
        <v>130</v>
      </c>
      <c r="C50" s="857" t="str">
        <f>'Expenditures 15-22'!B31</f>
        <v>1921</v>
      </c>
      <c r="D50" s="859" t="str">
        <f>'Expenditures 15-22'!A31</f>
        <v>Bilingual Programs - Private Tuition</v>
      </c>
      <c r="E50" s="839"/>
      <c r="F50" s="1909">
        <f>'Expenditures 15-22'!K31</f>
        <v>0</v>
      </c>
      <c r="G50" s="836"/>
    </row>
    <row r="51" spans="1:7">
      <c r="A51" s="840" t="s">
        <v>479</v>
      </c>
      <c r="B51" s="840" t="s">
        <v>1549</v>
      </c>
      <c r="C51" s="857" t="str">
        <f>'Expenditures 15-22'!B32</f>
        <v>1922</v>
      </c>
      <c r="D51" s="859" t="str">
        <f>'Expenditures 15-22'!A32</f>
        <v>Truants Alternative/Optional Ed Progms - Private Tuition</v>
      </c>
      <c r="E51" s="839"/>
      <c r="F51" s="1909">
        <f>'Expenditures 15-22'!K32</f>
        <v>0</v>
      </c>
      <c r="G51" s="836"/>
    </row>
    <row r="52" spans="1:7">
      <c r="A52" s="840" t="s">
        <v>479</v>
      </c>
      <c r="B52" s="840" t="s">
        <v>1550</v>
      </c>
      <c r="C52" s="860" t="str">
        <f>'Expenditures 15-22'!B75</f>
        <v>3000</v>
      </c>
      <c r="D52" s="859" t="s">
        <v>469</v>
      </c>
      <c r="E52" s="839"/>
      <c r="F52" s="1909">
        <f>'Expenditures 15-22'!K75-SUM('Expenditures 15-22'!G75,'Expenditures 15-22'!I75)</f>
        <v>36278</v>
      </c>
      <c r="G52" s="836"/>
    </row>
    <row r="53" spans="1:7">
      <c r="A53" s="840" t="s">
        <v>479</v>
      </c>
      <c r="B53" s="840" t="s">
        <v>1551</v>
      </c>
      <c r="C53" s="860">
        <f>'Expenditures 15-22'!B102</f>
        <v>4000</v>
      </c>
      <c r="D53" s="859" t="str">
        <f>'Expenditures 15-22'!A102</f>
        <v>Total Payments to Other Govt Units</v>
      </c>
      <c r="E53" s="839"/>
      <c r="F53" s="1909">
        <f>'Expenditures 15-22'!K102</f>
        <v>1914893</v>
      </c>
      <c r="G53" s="836"/>
    </row>
    <row r="54" spans="1:7">
      <c r="A54" s="840" t="s">
        <v>479</v>
      </c>
      <c r="B54" s="840" t="s">
        <v>1552</v>
      </c>
      <c r="C54" s="860" t="s">
        <v>1039</v>
      </c>
      <c r="D54" s="856" t="s">
        <v>1157</v>
      </c>
      <c r="E54" s="839"/>
      <c r="F54" s="1909">
        <f>'Expenditures 15-22'!G114</f>
        <v>193214</v>
      </c>
      <c r="G54" s="836"/>
    </row>
    <row r="55" spans="1:7">
      <c r="A55" s="840" t="s">
        <v>479</v>
      </c>
      <c r="B55" s="840" t="s">
        <v>1553</v>
      </c>
      <c r="C55" s="860" t="s">
        <v>1039</v>
      </c>
      <c r="D55" s="856" t="s">
        <v>309</v>
      </c>
      <c r="E55" s="839"/>
      <c r="F55" s="1909">
        <f>'Expenditures 15-22'!I114</f>
        <v>350103</v>
      </c>
      <c r="G55" s="836"/>
    </row>
    <row r="56" spans="1:7">
      <c r="A56" s="840" t="s">
        <v>480</v>
      </c>
      <c r="B56" s="840" t="s">
        <v>1554</v>
      </c>
      <c r="C56" s="857" t="str">
        <f>'Expenditures 15-22'!B130</f>
        <v>3000</v>
      </c>
      <c r="D56" s="863" t="s">
        <v>469</v>
      </c>
      <c r="E56" s="839"/>
      <c r="F56" s="1909">
        <f>'Expenditures 15-22'!K130-SUM('Expenditures 15-22'!G130+'Expenditures 15-22'!I130)</f>
        <v>0</v>
      </c>
      <c r="G56" s="836"/>
    </row>
    <row r="57" spans="1:7">
      <c r="A57" s="840" t="s">
        <v>480</v>
      </c>
      <c r="B57" s="840" t="s">
        <v>1992</v>
      </c>
      <c r="C57" s="860">
        <f>'Expenditures 15-22'!B139</f>
        <v>4000</v>
      </c>
      <c r="D57" s="858" t="str">
        <f>'Expenditures 15-22'!A139</f>
        <v>Total Payments to Other Govt Units</v>
      </c>
      <c r="E57" s="839"/>
      <c r="F57" s="1909">
        <f>'Expenditures 15-22'!K139</f>
        <v>0</v>
      </c>
      <c r="G57" s="836"/>
    </row>
    <row r="58" spans="1:7">
      <c r="A58" s="840" t="s">
        <v>480</v>
      </c>
      <c r="B58" s="840" t="s">
        <v>1993</v>
      </c>
      <c r="C58" s="857" t="s">
        <v>1039</v>
      </c>
      <c r="D58" s="856" t="s">
        <v>1157</v>
      </c>
      <c r="E58" s="839"/>
      <c r="F58" s="1911">
        <f>'Expenditures 15-22'!G151</f>
        <v>426208</v>
      </c>
      <c r="G58" s="836"/>
    </row>
    <row r="59" spans="1:7">
      <c r="A59" s="864" t="s">
        <v>480</v>
      </c>
      <c r="B59" s="827" t="s">
        <v>1994</v>
      </c>
      <c r="C59" s="865" t="s">
        <v>1039</v>
      </c>
      <c r="D59" s="827" t="s">
        <v>309</v>
      </c>
      <c r="F59" s="1912">
        <f>'Expenditures 15-22'!I151</f>
        <v>28471</v>
      </c>
      <c r="G59" s="836"/>
    </row>
    <row r="60" spans="1:7">
      <c r="A60" s="864" t="s">
        <v>520</v>
      </c>
      <c r="B60" s="827" t="s">
        <v>1995</v>
      </c>
      <c r="C60" s="865">
        <v>4000</v>
      </c>
      <c r="D60" s="827" t="s">
        <v>330</v>
      </c>
      <c r="F60" s="1910">
        <f>'Expenditures 15-22'!K160</f>
        <v>0</v>
      </c>
      <c r="G60" s="836"/>
    </row>
    <row r="61" spans="1:7">
      <c r="A61" s="866" t="s">
        <v>520</v>
      </c>
      <c r="B61" s="866" t="s">
        <v>1996</v>
      </c>
      <c r="C61" s="867" t="str">
        <f>'Expenditures 15-22'!B170</f>
        <v>5300</v>
      </c>
      <c r="D61" s="868" t="s">
        <v>329</v>
      </c>
      <c r="E61" s="850"/>
      <c r="F61" s="1909">
        <f>'Expenditures 15-22'!K170</f>
        <v>4079700</v>
      </c>
      <c r="G61" s="836"/>
    </row>
    <row r="62" spans="1:7">
      <c r="A62" s="840" t="s">
        <v>481</v>
      </c>
      <c r="B62" s="840" t="s">
        <v>1997</v>
      </c>
      <c r="C62" s="857">
        <f>'Expenditures 15-22'!B185</f>
        <v>3000</v>
      </c>
      <c r="D62" s="847" t="s">
        <v>469</v>
      </c>
      <c r="E62" s="839"/>
      <c r="F62" s="1909">
        <f>'Expenditures 15-22'!K185-SUM('Expenditures 15-22'!G185,'Expenditures 15-22'!I185)</f>
        <v>0</v>
      </c>
      <c r="G62" s="836"/>
    </row>
    <row r="63" spans="1:7">
      <c r="A63" s="840" t="s">
        <v>481</v>
      </c>
      <c r="B63" s="840" t="s">
        <v>1998</v>
      </c>
      <c r="C63" s="857" t="str">
        <f>'Expenditures 15-22'!B196</f>
        <v>4000</v>
      </c>
      <c r="D63" s="858" t="str">
        <f>'Expenditures 15-22'!A196</f>
        <v>Total Payments to Other Govt Units</v>
      </c>
      <c r="E63" s="839"/>
      <c r="F63" s="1909">
        <f>'Expenditures 15-22'!K196</f>
        <v>0</v>
      </c>
      <c r="G63" s="836"/>
    </row>
    <row r="64" spans="1:7">
      <c r="A64" s="866" t="s">
        <v>481</v>
      </c>
      <c r="B64" s="866" t="s">
        <v>1999</v>
      </c>
      <c r="C64" s="867" t="str">
        <f>'Expenditures 15-22'!B206</f>
        <v>5300</v>
      </c>
      <c r="D64" s="863" t="s">
        <v>329</v>
      </c>
      <c r="E64" s="839"/>
      <c r="F64" s="1909">
        <f>'Expenditures 15-22'!K206</f>
        <v>0</v>
      </c>
      <c r="G64" s="836"/>
    </row>
    <row r="65" spans="1:8">
      <c r="A65" s="840" t="s">
        <v>481</v>
      </c>
      <c r="B65" s="840" t="s">
        <v>2000</v>
      </c>
      <c r="C65" s="857" t="s">
        <v>1039</v>
      </c>
      <c r="D65" s="856" t="s">
        <v>1157</v>
      </c>
      <c r="E65" s="839"/>
      <c r="F65" s="1909">
        <f>'Expenditures 15-22'!G210</f>
        <v>0</v>
      </c>
      <c r="G65" s="836"/>
    </row>
    <row r="66" spans="1:8">
      <c r="A66" s="840" t="s">
        <v>481</v>
      </c>
      <c r="B66" s="840" t="s">
        <v>2001</v>
      </c>
      <c r="C66" s="857" t="s">
        <v>1039</v>
      </c>
      <c r="D66" s="856" t="s">
        <v>309</v>
      </c>
      <c r="E66" s="839"/>
      <c r="F66" s="1909">
        <f>'Expenditures 15-22'!I210</f>
        <v>0</v>
      </c>
      <c r="G66" s="836"/>
    </row>
    <row r="67" spans="1:8">
      <c r="A67" s="840" t="s">
        <v>482</v>
      </c>
      <c r="B67" s="840" t="s">
        <v>2002</v>
      </c>
      <c r="C67" s="857" t="str">
        <f>'Expenditures 15-22'!B216</f>
        <v>1125</v>
      </c>
      <c r="D67" s="863" t="str">
        <f>'Expenditures 15-22'!A216</f>
        <v>Pre-K Programs</v>
      </c>
      <c r="E67" s="839"/>
      <c r="F67" s="1909">
        <f>'Expenditures 15-22'!K216</f>
        <v>0</v>
      </c>
      <c r="G67" s="836"/>
    </row>
    <row r="68" spans="1:8">
      <c r="A68" s="840" t="s">
        <v>482</v>
      </c>
      <c r="B68" s="840" t="s">
        <v>1555</v>
      </c>
      <c r="C68" s="857" t="str">
        <f>'Expenditures 15-22'!B218</f>
        <v>1225</v>
      </c>
      <c r="D68" s="863" t="str">
        <f>'Expenditures 15-22'!A218</f>
        <v>Special Education Programs - Pre-K</v>
      </c>
      <c r="E68" s="839"/>
      <c r="F68" s="1909">
        <f>'Expenditures 15-22'!K218</f>
        <v>0</v>
      </c>
      <c r="G68" s="836"/>
    </row>
    <row r="69" spans="1:8">
      <c r="A69" s="840" t="s">
        <v>482</v>
      </c>
      <c r="B69" s="840" t="s">
        <v>2003</v>
      </c>
      <c r="C69" s="857" t="str">
        <f>'Expenditures 15-22'!B220</f>
        <v>1275</v>
      </c>
      <c r="D69" s="863" t="str">
        <f>'Expenditures 15-22'!A220</f>
        <v>Remedial and Supplemental Programs - Pre-K</v>
      </c>
      <c r="E69" s="839"/>
      <c r="F69" s="1909">
        <f>'Expenditures 15-22'!K220</f>
        <v>0</v>
      </c>
      <c r="G69" s="836"/>
    </row>
    <row r="70" spans="1:8">
      <c r="A70" s="840" t="s">
        <v>482</v>
      </c>
      <c r="B70" s="840" t="s">
        <v>2004</v>
      </c>
      <c r="C70" s="857">
        <f>'Expenditures 15-22'!B221</f>
        <v>1300</v>
      </c>
      <c r="D70" s="858" t="str">
        <f>'Expenditures 15-22'!A221</f>
        <v>Adult/Continuing Education Programs</v>
      </c>
      <c r="E70" s="839"/>
      <c r="F70" s="1909">
        <f>'Expenditures 15-22'!K221</f>
        <v>0</v>
      </c>
      <c r="G70" s="836"/>
    </row>
    <row r="71" spans="1:8">
      <c r="A71" s="840" t="s">
        <v>482</v>
      </c>
      <c r="B71" s="840" t="s">
        <v>2005</v>
      </c>
      <c r="C71" s="857">
        <f>'Expenditures 15-22'!B224</f>
        <v>1600</v>
      </c>
      <c r="D71" s="858" t="str">
        <f>'Expenditures 15-22'!A224</f>
        <v>Summer School Programs</v>
      </c>
      <c r="E71" s="839"/>
      <c r="F71" s="1909">
        <f>'Expenditures 15-22'!K224</f>
        <v>6009</v>
      </c>
      <c r="G71" s="836"/>
    </row>
    <row r="72" spans="1:8">
      <c r="A72" s="840" t="s">
        <v>482</v>
      </c>
      <c r="B72" s="840" t="s">
        <v>2006</v>
      </c>
      <c r="C72" s="857">
        <f>'Expenditures 15-22'!B280</f>
        <v>3000</v>
      </c>
      <c r="D72" s="847" t="s">
        <v>469</v>
      </c>
      <c r="E72" s="839"/>
      <c r="F72" s="1909">
        <f>'Expenditures 15-22'!K280</f>
        <v>0</v>
      </c>
      <c r="G72" s="836"/>
    </row>
    <row r="73" spans="1:8">
      <c r="A73" s="840" t="s">
        <v>482</v>
      </c>
      <c r="B73" s="840" t="s">
        <v>2007</v>
      </c>
      <c r="C73" s="857" t="str">
        <f>'Expenditures 15-22'!B285</f>
        <v>4000</v>
      </c>
      <c r="D73" s="858" t="str">
        <f>'Expenditures 15-22'!A285</f>
        <v>Total Payments to Other Govt Units</v>
      </c>
      <c r="E73" s="839"/>
      <c r="F73" s="1909">
        <f>'Expenditures 15-22'!K285</f>
        <v>0</v>
      </c>
      <c r="G73" s="836"/>
    </row>
    <row r="74" spans="1:8">
      <c r="A74" s="840" t="s">
        <v>456</v>
      </c>
      <c r="B74" s="840" t="s">
        <v>2008</v>
      </c>
      <c r="C74" s="857" t="s">
        <v>915</v>
      </c>
      <c r="D74" s="858" t="s">
        <v>1567</v>
      </c>
      <c r="E74" s="839"/>
      <c r="F74" s="1913">
        <f>'Expenditures 15-22'!K334</f>
        <v>0</v>
      </c>
      <c r="G74" s="836"/>
    </row>
    <row r="75" spans="1:8" ht="5.25" customHeight="1">
      <c r="A75" s="836"/>
      <c r="B75" s="846"/>
      <c r="C75" s="846"/>
      <c r="D75" s="836"/>
      <c r="E75" s="839"/>
      <c r="F75" s="853"/>
      <c r="G75" s="838"/>
    </row>
    <row r="76" spans="1:8" ht="12" thickBot="1">
      <c r="A76" s="1762"/>
      <c r="B76" s="1768"/>
      <c r="C76" s="1764"/>
      <c r="D76" s="1769" t="s">
        <v>2009</v>
      </c>
      <c r="E76" s="1766" t="s">
        <v>1015</v>
      </c>
      <c r="F76" s="1770">
        <f>SUM(F18:F74)</f>
        <v>9052366</v>
      </c>
      <c r="G76" s="836"/>
    </row>
    <row r="77" spans="1:8" s="864" customFormat="1" ht="12" customHeight="1" thickTop="1" thickBot="1">
      <c r="A77" s="1771"/>
      <c r="B77" s="1768"/>
      <c r="C77" s="1764"/>
      <c r="D77" s="1769" t="s">
        <v>2010</v>
      </c>
      <c r="E77" s="1766"/>
      <c r="F77" s="1772">
        <f>(F14-F76)</f>
        <v>57086961</v>
      </c>
      <c r="G77" s="840"/>
    </row>
    <row r="78" spans="1:8" s="864" customFormat="1" ht="12" customHeight="1" thickTop="1">
      <c r="A78" s="1773"/>
      <c r="B78" s="1768"/>
      <c r="C78" s="1764"/>
      <c r="D78" s="1769" t="s">
        <v>2057</v>
      </c>
      <c r="E78" s="1766"/>
      <c r="F78" s="869">
        <v>2628.7</v>
      </c>
      <c r="G78" s="870"/>
      <c r="H78" s="840"/>
    </row>
    <row r="79" spans="1:8" s="864" customFormat="1" ht="12" customHeight="1" thickBot="1">
      <c r="A79" s="1774"/>
      <c r="B79" s="1768"/>
      <c r="C79" s="1764"/>
      <c r="D79" s="1769" t="s">
        <v>2011</v>
      </c>
      <c r="E79" s="1766" t="s">
        <v>1015</v>
      </c>
      <c r="F79" s="1775">
        <f>IF(F78&gt;0,F77/F78," Complete Line 78")</f>
        <v>21716.803362878993</v>
      </c>
      <c r="G79" s="840"/>
    </row>
    <row r="80" spans="1:8" s="864" customFormat="1" ht="8.25" customHeight="1" thickTop="1">
      <c r="A80" s="871"/>
      <c r="B80" s="840"/>
      <c r="C80" s="842"/>
      <c r="D80" s="872"/>
      <c r="E80" s="839"/>
      <c r="F80" s="873"/>
      <c r="G80" s="840"/>
    </row>
    <row r="81" spans="1:7" s="864" customFormat="1" ht="12" thickBot="1">
      <c r="A81" s="2289" t="s">
        <v>1167</v>
      </c>
      <c r="B81" s="2290"/>
      <c r="C81" s="2290"/>
      <c r="D81" s="2290"/>
      <c r="E81" s="2290"/>
      <c r="F81" s="2291"/>
      <c r="G81" s="840"/>
    </row>
    <row r="82" spans="1:7" s="864" customFormat="1" ht="5.25" customHeight="1" thickTop="1">
      <c r="A82" s="840"/>
      <c r="B82" s="840"/>
      <c r="C82" s="842"/>
      <c r="D82" s="840"/>
      <c r="E82" s="842"/>
      <c r="F82" s="840"/>
      <c r="G82" s="874"/>
    </row>
    <row r="83" spans="1:7" ht="12" customHeight="1">
      <c r="A83" s="875" t="s">
        <v>867</v>
      </c>
      <c r="B83" s="876"/>
      <c r="C83" s="877"/>
      <c r="D83" s="878"/>
      <c r="E83" s="877"/>
      <c r="F83" s="876"/>
      <c r="G83" s="876"/>
    </row>
    <row r="84" spans="1:7">
      <c r="A84" s="879" t="s">
        <v>481</v>
      </c>
      <c r="B84" s="880" t="s">
        <v>148</v>
      </c>
      <c r="C84" s="881">
        <f>'Revenues 9-14'!B42</f>
        <v>1411</v>
      </c>
      <c r="D84" s="882" t="str">
        <f>'Revenues 9-14'!A42</f>
        <v>Regular -Transp Fees from Pupils or Parents (In State)</v>
      </c>
      <c r="E84" s="877" t="s">
        <v>1015</v>
      </c>
      <c r="F84" s="1903">
        <f>'Revenues 9-14'!F42</f>
        <v>0</v>
      </c>
      <c r="G84" s="883"/>
    </row>
    <row r="85" spans="1:7">
      <c r="A85" s="879" t="s">
        <v>481</v>
      </c>
      <c r="B85" s="879" t="s">
        <v>192</v>
      </c>
      <c r="C85" s="884">
        <f>'Revenues 9-14'!B44</f>
        <v>1413</v>
      </c>
      <c r="D85" s="882" t="str">
        <f>'Revenues 9-14'!A44</f>
        <v>Regular - Transp Fees from Other Sources (In State)</v>
      </c>
      <c r="E85" s="877"/>
      <c r="F85" s="1781">
        <f>'Revenues 9-14'!F44</f>
        <v>0</v>
      </c>
      <c r="G85" s="885"/>
    </row>
    <row r="86" spans="1:7">
      <c r="A86" s="879" t="s">
        <v>481</v>
      </c>
      <c r="B86" s="879" t="s">
        <v>168</v>
      </c>
      <c r="C86" s="881">
        <f>'Revenues 9-14'!B45</f>
        <v>1415</v>
      </c>
      <c r="D86" s="882" t="str">
        <f>'Revenues 9-14'!A45</f>
        <v>Regular - Transp Fees from Co-curricular Activities (In State)</v>
      </c>
      <c r="E86" s="877"/>
      <c r="F86" s="1781">
        <f>'Revenues 9-14'!F45</f>
        <v>0</v>
      </c>
      <c r="G86" s="885"/>
    </row>
    <row r="87" spans="1:7">
      <c r="A87" s="879" t="s">
        <v>481</v>
      </c>
      <c r="B87" s="879" t="s">
        <v>169</v>
      </c>
      <c r="C87" s="881">
        <v>1416</v>
      </c>
      <c r="D87" s="882" t="str">
        <f>'Revenues 9-14'!A46</f>
        <v>Regular Transp Fees from Other Sources (Out of State)</v>
      </c>
      <c r="E87" s="877"/>
      <c r="F87" s="1781">
        <f>'Revenues 9-14'!F46</f>
        <v>0</v>
      </c>
      <c r="G87" s="885"/>
    </row>
    <row r="88" spans="1:7">
      <c r="A88" s="879" t="s">
        <v>481</v>
      </c>
      <c r="B88" s="879" t="s">
        <v>170</v>
      </c>
      <c r="C88" s="881">
        <f>'Revenues 9-14'!B51</f>
        <v>1431</v>
      </c>
      <c r="D88" s="882" t="str">
        <f>'Revenues 9-14'!A51</f>
        <v>CTE - Transp Fees from Pupils or Parents (In State)</v>
      </c>
      <c r="E88" s="877"/>
      <c r="F88" s="1781">
        <f>'Revenues 9-14'!F51</f>
        <v>0</v>
      </c>
      <c r="G88" s="885"/>
    </row>
    <row r="89" spans="1:7">
      <c r="A89" s="879" t="s">
        <v>481</v>
      </c>
      <c r="B89" s="879" t="s">
        <v>171</v>
      </c>
      <c r="C89" s="881">
        <f>'Revenues 9-14'!B53</f>
        <v>1433</v>
      </c>
      <c r="D89" s="882" t="str">
        <f>'Revenues 9-14'!A53</f>
        <v>CTE - Transp Fees from Other Sources (In State)</v>
      </c>
      <c r="E89" s="877"/>
      <c r="F89" s="1781">
        <f>'Revenues 9-14'!F53</f>
        <v>0</v>
      </c>
      <c r="G89" s="885"/>
    </row>
    <row r="90" spans="1:7">
      <c r="A90" s="879" t="s">
        <v>481</v>
      </c>
      <c r="B90" s="879" t="s">
        <v>172</v>
      </c>
      <c r="C90" s="881">
        <f>'Revenues 9-14'!B54</f>
        <v>1434</v>
      </c>
      <c r="D90" s="882" t="str">
        <f>'Revenues 9-14'!A54</f>
        <v>CTE - Transp Fees from Other Sources (Out of State)</v>
      </c>
      <c r="E90" s="877"/>
      <c r="F90" s="1781">
        <f>'Revenues 9-14'!F54</f>
        <v>0</v>
      </c>
      <c r="G90" s="885"/>
    </row>
    <row r="91" spans="1:7">
      <c r="A91" s="879" t="s">
        <v>481</v>
      </c>
      <c r="B91" s="879" t="s">
        <v>173</v>
      </c>
      <c r="C91" s="886">
        <f>'Revenues 9-14'!B55</f>
        <v>1441</v>
      </c>
      <c r="D91" s="882" t="str">
        <f>'Revenues 9-14'!A55</f>
        <v>Special Ed - Transp Fees from Pupils or Parents (In State)</v>
      </c>
      <c r="E91" s="877"/>
      <c r="F91" s="1781">
        <f>'Revenues 9-14'!F55</f>
        <v>0</v>
      </c>
      <c r="G91" s="885"/>
    </row>
    <row r="92" spans="1:7">
      <c r="A92" s="879" t="s">
        <v>481</v>
      </c>
      <c r="B92" s="879" t="s">
        <v>174</v>
      </c>
      <c r="C92" s="881">
        <f>'Revenues 9-14'!B57</f>
        <v>1443</v>
      </c>
      <c r="D92" s="882" t="str">
        <f>'Revenues 9-14'!A57</f>
        <v>Special Ed - Transp Fees from Other Sources (In State)</v>
      </c>
      <c r="E92" s="877"/>
      <c r="F92" s="1781">
        <f>'Revenues 9-14'!F57</f>
        <v>0</v>
      </c>
      <c r="G92" s="887"/>
    </row>
    <row r="93" spans="1:7">
      <c r="A93" s="879" t="s">
        <v>481</v>
      </c>
      <c r="B93" s="879" t="s">
        <v>175</v>
      </c>
      <c r="C93" s="881">
        <f>'Revenues 9-14'!B58</f>
        <v>1444</v>
      </c>
      <c r="D93" s="882" t="str">
        <f>'Revenues 9-14'!A58</f>
        <v>Special Ed - Transp Fees from Other Sources (Out of State)</v>
      </c>
      <c r="E93" s="877"/>
      <c r="F93" s="1781">
        <f>'Revenues 9-14'!F58</f>
        <v>0</v>
      </c>
      <c r="G93" s="887"/>
    </row>
    <row r="94" spans="1:7">
      <c r="A94" s="879" t="s">
        <v>479</v>
      </c>
      <c r="B94" s="879" t="s">
        <v>176</v>
      </c>
      <c r="C94" s="881">
        <v>1600</v>
      </c>
      <c r="D94" s="888" t="str">
        <f>'Revenues 9-14'!A75</f>
        <v>Total Food Service</v>
      </c>
      <c r="E94" s="877"/>
      <c r="F94" s="1781">
        <f>'Revenues 9-14'!C75</f>
        <v>502716</v>
      </c>
      <c r="G94" s="883"/>
    </row>
    <row r="95" spans="1:7">
      <c r="A95" s="879" t="s">
        <v>142</v>
      </c>
      <c r="B95" s="879" t="s">
        <v>177</v>
      </c>
      <c r="C95" s="881">
        <v>1700</v>
      </c>
      <c r="D95" s="889" t="str">
        <f>'Revenues 9-14'!A82</f>
        <v>Total District/School Activity Income</v>
      </c>
      <c r="E95" s="877"/>
      <c r="F95" s="1781">
        <f>SUM('Revenues 9-14'!C82,'Revenues 9-14'!D82)</f>
        <v>12857</v>
      </c>
      <c r="G95" s="883"/>
    </row>
    <row r="96" spans="1:7">
      <c r="A96" s="879" t="s">
        <v>479</v>
      </c>
      <c r="B96" s="879" t="s">
        <v>178</v>
      </c>
      <c r="C96" s="881">
        <f>'Revenues 9-14'!B84</f>
        <v>1811</v>
      </c>
      <c r="D96" s="882" t="str">
        <f>'Revenues 9-14'!A84</f>
        <v>Rentals - Regular Textbooks</v>
      </c>
      <c r="E96" s="877"/>
      <c r="F96" s="1781">
        <f>'Revenues 9-14'!C84</f>
        <v>0</v>
      </c>
      <c r="G96" s="883"/>
    </row>
    <row r="97" spans="1:7">
      <c r="A97" s="879" t="s">
        <v>479</v>
      </c>
      <c r="B97" s="879" t="s">
        <v>179</v>
      </c>
      <c r="C97" s="881">
        <f>'Revenues 9-14'!B87</f>
        <v>1819</v>
      </c>
      <c r="D97" s="882" t="str">
        <f>'Revenues 9-14'!A87</f>
        <v>Rentals - Other (Describe &amp; Itemize)</v>
      </c>
      <c r="E97" s="877"/>
      <c r="F97" s="1781">
        <f>'Revenues 9-14'!C87</f>
        <v>0</v>
      </c>
      <c r="G97" s="883"/>
    </row>
    <row r="98" spans="1:7">
      <c r="A98" s="879" t="s">
        <v>479</v>
      </c>
      <c r="B98" s="879" t="s">
        <v>180</v>
      </c>
      <c r="C98" s="881">
        <f>'Revenues 9-14'!B88</f>
        <v>1821</v>
      </c>
      <c r="D98" s="882" t="str">
        <f>'Revenues 9-14'!A88</f>
        <v>Sales - Regular Textbooks</v>
      </c>
      <c r="E98" s="877"/>
      <c r="F98" s="1781">
        <f>'Revenues 9-14'!C88</f>
        <v>0</v>
      </c>
      <c r="G98" s="883"/>
    </row>
    <row r="99" spans="1:7">
      <c r="A99" s="879" t="s">
        <v>479</v>
      </c>
      <c r="B99" s="879" t="s">
        <v>181</v>
      </c>
      <c r="C99" s="881">
        <f>'Revenues 9-14'!B91</f>
        <v>1829</v>
      </c>
      <c r="D99" s="882" t="str">
        <f>'Revenues 9-14'!A91</f>
        <v>Sales - Other (Describe &amp; Itemize)</v>
      </c>
      <c r="E99" s="877"/>
      <c r="F99" s="1781">
        <f>'Revenues 9-14'!C91</f>
        <v>0</v>
      </c>
      <c r="G99" s="883"/>
    </row>
    <row r="100" spans="1:7">
      <c r="A100" s="879" t="s">
        <v>479</v>
      </c>
      <c r="B100" s="879" t="s">
        <v>182</v>
      </c>
      <c r="C100" s="881">
        <f>'Revenues 9-14'!B92</f>
        <v>1890</v>
      </c>
      <c r="D100" s="882" t="str">
        <f>'Revenues 9-14'!A92</f>
        <v>Other (Describe &amp; Itemize)</v>
      </c>
      <c r="E100" s="877"/>
      <c r="F100" s="1781">
        <f>'Revenues 9-14'!C92</f>
        <v>0</v>
      </c>
      <c r="G100" s="883"/>
    </row>
    <row r="101" spans="1:7">
      <c r="A101" s="879" t="s">
        <v>142</v>
      </c>
      <c r="B101" s="879" t="s">
        <v>183</v>
      </c>
      <c r="C101" s="881">
        <f>'Revenues 9-14'!B95</f>
        <v>1910</v>
      </c>
      <c r="D101" s="882" t="str">
        <f>'Revenues 9-14'!A95</f>
        <v>Rentals</v>
      </c>
      <c r="E101" s="877"/>
      <c r="F101" s="1781">
        <f>SUM('Revenues 9-14'!C95:D95)</f>
        <v>79608</v>
      </c>
      <c r="G101" s="883"/>
    </row>
    <row r="102" spans="1:7">
      <c r="A102" s="879" t="s">
        <v>524</v>
      </c>
      <c r="B102" s="879" t="s">
        <v>184</v>
      </c>
      <c r="C102" s="881">
        <f>'Revenues 9-14'!B98</f>
        <v>1940</v>
      </c>
      <c r="D102" s="882" t="str">
        <f>'Revenues 9-14'!A98</f>
        <v>Services Provided Other Districts</v>
      </c>
      <c r="E102" s="877"/>
      <c r="F102" s="1781">
        <f>SUM('Revenues 9-14'!C98,'Revenues 9-14'!D98,'Revenues 9-14'!F98)</f>
        <v>26</v>
      </c>
      <c r="G102" s="883"/>
    </row>
    <row r="103" spans="1:7">
      <c r="A103" s="879" t="s">
        <v>1066</v>
      </c>
      <c r="B103" s="879" t="s">
        <v>834</v>
      </c>
      <c r="C103" s="881">
        <f>'Revenues 9-14'!B104</f>
        <v>1991</v>
      </c>
      <c r="D103" s="890" t="str">
        <f>'Revenues 9-14'!A104</f>
        <v>Payment from Other Districts</v>
      </c>
      <c r="E103" s="877"/>
      <c r="F103" s="1781">
        <f>SUM('Revenues 9-14'!C104,'Revenues 9-14'!D104,'Revenues 9-14'!E104,'Revenues 9-14'!F104,'Revenues 9-14'!G104)</f>
        <v>0</v>
      </c>
      <c r="G103" s="883"/>
    </row>
    <row r="104" spans="1:7">
      <c r="A104" s="879" t="s">
        <v>479</v>
      </c>
      <c r="B104" s="879" t="s">
        <v>841</v>
      </c>
      <c r="C104" s="881">
        <f>'Revenues 9-14'!B106</f>
        <v>1993</v>
      </c>
      <c r="D104" s="882" t="str">
        <f>'Revenues 9-14'!A106</f>
        <v>Other Local Fees (Describe &amp; Itemize)</v>
      </c>
      <c r="E104" s="877"/>
      <c r="F104" s="1781">
        <f>('Revenues 9-14'!C106)</f>
        <v>0</v>
      </c>
      <c r="G104" s="883"/>
    </row>
    <row r="105" spans="1:7">
      <c r="A105" s="879" t="s">
        <v>524</v>
      </c>
      <c r="B105" s="879" t="s">
        <v>842</v>
      </c>
      <c r="C105" s="884">
        <v>3100</v>
      </c>
      <c r="D105" s="890" t="str">
        <f>'Revenues 9-14'!A131</f>
        <v>Total Special Education</v>
      </c>
      <c r="E105" s="877"/>
      <c r="F105" s="1781">
        <f>SUM('Revenues 9-14'!C131:D131,'Revenues 9-14'!F131)</f>
        <v>1503291</v>
      </c>
      <c r="G105" s="883"/>
    </row>
    <row r="106" spans="1:7">
      <c r="A106" s="879" t="s">
        <v>694</v>
      </c>
      <c r="B106" s="879" t="s">
        <v>1483</v>
      </c>
      <c r="C106" s="891">
        <v>3200</v>
      </c>
      <c r="D106" s="882" t="str">
        <f>'Revenues 9-14'!A140</f>
        <v>Total Career and Technical Education</v>
      </c>
      <c r="E106" s="877"/>
      <c r="F106" s="1781">
        <f>SUM('Revenues 9-14'!C140,'Revenues 9-14'!D140,'Revenues 9-14'!G140)</f>
        <v>105004</v>
      </c>
      <c r="G106" s="883"/>
    </row>
    <row r="107" spans="1:7">
      <c r="A107" s="892" t="s">
        <v>685</v>
      </c>
      <c r="B107" s="879" t="s">
        <v>843</v>
      </c>
      <c r="C107" s="891">
        <v>3300</v>
      </c>
      <c r="D107" s="882" t="str">
        <f>'Revenues 9-14'!A144</f>
        <v>Total Bilingual Ed</v>
      </c>
      <c r="E107" s="877"/>
      <c r="F107" s="1781">
        <f>SUM('Revenues 9-14'!C144,'Revenues 9-14'!G144)</f>
        <v>17685</v>
      </c>
      <c r="G107" s="883"/>
    </row>
    <row r="108" spans="1:7">
      <c r="A108" s="879" t="s">
        <v>479</v>
      </c>
      <c r="B108" s="879" t="s">
        <v>844</v>
      </c>
      <c r="C108" s="891">
        <f>'Revenues 9-14'!B145</f>
        <v>3360</v>
      </c>
      <c r="D108" s="882" t="str">
        <f>'Revenues 9-14'!A145</f>
        <v>State Free Lunch &amp; Breakfast</v>
      </c>
      <c r="E108" s="877"/>
      <c r="F108" s="1781">
        <f>'Revenues 9-14'!C145</f>
        <v>20545</v>
      </c>
      <c r="G108" s="883"/>
    </row>
    <row r="109" spans="1:7">
      <c r="A109" s="879" t="s">
        <v>694</v>
      </c>
      <c r="B109" s="879" t="s">
        <v>845</v>
      </c>
      <c r="C109" s="891">
        <f>'Revenues 9-14'!B146</f>
        <v>3365</v>
      </c>
      <c r="D109" s="882" t="str">
        <f>'Revenues 9-14'!A146</f>
        <v>School Breakfast Initiative</v>
      </c>
      <c r="E109" s="877"/>
      <c r="F109" s="1781">
        <f>SUM('Revenues 9-14'!C146,'Revenues 9-14'!D146,'Revenues 9-14'!G146)</f>
        <v>0</v>
      </c>
      <c r="G109" s="883"/>
    </row>
    <row r="110" spans="1:7">
      <c r="A110" s="879" t="s">
        <v>142</v>
      </c>
      <c r="B110" s="879" t="s">
        <v>846</v>
      </c>
      <c r="C110" s="891">
        <f>'Revenues 9-14'!B147</f>
        <v>3370</v>
      </c>
      <c r="D110" s="882" t="str">
        <f>'Revenues 9-14'!A147</f>
        <v>Driver Education</v>
      </c>
      <c r="E110" s="877"/>
      <c r="F110" s="1781">
        <f>SUM('Revenues 9-14'!C147,'Revenues 9-14'!D147)</f>
        <v>125145</v>
      </c>
      <c r="G110" s="883"/>
    </row>
    <row r="111" spans="1:7">
      <c r="A111" s="879" t="s">
        <v>689</v>
      </c>
      <c r="B111" s="879" t="s">
        <v>802</v>
      </c>
      <c r="C111" s="893">
        <v>3500</v>
      </c>
      <c r="D111" s="882" t="str">
        <f>'Revenues 9-14'!A154</f>
        <v>Total Transportation</v>
      </c>
      <c r="E111" s="877"/>
      <c r="F111" s="1781">
        <f>SUM('Revenues 9-14'!C154,'Revenues 9-14'!D154,'Revenues 9-14'!F154,'Revenues 9-14'!G154)</f>
        <v>3274857</v>
      </c>
      <c r="G111" s="883"/>
    </row>
    <row r="112" spans="1:7">
      <c r="A112" s="879" t="s">
        <v>479</v>
      </c>
      <c r="B112" s="879" t="s">
        <v>847</v>
      </c>
      <c r="C112" s="891">
        <f>'Revenues 9-14'!B155</f>
        <v>3610</v>
      </c>
      <c r="D112" s="882" t="str">
        <f>'Revenues 9-14'!A155</f>
        <v>Learning Improvement - Change Grants</v>
      </c>
      <c r="E112" s="877"/>
      <c r="F112" s="1781">
        <f>'Revenues 9-14'!C155</f>
        <v>0</v>
      </c>
      <c r="G112" s="883"/>
    </row>
    <row r="113" spans="1:7">
      <c r="A113" s="879" t="s">
        <v>689</v>
      </c>
      <c r="B113" s="879" t="s">
        <v>848</v>
      </c>
      <c r="C113" s="891">
        <f>'Revenues 9-14'!B156</f>
        <v>3660</v>
      </c>
      <c r="D113" s="882" t="str">
        <f>'Revenues 9-14'!A156</f>
        <v>Scientific Literacy</v>
      </c>
      <c r="E113" s="877"/>
      <c r="F113" s="1781">
        <f>SUM('Revenues 9-14'!C156,'Revenues 9-14'!D156,'Revenues 9-14'!F156,'Revenues 9-14'!G156)</f>
        <v>0</v>
      </c>
      <c r="G113" s="883"/>
    </row>
    <row r="114" spans="1:7">
      <c r="A114" s="879" t="s">
        <v>5</v>
      </c>
      <c r="B114" s="879" t="s">
        <v>849</v>
      </c>
      <c r="C114" s="891">
        <f>'Revenues 9-14'!B157</f>
        <v>3695</v>
      </c>
      <c r="D114" s="882" t="str">
        <f>'Revenues 9-14'!A157</f>
        <v>Truant Alternative/Optional Education</v>
      </c>
      <c r="E114" s="877"/>
      <c r="F114" s="1781">
        <f>SUM('Revenues 9-14'!C157,'Revenues 9-14'!F157,'Revenues 9-14'!G157)</f>
        <v>0</v>
      </c>
      <c r="G114" s="883"/>
    </row>
    <row r="115" spans="1:7">
      <c r="A115" s="879" t="s">
        <v>5</v>
      </c>
      <c r="B115" s="879" t="s">
        <v>185</v>
      </c>
      <c r="C115" s="891">
        <f>'Revenues 9-14'!B159</f>
        <v>3715</v>
      </c>
      <c r="D115" s="882" t="str">
        <f>'Revenues 9-14'!A159</f>
        <v>Reading Improvement Block Grant</v>
      </c>
      <c r="E115" s="877"/>
      <c r="F115" s="1781">
        <f>SUM('Revenues 9-14'!C159,'Revenues 9-14'!F159,'Revenues 9-14'!G159)</f>
        <v>0</v>
      </c>
      <c r="G115" s="883"/>
    </row>
    <row r="116" spans="1:7">
      <c r="A116" s="894" t="s">
        <v>5</v>
      </c>
      <c r="B116" s="894" t="s">
        <v>186</v>
      </c>
      <c r="C116" s="895">
        <f>'Revenues 9-14'!B160</f>
        <v>3720</v>
      </c>
      <c r="D116" s="896" t="str">
        <f>'Revenues 9-14'!A160</f>
        <v>Reading Improvement Block Grant - Reading Recovery</v>
      </c>
      <c r="E116" s="897"/>
      <c r="F116" s="1781">
        <f>SUM('Revenues 9-14'!C160,'Revenues 9-14'!F160,'Revenues 9-14'!G160)</f>
        <v>0</v>
      </c>
      <c r="G116" s="883"/>
    </row>
    <row r="117" spans="1:7">
      <c r="A117" s="894" t="s">
        <v>5</v>
      </c>
      <c r="B117" s="894" t="s">
        <v>187</v>
      </c>
      <c r="C117" s="895">
        <f>'Revenues 9-14'!B161</f>
        <v>3725</v>
      </c>
      <c r="D117" s="896" t="str">
        <f>'Revenues 9-14'!A161</f>
        <v>Continued Reading Improvement Block Grant</v>
      </c>
      <c r="E117" s="897"/>
      <c r="F117" s="1781">
        <f>SUM('Revenues 9-14'!C161,'Revenues 9-14'!F161,'Revenues 9-14'!G161)</f>
        <v>0</v>
      </c>
      <c r="G117" s="883"/>
    </row>
    <row r="118" spans="1:7">
      <c r="A118" s="894" t="s">
        <v>5</v>
      </c>
      <c r="B118" s="894" t="s">
        <v>850</v>
      </c>
      <c r="C118" s="895">
        <f>'Revenues 9-14'!B162</f>
        <v>3726</v>
      </c>
      <c r="D118" s="896" t="str">
        <f>'Revenues 9-14'!A162</f>
        <v>Continued Reading Improvement Block Grant (2% Set Aside)</v>
      </c>
      <c r="E118" s="897"/>
      <c r="F118" s="1902">
        <f>SUM('Revenues 9-14'!C162,'Revenues 9-14'!F162,'Revenues 9-14'!G162)</f>
        <v>0</v>
      </c>
      <c r="G118" s="883"/>
    </row>
    <row r="119" spans="1:7">
      <c r="A119" s="879" t="s">
        <v>689</v>
      </c>
      <c r="B119" s="879" t="s">
        <v>188</v>
      </c>
      <c r="C119" s="891">
        <f>'Revenues 9-14'!B163</f>
        <v>3766</v>
      </c>
      <c r="D119" s="882" t="str">
        <f>'Revenues 9-14'!A163</f>
        <v>Chicago General Education Block Grant</v>
      </c>
      <c r="E119" s="877"/>
      <c r="F119" s="1781">
        <f>SUM('Revenues 9-14'!C163,'Revenues 9-14'!D163,'Revenues 9-14'!F163,'Revenues 9-14'!G163)</f>
        <v>0</v>
      </c>
      <c r="G119" s="883"/>
    </row>
    <row r="120" spans="1:7">
      <c r="A120" s="879" t="s">
        <v>689</v>
      </c>
      <c r="B120" s="879" t="s">
        <v>851</v>
      </c>
      <c r="C120" s="891">
        <f>'Revenues 9-14'!B164</f>
        <v>3767</v>
      </c>
      <c r="D120" s="882" t="str">
        <f>'Revenues 9-14'!A164</f>
        <v>Chicago Educational Services Block Grant</v>
      </c>
      <c r="E120" s="877"/>
      <c r="F120" s="1781">
        <f>SUM('Revenues 9-14'!C164,'Revenues 9-14'!D164,'Revenues 9-14'!F164,'Revenues 9-14'!G164)</f>
        <v>0</v>
      </c>
      <c r="G120" s="883"/>
    </row>
    <row r="121" spans="1:7">
      <c r="A121" s="894" t="s">
        <v>1066</v>
      </c>
      <c r="B121" s="894" t="s">
        <v>189</v>
      </c>
      <c r="C121" s="895">
        <f>'Revenues 9-14'!B165</f>
        <v>3775</v>
      </c>
      <c r="D121" s="896" t="str">
        <f>'Revenues 9-14'!A165</f>
        <v>School Safety &amp; Educational Improvement Block Grant</v>
      </c>
      <c r="E121" s="877"/>
      <c r="F121" s="1903">
        <f>SUM('Revenues 9-14'!C165,'Revenues 9-14'!D165,'Revenues 9-14'!E165,'Revenues 9-14'!F165,'Revenues 9-14'!G165)</f>
        <v>0</v>
      </c>
      <c r="G121" s="883"/>
    </row>
    <row r="122" spans="1:7">
      <c r="A122" s="894" t="s">
        <v>1066</v>
      </c>
      <c r="B122" s="894" t="s">
        <v>852</v>
      </c>
      <c r="C122" s="895">
        <f>'Revenues 9-14'!B166</f>
        <v>3780</v>
      </c>
      <c r="D122" s="896" t="str">
        <f>'Revenues 9-14'!A166</f>
        <v>Technology - Technology for Success</v>
      </c>
      <c r="E122" s="877"/>
      <c r="F122" s="1903">
        <f>SUM('Revenues 9-14'!C166:G166)</f>
        <v>0</v>
      </c>
      <c r="G122" s="883"/>
    </row>
    <row r="123" spans="1:7">
      <c r="A123" s="894" t="s">
        <v>525</v>
      </c>
      <c r="B123" s="894" t="s">
        <v>853</v>
      </c>
      <c r="C123" s="895">
        <f>'Revenues 9-14'!B167</f>
        <v>3815</v>
      </c>
      <c r="D123" s="896" t="str">
        <f>'Revenues 9-14'!A167</f>
        <v>State Charter Schools</v>
      </c>
      <c r="E123" s="877"/>
      <c r="F123" s="1903">
        <f>SUM('Revenues 9-14'!C167,'Revenues 9-14'!F167)</f>
        <v>0</v>
      </c>
      <c r="G123" s="883"/>
    </row>
    <row r="124" spans="1:7">
      <c r="A124" s="898" t="s">
        <v>480</v>
      </c>
      <c r="B124" s="898" t="s">
        <v>854</v>
      </c>
      <c r="C124" s="899">
        <f>'Revenues 9-14'!B170</f>
        <v>3925</v>
      </c>
      <c r="D124" s="900" t="str">
        <f>'Revenues 9-14'!A170</f>
        <v>School Infrastructure - Maintenance Projects</v>
      </c>
      <c r="E124" s="877"/>
      <c r="F124" s="1781">
        <f>'Revenues 9-14'!D170</f>
        <v>0</v>
      </c>
      <c r="G124" s="901"/>
    </row>
    <row r="125" spans="1:7">
      <c r="A125" s="898" t="s">
        <v>521</v>
      </c>
      <c r="B125" s="898" t="s">
        <v>855</v>
      </c>
      <c r="C125" s="899">
        <f>'Revenues 9-14'!B171</f>
        <v>3999</v>
      </c>
      <c r="D125" s="900" t="s">
        <v>564</v>
      </c>
      <c r="E125" s="902"/>
      <c r="F125" s="1781">
        <f>SUM('Revenues 9-14'!C171:G171,'Revenues 9-14'!J171)</f>
        <v>4306</v>
      </c>
      <c r="G125" s="901"/>
    </row>
    <row r="126" spans="1:7">
      <c r="A126" s="898" t="s">
        <v>479</v>
      </c>
      <c r="B126" s="898" t="s">
        <v>856</v>
      </c>
      <c r="C126" s="903">
        <f>'Revenues 9-14'!B180</f>
        <v>4045</v>
      </c>
      <c r="D126" s="900" t="str">
        <f>'Revenues 9-14'!A180 &amp; " (Subtract)"</f>
        <v>Head Start (Subtract)</v>
      </c>
      <c r="E126" s="877"/>
      <c r="F126" s="1781">
        <f>SUM(-'Revenues 9-14'!C180)</f>
        <v>0</v>
      </c>
      <c r="G126" s="901"/>
    </row>
    <row r="127" spans="1:7">
      <c r="A127" s="898" t="s">
        <v>689</v>
      </c>
      <c r="B127" s="898" t="s">
        <v>857</v>
      </c>
      <c r="C127" s="903" t="s">
        <v>1039</v>
      </c>
      <c r="D127" s="900" t="str">
        <f>('Revenues 9-14'!A184)</f>
        <v>Total Restricted Grants-In-Aid Received Directly from Federal Govt</v>
      </c>
      <c r="E127" s="877"/>
      <c r="F127" s="1781">
        <f>SUM('Revenues 9-14'!C184,'Revenues 9-14'!D184,'Revenues 9-14'!F184,'Revenues 9-14'!G184)</f>
        <v>0</v>
      </c>
      <c r="G127" s="901"/>
    </row>
    <row r="128" spans="1:7">
      <c r="A128" s="898" t="s">
        <v>689</v>
      </c>
      <c r="B128" s="898" t="s">
        <v>858</v>
      </c>
      <c r="C128" s="903">
        <v>4100</v>
      </c>
      <c r="D128" s="904" t="str">
        <f>'Revenues 9-14'!A191</f>
        <v>Total Title V</v>
      </c>
      <c r="E128" s="877"/>
      <c r="F128" s="1781">
        <f>SUM('Revenues 9-14'!C191,'Revenues 9-14'!D191,'Revenues 9-14'!F191,'Revenues 9-14'!G191)</f>
        <v>0</v>
      </c>
      <c r="G128" s="901"/>
    </row>
    <row r="129" spans="1:7">
      <c r="A129" s="898" t="s">
        <v>685</v>
      </c>
      <c r="B129" s="898" t="s">
        <v>803</v>
      </c>
      <c r="C129" s="903">
        <v>4200</v>
      </c>
      <c r="D129" s="900" t="str">
        <f>'Revenues 9-14'!A201</f>
        <v>Total Food Service</v>
      </c>
      <c r="E129" s="877"/>
      <c r="F129" s="1781">
        <f>SUM('Revenues 9-14'!C201,'Revenues 9-14'!G201)</f>
        <v>1211660</v>
      </c>
      <c r="G129" s="901"/>
    </row>
    <row r="130" spans="1:7">
      <c r="A130" s="898" t="s">
        <v>689</v>
      </c>
      <c r="B130" s="898" t="s">
        <v>804</v>
      </c>
      <c r="C130" s="903">
        <v>4300</v>
      </c>
      <c r="D130" s="904" t="str">
        <f>'Revenues 9-14'!A211</f>
        <v>Total Title I</v>
      </c>
      <c r="E130" s="877"/>
      <c r="F130" s="1781">
        <f>SUM('Revenues 9-14'!C211,'Revenues 9-14'!D211,'Revenues 9-14'!F211,'Revenues 9-14'!G211)</f>
        <v>853682</v>
      </c>
      <c r="G130" s="901"/>
    </row>
    <row r="131" spans="1:7">
      <c r="A131" s="898" t="s">
        <v>689</v>
      </c>
      <c r="B131" s="898" t="s">
        <v>805</v>
      </c>
      <c r="C131" s="903">
        <v>4400</v>
      </c>
      <c r="D131" s="904" t="str">
        <f>'Revenues 9-14'!A216</f>
        <v>Total Title IV</v>
      </c>
      <c r="E131" s="877"/>
      <c r="F131" s="1781">
        <f>SUM('Revenues 9-14'!C216,'Revenues 9-14'!D216,'Revenues 9-14'!F216,'Revenues 9-14'!G216)</f>
        <v>0</v>
      </c>
      <c r="G131" s="901"/>
    </row>
    <row r="132" spans="1:7">
      <c r="A132" s="898" t="s">
        <v>689</v>
      </c>
      <c r="B132" s="898" t="s">
        <v>190</v>
      </c>
      <c r="C132" s="903">
        <f>'Revenues 9-14'!B220</f>
        <v>4620</v>
      </c>
      <c r="D132" s="904" t="str">
        <f>'Revenues 9-14'!A220</f>
        <v>Fed - Spec Education - IDEA - Flow Through</v>
      </c>
      <c r="E132" s="877"/>
      <c r="F132" s="1781">
        <f>SUM('Revenues 9-14'!C220:D220,'Revenues 9-14'!F220:G220)</f>
        <v>673534</v>
      </c>
      <c r="G132" s="901"/>
    </row>
    <row r="133" spans="1:7">
      <c r="A133" s="898" t="s">
        <v>689</v>
      </c>
      <c r="B133" s="898" t="s">
        <v>191</v>
      </c>
      <c r="C133" s="903">
        <f>'Revenues 9-14'!B221</f>
        <v>4625</v>
      </c>
      <c r="D133" s="904" t="str">
        <f>'Revenues 9-14'!A221</f>
        <v>Fed - Spec Education - IDEA - Room &amp; Board</v>
      </c>
      <c r="E133" s="877"/>
      <c r="F133" s="1781">
        <f>SUM('Revenues 9-14'!C221,'Revenues 9-14'!D221,'Revenues 9-14'!F221,'Revenues 9-14'!G221)</f>
        <v>38998</v>
      </c>
      <c r="G133" s="901"/>
    </row>
    <row r="134" spans="1:7">
      <c r="A134" s="898" t="s">
        <v>689</v>
      </c>
      <c r="B134" s="898" t="s">
        <v>859</v>
      </c>
      <c r="C134" s="903">
        <f>'Revenues 9-14'!B222</f>
        <v>4630</v>
      </c>
      <c r="D134" s="904" t="str">
        <f>'Revenues 9-14'!A222</f>
        <v>Fed - Spec Education - IDEA - Discretionary</v>
      </c>
      <c r="E134" s="877"/>
      <c r="F134" s="1781">
        <f>SUM('Revenues 9-14'!C222:D222,'Revenues 9-14'!F222:G222)</f>
        <v>0</v>
      </c>
      <c r="G134" s="901">
        <v>6297</v>
      </c>
    </row>
    <row r="135" spans="1:7">
      <c r="A135" s="898" t="s">
        <v>689</v>
      </c>
      <c r="B135" s="898" t="s">
        <v>806</v>
      </c>
      <c r="C135" s="903">
        <f>'Revenues 9-14'!B223</f>
        <v>4699</v>
      </c>
      <c r="D135" s="904" t="str">
        <f>'Revenues 9-14'!A223</f>
        <v>Fed - Spec Education - IDEA - Other (Describe &amp; Itemize)</v>
      </c>
      <c r="E135" s="877"/>
      <c r="F135" s="1781">
        <f>SUM('Revenues 9-14'!C223:D223,'Revenues 9-14'!F223:G223)</f>
        <v>0</v>
      </c>
      <c r="G135" s="901"/>
    </row>
    <row r="136" spans="1:7">
      <c r="A136" s="898" t="s">
        <v>694</v>
      </c>
      <c r="B136" s="898" t="s">
        <v>807</v>
      </c>
      <c r="C136" s="903">
        <v>4700</v>
      </c>
      <c r="D136" s="900" t="str">
        <f>'Revenues 9-14'!A228</f>
        <v>Total CTE - Perkins</v>
      </c>
      <c r="E136" s="877"/>
      <c r="F136" s="1781">
        <f>SUM('Revenues 9-14'!C228,'Revenues 9-14'!D228,'Revenues 9-14'!G228)</f>
        <v>163731</v>
      </c>
      <c r="G136" s="901">
        <v>6303</v>
      </c>
    </row>
    <row r="137" spans="1:7" s="838" customFormat="1" hidden="1">
      <c r="A137" s="905" t="s">
        <v>215</v>
      </c>
      <c r="B137" s="905" t="s">
        <v>1484</v>
      </c>
      <c r="C137" s="906" t="s">
        <v>216</v>
      </c>
      <c r="D137" s="907" t="str">
        <f>'Revenues 9-14'!A231</f>
        <v>ARRA - Title I - Low Income</v>
      </c>
      <c r="E137" s="908"/>
      <c r="F137" s="1903">
        <f>SUM('Revenues 9-14'!$C$231:$D$231,'Revenues 9-14'!$F$231:$G$231)</f>
        <v>0</v>
      </c>
      <c r="G137" s="876"/>
    </row>
    <row r="138" spans="1:7" s="838" customFormat="1" hidden="1">
      <c r="A138" s="905" t="s">
        <v>215</v>
      </c>
      <c r="B138" s="905" t="s">
        <v>1485</v>
      </c>
      <c r="C138" s="906" t="s">
        <v>217</v>
      </c>
      <c r="D138" s="907" t="str">
        <f>'Revenues 9-14'!A232</f>
        <v>ARRA - Title I - Neglected, Private</v>
      </c>
      <c r="E138" s="908"/>
      <c r="F138" s="1781">
        <f>SUM('Revenues 9-14'!C232:G232,'Revenues 9-14'!J232)</f>
        <v>0</v>
      </c>
      <c r="G138" s="876"/>
    </row>
    <row r="139" spans="1:7" s="838" customFormat="1" hidden="1">
      <c r="A139" s="905" t="s">
        <v>215</v>
      </c>
      <c r="B139" s="905" t="s">
        <v>220</v>
      </c>
      <c r="C139" s="906" t="s">
        <v>218</v>
      </c>
      <c r="D139" s="907" t="str">
        <f>'Revenues 9-14'!A233</f>
        <v>ARRA - Title I - Delinquent, Private</v>
      </c>
      <c r="E139" s="908"/>
      <c r="F139" s="1781">
        <f>SUM('Revenues 9-14'!C233:G233,'Revenues 9-14'!J233)</f>
        <v>0</v>
      </c>
      <c r="G139" s="876"/>
    </row>
    <row r="140" spans="1:7" s="838" customFormat="1" hidden="1">
      <c r="A140" s="905" t="s">
        <v>215</v>
      </c>
      <c r="B140" s="905" t="s">
        <v>222</v>
      </c>
      <c r="C140" s="906" t="s">
        <v>219</v>
      </c>
      <c r="D140" s="907" t="str">
        <f>'Revenues 9-14'!A234</f>
        <v>ARRA - Title I - School Improvement (Part A)</v>
      </c>
      <c r="E140" s="908"/>
      <c r="F140" s="1781">
        <f>SUM('Revenues 9-14'!C234:G234,'Revenues 9-14'!J234)</f>
        <v>0</v>
      </c>
      <c r="G140" s="876"/>
    </row>
    <row r="141" spans="1:7" s="838" customFormat="1" hidden="1">
      <c r="A141" s="905" t="s">
        <v>215</v>
      </c>
      <c r="B141" s="905" t="s">
        <v>224</v>
      </c>
      <c r="C141" s="906" t="s">
        <v>221</v>
      </c>
      <c r="D141" s="907" t="str">
        <f>'Revenues 9-14'!A235</f>
        <v>ARRA - Title I - School Improvement (Section 1003g)</v>
      </c>
      <c r="E141" s="908"/>
      <c r="F141" s="1781">
        <f>SUM('Revenues 9-14'!C235:G235,'Revenues 9-14'!J235)</f>
        <v>0</v>
      </c>
      <c r="G141" s="876"/>
    </row>
    <row r="142" spans="1:7" s="838" customFormat="1" hidden="1">
      <c r="A142" s="905" t="s">
        <v>215</v>
      </c>
      <c r="B142" s="905" t="s">
        <v>226</v>
      </c>
      <c r="C142" s="906" t="s">
        <v>223</v>
      </c>
      <c r="D142" s="907" t="str">
        <f>'Revenues 9-14'!A236</f>
        <v>ARRA - IDEA - Part B - Preschool</v>
      </c>
      <c r="E142" s="908"/>
      <c r="F142" s="1781">
        <v>0</v>
      </c>
      <c r="G142" s="876"/>
    </row>
    <row r="143" spans="1:7" s="838" customFormat="1" hidden="1">
      <c r="A143" s="905" t="s">
        <v>215</v>
      </c>
      <c r="B143" s="905" t="s">
        <v>228</v>
      </c>
      <c r="C143" s="906" t="s">
        <v>225</v>
      </c>
      <c r="D143" s="907" t="str">
        <f>'Revenues 9-14'!A237</f>
        <v>ARRA - IDEA - Part B - Flow-Through</v>
      </c>
      <c r="E143" s="908"/>
      <c r="F143" s="1781">
        <f>SUM('Revenues 9-14'!C237:G237,'Revenues 9-14'!J237)</f>
        <v>0</v>
      </c>
      <c r="G143" s="876"/>
    </row>
    <row r="144" spans="1:7" s="838" customFormat="1" hidden="1">
      <c r="A144" s="905" t="s">
        <v>215</v>
      </c>
      <c r="B144" s="905" t="s">
        <v>860</v>
      </c>
      <c r="C144" s="906" t="s">
        <v>227</v>
      </c>
      <c r="D144" s="907" t="str">
        <f>'Revenues 9-14'!A238</f>
        <v>ARRA - Title IID - Technology-Formula</v>
      </c>
      <c r="E144" s="908"/>
      <c r="F144" s="1781">
        <f>SUM('Revenues 9-14'!C238:G238,'Revenues 9-14'!J238)</f>
        <v>0</v>
      </c>
      <c r="G144" s="876"/>
    </row>
    <row r="145" spans="1:7" s="838" customFormat="1" hidden="1">
      <c r="A145" s="905" t="s">
        <v>215</v>
      </c>
      <c r="B145" s="905" t="s">
        <v>1486</v>
      </c>
      <c r="C145" s="906" t="s">
        <v>229</v>
      </c>
      <c r="D145" s="907" t="str">
        <f>'Revenues 9-14'!A239</f>
        <v>ARRA - Title IID - Technology-Competitive</v>
      </c>
      <c r="E145" s="908"/>
      <c r="F145" s="1781">
        <f>SUM('Revenues 9-14'!C239:G239,'Revenues 9-14'!J239)</f>
        <v>0</v>
      </c>
      <c r="G145" s="876"/>
    </row>
    <row r="146" spans="1:7" s="838" customFormat="1" hidden="1">
      <c r="A146" s="905" t="s">
        <v>689</v>
      </c>
      <c r="B146" s="905" t="s">
        <v>1487</v>
      </c>
      <c r="C146" s="906" t="s">
        <v>230</v>
      </c>
      <c r="D146" s="907" t="str">
        <f>'Revenues 9-14'!A240</f>
        <v>ARRA - McKinney - Vento Homeless Education</v>
      </c>
      <c r="E146" s="908"/>
      <c r="F146" s="1781">
        <f>SUM('Revenues 9-14'!C240:G240,'Revenues 9-14'!J240)</f>
        <v>0</v>
      </c>
      <c r="G146" s="876"/>
    </row>
    <row r="147" spans="1:7" s="838" customFormat="1" hidden="1">
      <c r="A147" s="905" t="s">
        <v>215</v>
      </c>
      <c r="B147" s="905" t="s">
        <v>233</v>
      </c>
      <c r="C147" s="906" t="s">
        <v>231</v>
      </c>
      <c r="D147" s="907" t="str">
        <f>'Revenues 9-14'!A244</f>
        <v>Qualified Zone Academy Bond Tax Credits</v>
      </c>
      <c r="E147" s="908"/>
      <c r="F147" s="1781">
        <f>SUM('Revenues 9-14'!C244:G244,'Revenues 9-14'!J244)</f>
        <v>0</v>
      </c>
      <c r="G147" s="876"/>
    </row>
    <row r="148" spans="1:7" s="838" customFormat="1" hidden="1">
      <c r="A148" s="905" t="s">
        <v>215</v>
      </c>
      <c r="B148" s="905" t="s">
        <v>235</v>
      </c>
      <c r="C148" s="906" t="s">
        <v>232</v>
      </c>
      <c r="D148" s="907" t="str">
        <f>'Revenues 9-14'!A245</f>
        <v>Qualified School Construction Bond Credits</v>
      </c>
      <c r="E148" s="908"/>
      <c r="F148" s="1781">
        <f>SUM('Revenues 9-14'!C245:G245,'Revenues 9-14'!J245)</f>
        <v>0</v>
      </c>
      <c r="G148" s="876"/>
    </row>
    <row r="149" spans="1:7" s="838" customFormat="1" hidden="1">
      <c r="A149" s="905" t="s">
        <v>215</v>
      </c>
      <c r="B149" s="905" t="s">
        <v>237</v>
      </c>
      <c r="C149" s="906" t="s">
        <v>234</v>
      </c>
      <c r="D149" s="907" t="str">
        <f>'Revenues 9-14'!A246</f>
        <v>Build America Bond Tax Credits</v>
      </c>
      <c r="E149" s="908"/>
      <c r="F149" s="1781">
        <f>SUM('Revenues 9-14'!C246:G246,'Revenues 9-14'!J246)</f>
        <v>0</v>
      </c>
      <c r="G149" s="876"/>
    </row>
    <row r="150" spans="1:7" s="838" customFormat="1" hidden="1">
      <c r="A150" s="905" t="s">
        <v>215</v>
      </c>
      <c r="B150" s="905" t="s">
        <v>1488</v>
      </c>
      <c r="C150" s="906" t="s">
        <v>236</v>
      </c>
      <c r="D150" s="907" t="str">
        <f>'Revenues 9-14'!A247</f>
        <v>Build America Bond Interest Reimbursement</v>
      </c>
      <c r="E150" s="908"/>
      <c r="F150" s="1781">
        <f>SUM('Revenues 9-14'!C247:G247,'Revenues 9-14'!J247)</f>
        <v>0</v>
      </c>
      <c r="G150" s="876"/>
    </row>
    <row r="151" spans="1:7" s="838" customFormat="1" hidden="1">
      <c r="A151" s="905" t="s">
        <v>215</v>
      </c>
      <c r="B151" s="905" t="s">
        <v>240</v>
      </c>
      <c r="C151" s="906" t="s">
        <v>238</v>
      </c>
      <c r="D151" s="907" t="str">
        <f>'Revenues 9-14'!A249</f>
        <v>Other ARRA Funds - II</v>
      </c>
      <c r="E151" s="908"/>
      <c r="F151" s="1781">
        <f>SUM('Revenues 9-14'!C249:G249,'Revenues 9-14'!J249)</f>
        <v>0</v>
      </c>
      <c r="G151" s="876"/>
    </row>
    <row r="152" spans="1:7" s="838" customFormat="1" hidden="1">
      <c r="A152" s="905" t="s">
        <v>215</v>
      </c>
      <c r="B152" s="905" t="s">
        <v>242</v>
      </c>
      <c r="C152" s="906" t="s">
        <v>239</v>
      </c>
      <c r="D152" s="907" t="str">
        <f>'Revenues 9-14'!A250</f>
        <v>Other ARRA Funds - III</v>
      </c>
      <c r="E152" s="908"/>
      <c r="F152" s="1781">
        <f>SUM('Revenues 9-14'!C250:G250,'Revenues 9-14'!J250)</f>
        <v>0</v>
      </c>
      <c r="G152" s="876"/>
    </row>
    <row r="153" spans="1:7" s="838" customFormat="1" hidden="1">
      <c r="A153" s="905" t="s">
        <v>215</v>
      </c>
      <c r="B153" s="905" t="s">
        <v>244</v>
      </c>
      <c r="C153" s="906" t="s">
        <v>241</v>
      </c>
      <c r="D153" s="907" t="str">
        <f>'Revenues 9-14'!A251</f>
        <v>Other ARRA Funds - IV</v>
      </c>
      <c r="E153" s="908"/>
      <c r="F153" s="1781">
        <f>SUM('Revenues 9-14'!C251:G251,'Revenues 9-14'!J251)</f>
        <v>0</v>
      </c>
      <c r="G153" s="876"/>
    </row>
    <row r="154" spans="1:7" s="838" customFormat="1" hidden="1">
      <c r="A154" s="905" t="s">
        <v>215</v>
      </c>
      <c r="B154" s="905" t="s">
        <v>246</v>
      </c>
      <c r="C154" s="906" t="s">
        <v>243</v>
      </c>
      <c r="D154" s="907" t="str">
        <f>'Revenues 9-14'!A252</f>
        <v>Other ARRA Funds - V</v>
      </c>
      <c r="E154" s="908"/>
      <c r="F154" s="1781">
        <f>SUM('Revenues 9-14'!C252:G252,'Revenues 9-14'!J252)</f>
        <v>0</v>
      </c>
      <c r="G154" s="876"/>
    </row>
    <row r="155" spans="1:7" s="838" customFormat="1" hidden="1">
      <c r="A155" s="905" t="s">
        <v>215</v>
      </c>
      <c r="B155" s="905" t="s">
        <v>248</v>
      </c>
      <c r="C155" s="906" t="s">
        <v>245</v>
      </c>
      <c r="D155" s="907" t="str">
        <f>'Revenues 9-14'!A253</f>
        <v>ARRA - Early Childhood</v>
      </c>
      <c r="E155" s="908"/>
      <c r="F155" s="1781">
        <v>0</v>
      </c>
      <c r="G155" s="876"/>
    </row>
    <row r="156" spans="1:7" s="838" customFormat="1" hidden="1">
      <c r="A156" s="905" t="s">
        <v>215</v>
      </c>
      <c r="B156" s="905" t="s">
        <v>250</v>
      </c>
      <c r="C156" s="906" t="s">
        <v>247</v>
      </c>
      <c r="D156" s="907" t="str">
        <f>'Revenues 9-14'!A254</f>
        <v>Other ARRA Funds VII</v>
      </c>
      <c r="E156" s="908"/>
      <c r="F156" s="1781">
        <f>SUM('Revenues 9-14'!C254:G254,'Revenues 9-14'!J254)</f>
        <v>0</v>
      </c>
      <c r="G156" s="876"/>
    </row>
    <row r="157" spans="1:7" s="838" customFormat="1" hidden="1">
      <c r="A157" s="905" t="s">
        <v>215</v>
      </c>
      <c r="B157" s="905" t="s">
        <v>252</v>
      </c>
      <c r="C157" s="906" t="s">
        <v>249</v>
      </c>
      <c r="D157" s="907" t="str">
        <f>'Revenues 9-14'!A255</f>
        <v>Other ARRA Funds VIII</v>
      </c>
      <c r="E157" s="908"/>
      <c r="F157" s="1781">
        <f>SUM('Revenues 9-14'!C255:G255,'Revenues 9-14'!J255)</f>
        <v>0</v>
      </c>
      <c r="G157" s="876"/>
    </row>
    <row r="158" spans="1:7" s="838" customFormat="1" hidden="1">
      <c r="A158" s="905" t="s">
        <v>215</v>
      </c>
      <c r="B158" s="905" t="s">
        <v>254</v>
      </c>
      <c r="C158" s="906" t="s">
        <v>251</v>
      </c>
      <c r="D158" s="907" t="str">
        <f>'Revenues 9-14'!A256</f>
        <v>Other ARRA Funds IX</v>
      </c>
      <c r="E158" s="908"/>
      <c r="F158" s="1781">
        <f>SUM('Revenues 9-14'!C256:G256,'Revenues 9-14'!J256)</f>
        <v>0</v>
      </c>
      <c r="G158" s="876"/>
    </row>
    <row r="159" spans="1:7" s="838" customFormat="1" hidden="1">
      <c r="A159" s="905" t="s">
        <v>215</v>
      </c>
      <c r="B159" s="905" t="s">
        <v>863</v>
      </c>
      <c r="C159" s="906" t="s">
        <v>253</v>
      </c>
      <c r="D159" s="907" t="str">
        <f>'Revenues 9-14'!A257</f>
        <v>Other ARRA Funds X</v>
      </c>
      <c r="E159" s="908"/>
      <c r="F159" s="1781">
        <f>SUM('Revenues 9-14'!C257:G257,'Revenues 9-14'!J257)</f>
        <v>0</v>
      </c>
      <c r="G159" s="876"/>
    </row>
    <row r="160" spans="1:7" s="838" customFormat="1" hidden="1">
      <c r="A160" s="905" t="s">
        <v>215</v>
      </c>
      <c r="B160" s="905" t="s">
        <v>1489</v>
      </c>
      <c r="C160" s="906" t="s">
        <v>255</v>
      </c>
      <c r="D160" s="907" t="str">
        <f>'Revenues 9-14'!A258</f>
        <v>Other ARRA Funds Ed Job Fund Program</v>
      </c>
      <c r="E160" s="908"/>
      <c r="F160" s="1781">
        <f>SUM('Revenues 9-14'!C258:G258,'Revenues 9-14'!J258)</f>
        <v>0</v>
      </c>
      <c r="G160" s="876"/>
    </row>
    <row r="161" spans="1:7" s="838" customFormat="1">
      <c r="A161" s="909" t="s">
        <v>521</v>
      </c>
      <c r="B161" s="910" t="s">
        <v>1564</v>
      </c>
      <c r="C161" s="911" t="s">
        <v>896</v>
      </c>
      <c r="D161" s="912" t="s">
        <v>808</v>
      </c>
      <c r="E161" s="913"/>
      <c r="F161" s="1781">
        <f>SUM(F137:F160)</f>
        <v>0</v>
      </c>
      <c r="G161" s="876"/>
    </row>
    <row r="162" spans="1:7" s="838" customFormat="1">
      <c r="A162" s="909" t="s">
        <v>479</v>
      </c>
      <c r="B162" s="910" t="s">
        <v>1501</v>
      </c>
      <c r="C162" s="911" t="s">
        <v>1499</v>
      </c>
      <c r="D162" s="912" t="s">
        <v>1500</v>
      </c>
      <c r="E162" s="913"/>
      <c r="F162" s="1781">
        <f>SUM('Revenues 9-14'!C260)</f>
        <v>0</v>
      </c>
      <c r="G162" s="876"/>
    </row>
    <row r="163" spans="1:7" s="838" customFormat="1">
      <c r="A163" s="909" t="s">
        <v>521</v>
      </c>
      <c r="B163" s="910" t="s">
        <v>1541</v>
      </c>
      <c r="C163" s="911" t="s">
        <v>1542</v>
      </c>
      <c r="D163" s="912" t="s">
        <v>1543</v>
      </c>
      <c r="E163" s="913"/>
      <c r="F163" s="1781">
        <f>SUM('Revenues 9-14'!C261:H261,'Revenues 9-14'!J261:K261)</f>
        <v>0</v>
      </c>
      <c r="G163" s="876"/>
    </row>
    <row r="164" spans="1:7">
      <c r="A164" s="898" t="s">
        <v>1067</v>
      </c>
      <c r="B164" s="898" t="s">
        <v>1556</v>
      </c>
      <c r="C164" s="903">
        <f>'Revenues 9-14'!B262</f>
        <v>4904</v>
      </c>
      <c r="D164" s="900" t="str">
        <f>'Revenues 9-14'!A262</f>
        <v>Advanced Placement Fee/International Baccalaureate</v>
      </c>
      <c r="E164" s="877"/>
      <c r="F164" s="1781">
        <f>SUM('Revenues 9-14'!C262,'Revenues 9-14'!D262,'Revenues 9-14'!G262)</f>
        <v>0</v>
      </c>
      <c r="G164" s="901"/>
    </row>
    <row r="165" spans="1:7">
      <c r="A165" s="898" t="s">
        <v>5</v>
      </c>
      <c r="B165" s="898" t="s">
        <v>809</v>
      </c>
      <c r="C165" s="903">
        <f>'Revenues 9-14'!B263</f>
        <v>4905</v>
      </c>
      <c r="D165" s="900" t="str">
        <f>'Revenues 9-14'!A263</f>
        <v>Title III - Immigrant Education Program (IEP)</v>
      </c>
      <c r="E165" s="877"/>
      <c r="F165" s="1781">
        <f>SUM('Revenues 9-14'!C263,'Revenues 9-14'!F263,'Revenues 9-14'!G263)</f>
        <v>0</v>
      </c>
      <c r="G165" s="914">
        <v>6306</v>
      </c>
    </row>
    <row r="166" spans="1:7">
      <c r="A166" s="898" t="s">
        <v>5</v>
      </c>
      <c r="B166" s="898" t="s">
        <v>1502</v>
      </c>
      <c r="C166" s="903">
        <f>'Revenues 9-14'!B264</f>
        <v>4909</v>
      </c>
      <c r="D166" s="900" t="str">
        <f>'Revenues 9-14'!A264</f>
        <v>Title III - Language Inst Program - Limited Eng (LIPLEP)</v>
      </c>
      <c r="E166" s="877"/>
      <c r="F166" s="1781">
        <f>SUM('Revenues 9-14'!C264,'Revenues 9-14'!F264,'Revenues 9-14'!G264)</f>
        <v>693</v>
      </c>
      <c r="G166" s="914"/>
    </row>
    <row r="167" spans="1:7">
      <c r="A167" s="898" t="s">
        <v>5</v>
      </c>
      <c r="B167" s="898" t="s">
        <v>1557</v>
      </c>
      <c r="C167" s="903">
        <f>'Revenues 9-14'!B265</f>
        <v>4910</v>
      </c>
      <c r="D167" s="900" t="str">
        <f>'Revenues 9-14'!A265</f>
        <v>Learn &amp; Serve America</v>
      </c>
      <c r="E167" s="877"/>
      <c r="F167" s="1781">
        <f>SUM('Revenues 9-14'!C265,'Revenues 9-14'!F265,'Revenues 9-14'!G265)</f>
        <v>0</v>
      </c>
      <c r="G167" s="901"/>
    </row>
    <row r="168" spans="1:7">
      <c r="A168" s="898" t="s">
        <v>689</v>
      </c>
      <c r="B168" s="898" t="s">
        <v>707</v>
      </c>
      <c r="C168" s="903">
        <f>'Revenues 9-14'!B266</f>
        <v>4920</v>
      </c>
      <c r="D168" s="900" t="str">
        <f>'Revenues 9-14'!A266</f>
        <v>McKinney Education for Homeless Children</v>
      </c>
      <c r="E168" s="877"/>
      <c r="F168" s="1781">
        <f>SUM('Revenues 9-14'!C266,'Revenues 9-14'!D266,'Revenues 9-14'!F266,'Revenues 9-14'!G266)</f>
        <v>0</v>
      </c>
      <c r="G168" s="901"/>
    </row>
    <row r="169" spans="1:7">
      <c r="A169" s="915" t="s">
        <v>689</v>
      </c>
      <c r="B169" s="915" t="s">
        <v>708</v>
      </c>
      <c r="C169" s="916">
        <f>'Revenues 9-14'!B267</f>
        <v>4930</v>
      </c>
      <c r="D169" s="917" t="str">
        <f>'Revenues 9-14'!A267</f>
        <v>Title II - Eisenhower Professional Development Formula</v>
      </c>
      <c r="E169" s="897"/>
      <c r="F169" s="1903">
        <f>SUM('Revenues 9-14'!C267:D267,'Revenues 9-14'!F267,'Revenues 9-14'!G267)</f>
        <v>0</v>
      </c>
      <c r="G169" s="901"/>
    </row>
    <row r="170" spans="1:7">
      <c r="A170" s="898" t="s">
        <v>689</v>
      </c>
      <c r="B170" s="898" t="s">
        <v>709</v>
      </c>
      <c r="C170" s="903">
        <f>'Revenues 9-14'!B268</f>
        <v>4932</v>
      </c>
      <c r="D170" s="904" t="str">
        <f>'Revenues 9-14'!A268</f>
        <v>Title II - Teacher Quality</v>
      </c>
      <c r="E170" s="877"/>
      <c r="F170" s="1903">
        <f>SUM('Revenues 9-14'!C268,'Revenues 9-14'!D268,'Revenues 9-14'!F268,'Revenues 9-14'!G268)</f>
        <v>20198</v>
      </c>
      <c r="G170" s="901"/>
    </row>
    <row r="171" spans="1:7">
      <c r="A171" s="898" t="s">
        <v>689</v>
      </c>
      <c r="B171" s="898" t="s">
        <v>864</v>
      </c>
      <c r="C171" s="903">
        <f>'Revenues 9-14'!B269</f>
        <v>4960</v>
      </c>
      <c r="D171" s="900" t="str">
        <f>'Revenues 9-14'!A269</f>
        <v>Federal Charter Schools</v>
      </c>
      <c r="E171" s="877"/>
      <c r="F171" s="1781">
        <f>SUM('Revenues 9-14'!C269:D269,'Revenues 9-14'!F269:G269)</f>
        <v>0</v>
      </c>
      <c r="G171" s="901"/>
    </row>
    <row r="172" spans="1:7">
      <c r="A172" s="898" t="s">
        <v>689</v>
      </c>
      <c r="B172" s="898" t="s">
        <v>810</v>
      </c>
      <c r="C172" s="903">
        <f>'Revenues 9-14'!B270</f>
        <v>4991</v>
      </c>
      <c r="D172" s="904" t="str">
        <f>'Revenues 9-14'!A270</f>
        <v>Medicaid Matching Funds - Administrative Outreach</v>
      </c>
      <c r="E172" s="877"/>
      <c r="F172" s="1781">
        <f>SUM('Revenues 9-14'!C270:D270,'Revenues 9-14'!F270:G270)</f>
        <v>11072</v>
      </c>
      <c r="G172" s="918">
        <v>6320</v>
      </c>
    </row>
    <row r="173" spans="1:7">
      <c r="A173" s="898" t="s">
        <v>689</v>
      </c>
      <c r="B173" s="898" t="s">
        <v>1503</v>
      </c>
      <c r="C173" s="903">
        <f>'Revenues 9-14'!B271</f>
        <v>4992</v>
      </c>
      <c r="D173" s="904" t="str">
        <f>'Revenues 9-14'!A271</f>
        <v>Medicaid Matching Funds - Fee-for-Service Program</v>
      </c>
      <c r="E173" s="877"/>
      <c r="F173" s="1781">
        <f>SUM('Revenues 9-14'!C271:D271,'Revenues 9-14'!F271:G271)</f>
        <v>208325</v>
      </c>
      <c r="G173" s="918"/>
    </row>
    <row r="174" spans="1:7">
      <c r="A174" s="919" t="s">
        <v>689</v>
      </c>
      <c r="B174" s="915" t="s">
        <v>1558</v>
      </c>
      <c r="C174" s="916">
        <f>'Revenues 9-14'!B272</f>
        <v>4999</v>
      </c>
      <c r="D174" s="917" t="str">
        <f>'Revenues 9-14'!A272</f>
        <v>Other Restricted Revenue from Federal Sources (Describe &amp; Itemize)</v>
      </c>
      <c r="E174" s="877"/>
      <c r="F174" s="1781">
        <f>SUM('Revenues 9-14'!C272:D272,'Revenues 9-14'!F272:G272)</f>
        <v>2</v>
      </c>
      <c r="G174" s="898"/>
    </row>
    <row r="175" spans="1:7">
      <c r="A175" s="1914" t="s">
        <v>5</v>
      </c>
      <c r="B175" s="1915" t="s">
        <v>2056</v>
      </c>
      <c r="C175" s="1916">
        <v>3100</v>
      </c>
      <c r="D175" s="1917" t="s">
        <v>2059</v>
      </c>
      <c r="E175" s="877"/>
      <c r="F175" s="1901">
        <v>1358454</v>
      </c>
      <c r="G175" s="898"/>
    </row>
    <row r="176" spans="1:7">
      <c r="A176" s="1914" t="s">
        <v>685</v>
      </c>
      <c r="B176" s="1915" t="s">
        <v>2056</v>
      </c>
      <c r="C176" s="1916">
        <v>3300</v>
      </c>
      <c r="D176" s="1917" t="s">
        <v>2060</v>
      </c>
      <c r="E176" s="877"/>
      <c r="F176" s="1901">
        <v>26183</v>
      </c>
      <c r="G176" s="898"/>
    </row>
    <row r="177" spans="1:7" ht="6" customHeight="1">
      <c r="A177" s="898"/>
      <c r="B177" s="898"/>
      <c r="C177" s="920"/>
      <c r="D177" s="898"/>
      <c r="E177" s="877"/>
      <c r="F177" s="921"/>
      <c r="G177" s="918"/>
    </row>
    <row r="178" spans="1:7">
      <c r="A178" s="1762"/>
      <c r="B178" s="1776"/>
      <c r="C178" s="1777"/>
      <c r="D178" s="1778" t="s">
        <v>2012</v>
      </c>
      <c r="E178" s="1779" t="s">
        <v>1015</v>
      </c>
      <c r="F178" s="1780">
        <f>SUM(F84:F136,F161:F176)</f>
        <v>10212572</v>
      </c>
    </row>
    <row r="179" spans="1:7" ht="12" customHeight="1">
      <c r="A179" s="1762"/>
      <c r="B179" s="1776"/>
      <c r="C179" s="1777"/>
      <c r="D179" s="1778" t="s">
        <v>2013</v>
      </c>
      <c r="E179" s="1779"/>
      <c r="F179" s="1781">
        <f>'PCTC-OEPP 27-28'!F77-F178</f>
        <v>46874389</v>
      </c>
    </row>
    <row r="180" spans="1:7" ht="12" customHeight="1">
      <c r="A180" s="1762"/>
      <c r="B180" s="1776"/>
      <c r="C180" s="1777"/>
      <c r="D180" s="1778" t="s">
        <v>1922</v>
      </c>
      <c r="E180" s="1779"/>
      <c r="F180" s="1781">
        <f>'Cap Outlay Deprec 26'!I18</f>
        <v>2441153.4</v>
      </c>
    </row>
    <row r="181" spans="1:7" ht="12" customHeight="1">
      <c r="A181" s="1762"/>
      <c r="B181" s="1776"/>
      <c r="C181" s="1777"/>
      <c r="D181" s="1778" t="s">
        <v>2014</v>
      </c>
      <c r="E181" s="1779"/>
      <c r="F181" s="1781">
        <f>F179+F180</f>
        <v>49315542.399999999</v>
      </c>
    </row>
    <row r="182" spans="1:7" ht="12" customHeight="1">
      <c r="A182" s="1762"/>
      <c r="B182" s="1782"/>
      <c r="C182" s="1777"/>
      <c r="D182" s="1778" t="str">
        <f>D78</f>
        <v>9 Month ADA from District Average Daily Attendance/Prior General State Aid Inquiry 2017-2018</v>
      </c>
      <c r="E182" s="1779"/>
      <c r="F182" s="1783">
        <f>'PCTC-OEPP 27-28'!F78</f>
        <v>2628.7</v>
      </c>
      <c r="G182" s="901"/>
    </row>
    <row r="183" spans="1:7" ht="12" customHeight="1" thickBot="1">
      <c r="A183" s="1762"/>
      <c r="B183" s="1782"/>
      <c r="C183" s="1777"/>
      <c r="D183" s="1778" t="s">
        <v>2015</v>
      </c>
      <c r="E183" s="1779" t="s">
        <v>1626</v>
      </c>
      <c r="F183" s="1784">
        <f>F181/F182</f>
        <v>18760.430022444554</v>
      </c>
      <c r="G183" s="827">
        <v>6323</v>
      </c>
    </row>
    <row r="184" spans="1:7" ht="12" thickTop="1">
      <c r="B184" s="901"/>
      <c r="C184" s="920"/>
      <c r="D184" s="901"/>
      <c r="E184" s="920"/>
      <c r="F184" s="901"/>
      <c r="G184" s="922">
        <v>6326</v>
      </c>
    </row>
    <row r="185" spans="1:7" ht="12.2" customHeight="1">
      <c r="A185" s="901" t="s">
        <v>2058</v>
      </c>
      <c r="B185" s="901"/>
      <c r="C185" s="920"/>
      <c r="D185" s="901"/>
      <c r="E185" s="920"/>
      <c r="F185" s="901"/>
      <c r="G185" s="901"/>
    </row>
    <row r="186" spans="1:7" s="1918" customFormat="1" ht="12.2" customHeight="1">
      <c r="A186" s="1918" t="s">
        <v>2063</v>
      </c>
      <c r="B186" s="1919"/>
      <c r="C186" s="1920"/>
      <c r="D186" s="1919"/>
      <c r="E186" s="1920"/>
      <c r="F186" s="1919"/>
      <c r="G186" s="1919"/>
    </row>
    <row r="187" spans="1:7" s="1918" customFormat="1" ht="12.2" customHeight="1">
      <c r="A187" s="1921" t="s">
        <v>2064</v>
      </c>
      <c r="C187" s="1920"/>
      <c r="D187" s="1919"/>
      <c r="E187" s="1920"/>
      <c r="F187" s="1919"/>
      <c r="G187" s="1919"/>
    </row>
    <row r="188" spans="1:7" ht="12" customHeight="1">
      <c r="C188" s="920"/>
      <c r="D188" s="901"/>
      <c r="E188" s="920"/>
      <c r="F188" s="901"/>
      <c r="G188" s="901"/>
    </row>
    <row r="189" spans="1:7">
      <c r="A189" s="1922" t="s">
        <v>2062</v>
      </c>
      <c r="B189" s="1923" t="s">
        <v>2061</v>
      </c>
      <c r="C189" s="920"/>
      <c r="D189" s="901"/>
      <c r="E189" s="920"/>
      <c r="F189" s="901"/>
      <c r="G189" s="901"/>
    </row>
    <row r="190" spans="1:7">
      <c r="A190" s="901"/>
      <c r="B190" s="901"/>
      <c r="C190" s="920"/>
      <c r="D190" s="901"/>
      <c r="E190" s="920"/>
      <c r="F190" s="901"/>
      <c r="G190" s="901"/>
    </row>
    <row r="191" spans="1:7">
      <c r="A191" s="901"/>
      <c r="B191" s="901"/>
      <c r="C191" s="920"/>
      <c r="D191" s="901"/>
      <c r="E191" s="920"/>
      <c r="F191" s="901"/>
      <c r="G191" s="901"/>
    </row>
    <row r="192" spans="1:7">
      <c r="A192" s="901"/>
      <c r="B192" s="901"/>
      <c r="C192" s="920"/>
      <c r="D192" s="901"/>
      <c r="E192" s="920"/>
      <c r="F192" s="901"/>
      <c r="G192" s="901"/>
    </row>
    <row r="193" spans="1:7">
      <c r="A193" s="901"/>
      <c r="B193" s="901"/>
      <c r="C193" s="920"/>
      <c r="D193" s="901"/>
      <c r="E193" s="920"/>
      <c r="F193" s="901"/>
      <c r="G193" s="901"/>
    </row>
    <row r="194" spans="1:7">
      <c r="A194" s="901"/>
      <c r="B194" s="901"/>
      <c r="C194" s="920"/>
      <c r="D194" s="901"/>
      <c r="E194" s="920"/>
      <c r="F194" s="901"/>
      <c r="G194" s="901"/>
    </row>
    <row r="195" spans="1:7">
      <c r="A195" s="901"/>
      <c r="B195" s="901"/>
      <c r="C195" s="920"/>
      <c r="D195" s="901"/>
      <c r="E195" s="920"/>
      <c r="F195" s="901"/>
      <c r="G195" s="901"/>
    </row>
    <row r="196" spans="1:7">
      <c r="A196" s="901"/>
      <c r="B196" s="901"/>
      <c r="C196" s="920"/>
      <c r="D196" s="901"/>
      <c r="E196" s="920"/>
      <c r="F196" s="901"/>
      <c r="G196" s="901"/>
    </row>
    <row r="197" spans="1:7">
      <c r="A197" s="901"/>
      <c r="B197" s="901"/>
      <c r="C197" s="920"/>
      <c r="D197" s="901"/>
      <c r="E197" s="920"/>
      <c r="F197" s="901"/>
      <c r="G197" s="901"/>
    </row>
    <row r="198" spans="1:7">
      <c r="A198" s="901"/>
      <c r="B198" s="901"/>
      <c r="C198" s="920"/>
      <c r="D198" s="901"/>
      <c r="E198" s="920"/>
      <c r="F198" s="901"/>
      <c r="G198" s="901"/>
    </row>
    <row r="199" spans="1:7">
      <c r="A199" s="901"/>
      <c r="B199" s="901"/>
      <c r="C199" s="920"/>
      <c r="D199" s="901"/>
      <c r="E199" s="920"/>
      <c r="F199" s="901"/>
      <c r="G199" s="901"/>
    </row>
    <row r="200" spans="1:7">
      <c r="A200" s="901"/>
      <c r="B200" s="901"/>
      <c r="C200" s="920"/>
      <c r="D200" s="901"/>
      <c r="E200" s="920"/>
      <c r="F200" s="901"/>
      <c r="G200" s="901"/>
    </row>
    <row r="201" spans="1:7">
      <c r="A201" s="901"/>
      <c r="B201" s="901"/>
      <c r="C201" s="920"/>
      <c r="D201" s="901"/>
      <c r="E201" s="920"/>
      <c r="F201" s="901"/>
      <c r="G201" s="901"/>
    </row>
    <row r="202" spans="1:7">
      <c r="A202" s="901"/>
      <c r="B202" s="901"/>
      <c r="C202" s="920"/>
      <c r="D202" s="901"/>
      <c r="E202" s="920"/>
      <c r="F202" s="901"/>
      <c r="G202" s="901"/>
    </row>
    <row r="203" spans="1:7">
      <c r="A203" s="901"/>
      <c r="B203" s="901"/>
      <c r="C203" s="920"/>
      <c r="D203" s="901"/>
      <c r="E203" s="920"/>
      <c r="F203" s="901"/>
      <c r="G203" s="901"/>
    </row>
    <row r="204" spans="1:7">
      <c r="A204" s="901"/>
      <c r="B204" s="901"/>
      <c r="C204" s="920"/>
      <c r="D204" s="901"/>
      <c r="E204" s="920"/>
      <c r="F204" s="901"/>
      <c r="G204" s="901"/>
    </row>
    <row r="205" spans="1:7">
      <c r="A205" s="901"/>
      <c r="B205" s="901"/>
      <c r="C205" s="920"/>
      <c r="D205" s="901"/>
      <c r="E205" s="920"/>
      <c r="F205" s="901"/>
      <c r="G205" s="901"/>
    </row>
    <row r="206" spans="1:7">
      <c r="A206" s="901"/>
      <c r="B206" s="901"/>
      <c r="C206" s="920"/>
      <c r="D206" s="901"/>
      <c r="E206" s="920"/>
      <c r="F206" s="901"/>
      <c r="G206" s="90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view="pageBreakPreview" zoomScale="70" zoomScaleNormal="100" zoomScaleSheetLayoutView="70" workbookViewId="0">
      <pane ySplit="16" topLeftCell="A32" activePane="bottomLeft" state="frozen"/>
      <selection activeCell="M97" activeCellId="1" sqref="A1 M97"/>
      <selection pane="bottomLeft" activeCell="B17" sqref="B17:B44"/>
    </sheetView>
  </sheetViews>
  <sheetFormatPr defaultColWidth="9.140625" defaultRowHeight="15"/>
  <cols>
    <col min="1" max="1" width="52" style="1534" customWidth="1"/>
    <col min="2" max="2" width="16.42578125" style="1535" bestFit="1" customWidth="1"/>
    <col min="3" max="3" width="33.7109375" style="1535" customWidth="1"/>
    <col min="4" max="4" width="16.28515625" style="1536" customWidth="1"/>
    <col min="5" max="5" width="0.140625" style="1536" hidden="1" customWidth="1"/>
    <col min="6" max="6" width="23.5703125" style="1536" customWidth="1"/>
    <col min="7" max="7" width="23.28515625" style="1535" customWidth="1"/>
    <col min="8" max="16384" width="9.140625" style="1525"/>
  </cols>
  <sheetData>
    <row r="1" spans="1:7" ht="15" customHeight="1">
      <c r="A1" s="1651" t="s">
        <v>1938</v>
      </c>
      <c r="B1" s="1652"/>
      <c r="C1" s="1652"/>
      <c r="D1" s="1652"/>
      <c r="E1" s="1652"/>
      <c r="F1" s="1652"/>
      <c r="G1" s="1652"/>
    </row>
    <row r="2" spans="1:7">
      <c r="A2" s="1649"/>
      <c r="B2" s="1649"/>
      <c r="C2" s="1650" t="s">
        <v>1036</v>
      </c>
      <c r="D2" s="1649"/>
      <c r="E2" s="1649"/>
      <c r="F2" s="1649"/>
      <c r="G2" s="1649"/>
    </row>
    <row r="3" spans="1:7" ht="5.25" customHeight="1">
      <c r="A3" s="1537"/>
      <c r="B3" s="1537"/>
      <c r="C3" s="1537"/>
      <c r="D3" s="1537"/>
      <c r="E3" s="1537"/>
      <c r="F3" s="1537"/>
      <c r="G3" s="1537"/>
    </row>
    <row r="4" spans="1:7" ht="18.75" customHeight="1">
      <c r="A4" s="2303" t="s">
        <v>1923</v>
      </c>
      <c r="B4" s="2304"/>
      <c r="C4" s="2304"/>
      <c r="D4" s="2304"/>
      <c r="E4" s="2304"/>
      <c r="F4" s="2304"/>
      <c r="G4" s="2305"/>
    </row>
    <row r="5" spans="1:7">
      <c r="A5" s="2306"/>
      <c r="B5" s="2307"/>
      <c r="C5" s="2307"/>
      <c r="D5" s="2307"/>
      <c r="E5" s="2307"/>
      <c r="F5" s="2307"/>
      <c r="G5" s="2308"/>
    </row>
    <row r="6" spans="1:7" ht="18.75">
      <c r="A6" s="1526" t="s">
        <v>1924</v>
      </c>
      <c r="B6" s="1527"/>
      <c r="C6" s="1527"/>
      <c r="D6" s="1527"/>
      <c r="E6" s="1527"/>
      <c r="F6" s="1527"/>
      <c r="G6" s="1528"/>
    </row>
    <row r="7" spans="1:7" ht="30.75" customHeight="1">
      <c r="A7" s="2309" t="s">
        <v>2073</v>
      </c>
      <c r="B7" s="2310"/>
      <c r="C7" s="2310"/>
      <c r="D7" s="2310"/>
      <c r="E7" s="2310"/>
      <c r="F7" s="2310"/>
      <c r="G7" s="2311"/>
    </row>
    <row r="8" spans="1:7" ht="15.75" customHeight="1">
      <c r="A8" s="2312" t="s">
        <v>2022</v>
      </c>
      <c r="B8" s="2313"/>
      <c r="C8" s="2313"/>
      <c r="D8" s="2313"/>
      <c r="E8" s="2313"/>
      <c r="F8" s="2313"/>
      <c r="G8" s="2314"/>
    </row>
    <row r="9" spans="1:7" ht="35.25" customHeight="1">
      <c r="A9" s="2309" t="s">
        <v>2021</v>
      </c>
      <c r="B9" s="2310"/>
      <c r="C9" s="2310"/>
      <c r="D9" s="2310"/>
      <c r="E9" s="2310"/>
      <c r="F9" s="2310"/>
      <c r="G9" s="2311"/>
    </row>
    <row r="10" spans="1:7" ht="15" customHeight="1">
      <c r="A10" s="1529" t="s">
        <v>1925</v>
      </c>
      <c r="B10" s="1530"/>
      <c r="C10" s="1530"/>
      <c r="D10" s="1530"/>
      <c r="E10" s="1530"/>
      <c r="F10" s="1530"/>
      <c r="G10" s="1531"/>
    </row>
    <row r="11" spans="1:7" ht="17.25" customHeight="1">
      <c r="A11" s="2309" t="s">
        <v>1939</v>
      </c>
      <c r="B11" s="2310"/>
      <c r="C11" s="2310"/>
      <c r="D11" s="2310"/>
      <c r="E11" s="2310"/>
      <c r="F11" s="2310"/>
      <c r="G11" s="2311"/>
    </row>
    <row r="12" spans="1:7" ht="15" customHeight="1">
      <c r="A12" s="1529" t="s">
        <v>1930</v>
      </c>
      <c r="B12" s="1530"/>
      <c r="C12" s="1530"/>
      <c r="D12" s="1530"/>
      <c r="E12" s="1530"/>
      <c r="F12" s="1530"/>
      <c r="G12" s="1531"/>
    </row>
    <row r="13" spans="1:7" ht="32.25" customHeight="1">
      <c r="A13" s="2300" t="s">
        <v>1931</v>
      </c>
      <c r="B13" s="2301"/>
      <c r="C13" s="2301"/>
      <c r="D13" s="2301"/>
      <c r="E13" s="2301"/>
      <c r="F13" s="2301"/>
      <c r="G13" s="2302"/>
    </row>
    <row r="14" spans="1:7">
      <c r="A14" s="1653" t="s">
        <v>1940</v>
      </c>
      <c r="B14" s="1654"/>
      <c r="C14" s="1654"/>
      <c r="D14" s="1654"/>
      <c r="E14" s="1654"/>
      <c r="F14" s="1654"/>
      <c r="G14" s="1655"/>
    </row>
    <row r="15" spans="1:7" ht="61.5" customHeight="1">
      <c r="A15" s="1538" t="s">
        <v>1932</v>
      </c>
      <c r="B15" s="1538" t="s">
        <v>1933</v>
      </c>
      <c r="C15" s="1538" t="s">
        <v>1934</v>
      </c>
      <c r="D15" s="1539" t="s">
        <v>1935</v>
      </c>
      <c r="E15" s="1539" t="s">
        <v>1926</v>
      </c>
      <c r="F15" s="1539" t="s">
        <v>1936</v>
      </c>
      <c r="G15" s="1539" t="s">
        <v>1937</v>
      </c>
    </row>
    <row r="16" spans="1:7">
      <c r="A16" s="1640" t="s">
        <v>1941</v>
      </c>
      <c r="B16" s="1641" t="s">
        <v>1929</v>
      </c>
      <c r="C16" s="1642" t="s">
        <v>1927</v>
      </c>
      <c r="D16" s="1643">
        <v>500000</v>
      </c>
      <c r="E16" s="1643">
        <f>IF(D16&lt;=25000,D16,IF(D16&gt;25000,25000,0))</f>
        <v>25000</v>
      </c>
      <c r="F16" s="164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4">
        <f>IF(F16=0,"0",D16-F16)</f>
        <v>475000</v>
      </c>
    </row>
    <row r="17" spans="1:8">
      <c r="A17" s="1647" t="s">
        <v>2099</v>
      </c>
      <c r="B17" s="1838" t="s">
        <v>2100</v>
      </c>
      <c r="C17" s="1648" t="s">
        <v>2101</v>
      </c>
      <c r="D17" s="1837">
        <v>26360</v>
      </c>
      <c r="E17" s="1532">
        <f t="shared" ref="E17:E141" si="1">IF(D17&lt;=25000,D17,IF(D17&gt;25000,25000,0))</f>
        <v>25000</v>
      </c>
      <c r="F17" s="1785">
        <f t="shared" si="0"/>
        <v>25000</v>
      </c>
      <c r="G17" s="1786">
        <f>IF(F17=0,0,D17-F17)</f>
        <v>1360</v>
      </c>
      <c r="H17" s="1639"/>
    </row>
    <row r="18" spans="1:8">
      <c r="A18" s="1645" t="s">
        <v>2102</v>
      </c>
      <c r="B18" s="1971" t="s">
        <v>2205</v>
      </c>
      <c r="C18" s="1648" t="s">
        <v>2103</v>
      </c>
      <c r="D18" s="1837">
        <v>28320</v>
      </c>
      <c r="E18" s="1532">
        <f t="shared" ref="E18:E140" si="2">IF(D18&lt;=25000,D18,IF(D18&gt;25000,25000,0))</f>
        <v>25000</v>
      </c>
      <c r="F18" s="178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6">
        <f t="shared" ref="G18:G140" si="4">IF(F18=0,0,D18-F18)</f>
        <v>3320</v>
      </c>
    </row>
    <row r="19" spans="1:8">
      <c r="A19" s="1645" t="s">
        <v>2104</v>
      </c>
      <c r="B19" s="1971" t="s">
        <v>2206</v>
      </c>
      <c r="C19" s="1648" t="s">
        <v>2105</v>
      </c>
      <c r="D19" s="1837">
        <v>29740</v>
      </c>
      <c r="E19" s="1532">
        <f t="shared" si="2"/>
        <v>25000</v>
      </c>
      <c r="F19" s="1785">
        <f t="shared" si="3"/>
        <v>25000</v>
      </c>
      <c r="G19" s="1786">
        <f t="shared" si="4"/>
        <v>4740</v>
      </c>
    </row>
    <row r="20" spans="1:8">
      <c r="A20" s="1645" t="s">
        <v>2099</v>
      </c>
      <c r="B20" s="1838" t="s">
        <v>2100</v>
      </c>
      <c r="C20" s="1648" t="s">
        <v>2106</v>
      </c>
      <c r="D20" s="1837">
        <v>30501</v>
      </c>
      <c r="E20" s="1532">
        <f t="shared" si="2"/>
        <v>25000</v>
      </c>
      <c r="F20" s="1785">
        <f t="shared" si="3"/>
        <v>25000</v>
      </c>
      <c r="G20" s="1786">
        <f t="shared" si="4"/>
        <v>5501</v>
      </c>
    </row>
    <row r="21" spans="1:8">
      <c r="A21" s="1645" t="s">
        <v>2107</v>
      </c>
      <c r="B21" s="1971" t="s">
        <v>2204</v>
      </c>
      <c r="C21" s="1648" t="s">
        <v>2108</v>
      </c>
      <c r="D21" s="1837">
        <v>31000</v>
      </c>
      <c r="E21" s="1532">
        <f t="shared" si="2"/>
        <v>25000</v>
      </c>
      <c r="F21" s="1785">
        <f t="shared" si="3"/>
        <v>25000</v>
      </c>
      <c r="G21" s="1786">
        <f t="shared" si="4"/>
        <v>6000</v>
      </c>
    </row>
    <row r="22" spans="1:8">
      <c r="A22" s="1645" t="s">
        <v>2109</v>
      </c>
      <c r="B22" s="1838" t="s">
        <v>2110</v>
      </c>
      <c r="C22" s="1648" t="s">
        <v>2111</v>
      </c>
      <c r="D22" s="1837">
        <v>36500</v>
      </c>
      <c r="E22" s="1532">
        <f t="shared" si="2"/>
        <v>25000</v>
      </c>
      <c r="F22" s="1785">
        <f t="shared" si="3"/>
        <v>25000</v>
      </c>
      <c r="G22" s="1786">
        <f t="shared" si="4"/>
        <v>11500</v>
      </c>
    </row>
    <row r="23" spans="1:8">
      <c r="A23" s="1645" t="s">
        <v>2112</v>
      </c>
      <c r="B23" s="1971" t="s">
        <v>2206</v>
      </c>
      <c r="C23" s="1648" t="s">
        <v>2113</v>
      </c>
      <c r="D23" s="1837">
        <v>37303</v>
      </c>
      <c r="E23" s="1532">
        <f t="shared" si="2"/>
        <v>25000</v>
      </c>
      <c r="F23" s="1785">
        <f t="shared" si="3"/>
        <v>25000</v>
      </c>
      <c r="G23" s="1786">
        <f t="shared" si="4"/>
        <v>12303</v>
      </c>
    </row>
    <row r="24" spans="1:8">
      <c r="A24" s="1645" t="s">
        <v>2114</v>
      </c>
      <c r="B24" s="1839" t="s">
        <v>2115</v>
      </c>
      <c r="C24" s="1648" t="s">
        <v>2116</v>
      </c>
      <c r="D24" s="1837">
        <v>39817</v>
      </c>
      <c r="E24" s="1532">
        <f t="shared" si="2"/>
        <v>25000</v>
      </c>
      <c r="F24" s="1785">
        <f t="shared" si="3"/>
        <v>25000</v>
      </c>
      <c r="G24" s="1786">
        <f t="shared" si="4"/>
        <v>14817</v>
      </c>
    </row>
    <row r="25" spans="1:8">
      <c r="A25" s="1645" t="s">
        <v>2114</v>
      </c>
      <c r="B25" s="1838" t="s">
        <v>2115</v>
      </c>
      <c r="C25" s="1648" t="s">
        <v>2117</v>
      </c>
      <c r="D25" s="1837">
        <v>41383</v>
      </c>
      <c r="E25" s="1532">
        <f t="shared" si="2"/>
        <v>25000</v>
      </c>
      <c r="F25" s="1785">
        <f t="shared" si="3"/>
        <v>25000</v>
      </c>
      <c r="G25" s="1786">
        <f t="shared" si="4"/>
        <v>16383</v>
      </c>
    </row>
    <row r="26" spans="1:8">
      <c r="A26" s="1645" t="s">
        <v>2118</v>
      </c>
      <c r="B26" s="1971" t="s">
        <v>2206</v>
      </c>
      <c r="C26" s="1646" t="s">
        <v>2119</v>
      </c>
      <c r="D26" s="1837">
        <v>42885</v>
      </c>
      <c r="E26" s="1532">
        <f t="shared" si="2"/>
        <v>25000</v>
      </c>
      <c r="F26" s="1785">
        <f t="shared" si="3"/>
        <v>25000</v>
      </c>
      <c r="G26" s="1786">
        <f t="shared" si="4"/>
        <v>17885</v>
      </c>
    </row>
    <row r="27" spans="1:8">
      <c r="A27" s="1645" t="s">
        <v>2120</v>
      </c>
      <c r="B27" s="1971" t="s">
        <v>2207</v>
      </c>
      <c r="C27" s="1646" t="s">
        <v>2121</v>
      </c>
      <c r="D27" s="1837">
        <v>50082</v>
      </c>
      <c r="E27" s="1532">
        <f t="shared" si="2"/>
        <v>25000</v>
      </c>
      <c r="F27" s="1785">
        <f t="shared" si="3"/>
        <v>25000</v>
      </c>
      <c r="G27" s="1786">
        <f t="shared" si="4"/>
        <v>25082</v>
      </c>
    </row>
    <row r="28" spans="1:8">
      <c r="A28" s="1645" t="s">
        <v>2122</v>
      </c>
      <c r="B28" s="1839" t="s">
        <v>2123</v>
      </c>
      <c r="C28" s="1646" t="s">
        <v>2124</v>
      </c>
      <c r="D28" s="1837">
        <v>53351</v>
      </c>
      <c r="E28" s="1532">
        <f t="shared" si="2"/>
        <v>25000</v>
      </c>
      <c r="F28" s="1785">
        <f t="shared" si="3"/>
        <v>25000</v>
      </c>
      <c r="G28" s="1786">
        <f t="shared" si="4"/>
        <v>28351</v>
      </c>
    </row>
    <row r="29" spans="1:8">
      <c r="A29" s="1645" t="s">
        <v>2125</v>
      </c>
      <c r="B29" s="1971" t="s">
        <v>2208</v>
      </c>
      <c r="C29" s="1646" t="s">
        <v>2126</v>
      </c>
      <c r="D29" s="1837">
        <v>62625</v>
      </c>
      <c r="E29" s="1532">
        <f t="shared" si="2"/>
        <v>25000</v>
      </c>
      <c r="F29" s="1785">
        <f t="shared" si="3"/>
        <v>25000</v>
      </c>
      <c r="G29" s="1786">
        <f t="shared" si="4"/>
        <v>37625</v>
      </c>
    </row>
    <row r="30" spans="1:8">
      <c r="A30" s="1645" t="s">
        <v>2127</v>
      </c>
      <c r="B30" s="1839" t="s">
        <v>2128</v>
      </c>
      <c r="C30" s="1646" t="s">
        <v>2129</v>
      </c>
      <c r="D30" s="1837">
        <v>63500</v>
      </c>
      <c r="E30" s="1532">
        <f t="shared" si="2"/>
        <v>25000</v>
      </c>
      <c r="F30" s="1785">
        <f t="shared" si="3"/>
        <v>25000</v>
      </c>
      <c r="G30" s="1786">
        <f t="shared" si="4"/>
        <v>38500</v>
      </c>
    </row>
    <row r="31" spans="1:8">
      <c r="A31" s="1645" t="s">
        <v>2120</v>
      </c>
      <c r="B31" s="1971" t="s">
        <v>2207</v>
      </c>
      <c r="C31" s="1646" t="s">
        <v>2130</v>
      </c>
      <c r="D31" s="1837">
        <v>66038</v>
      </c>
      <c r="E31" s="1532">
        <f t="shared" si="2"/>
        <v>25000</v>
      </c>
      <c r="F31" s="1785">
        <f t="shared" si="3"/>
        <v>25000</v>
      </c>
      <c r="G31" s="1786">
        <f t="shared" si="4"/>
        <v>41038</v>
      </c>
    </row>
    <row r="32" spans="1:8">
      <c r="A32" s="1645" t="s">
        <v>2131</v>
      </c>
      <c r="B32" s="1971" t="s">
        <v>2205</v>
      </c>
      <c r="C32" s="1646" t="s">
        <v>2132</v>
      </c>
      <c r="D32" s="1837">
        <v>96975</v>
      </c>
      <c r="E32" s="1532">
        <f t="shared" si="2"/>
        <v>25000</v>
      </c>
      <c r="F32" s="1785">
        <f t="shared" si="3"/>
        <v>25000</v>
      </c>
      <c r="G32" s="1786">
        <f t="shared" si="4"/>
        <v>71975</v>
      </c>
    </row>
    <row r="33" spans="1:7">
      <c r="A33" s="1645" t="s">
        <v>2122</v>
      </c>
      <c r="B33" s="1839" t="s">
        <v>2123</v>
      </c>
      <c r="C33" s="1646" t="s">
        <v>2133</v>
      </c>
      <c r="D33" s="1837">
        <v>105689</v>
      </c>
      <c r="E33" s="1532">
        <f t="shared" si="2"/>
        <v>25000</v>
      </c>
      <c r="F33" s="1785">
        <f t="shared" si="3"/>
        <v>25000</v>
      </c>
      <c r="G33" s="1786">
        <f t="shared" si="4"/>
        <v>80689</v>
      </c>
    </row>
    <row r="34" spans="1:7">
      <c r="A34" s="1645" t="s">
        <v>2134</v>
      </c>
      <c r="B34" s="1971" t="s">
        <v>2207</v>
      </c>
      <c r="C34" s="1646" t="s">
        <v>2135</v>
      </c>
      <c r="D34" s="1837">
        <v>123700</v>
      </c>
      <c r="E34" s="1532">
        <f t="shared" si="2"/>
        <v>25000</v>
      </c>
      <c r="F34" s="1785">
        <f t="shared" si="3"/>
        <v>25000</v>
      </c>
      <c r="G34" s="1786">
        <f t="shared" si="4"/>
        <v>98700</v>
      </c>
    </row>
    <row r="35" spans="1:7">
      <c r="A35" s="1645" t="s">
        <v>2122</v>
      </c>
      <c r="B35" s="1839" t="s">
        <v>2123</v>
      </c>
      <c r="C35" s="1646" t="s">
        <v>2136</v>
      </c>
      <c r="D35" s="1837">
        <v>135348</v>
      </c>
      <c r="E35" s="1532">
        <f t="shared" si="2"/>
        <v>25000</v>
      </c>
      <c r="F35" s="1785">
        <f t="shared" si="3"/>
        <v>25000</v>
      </c>
      <c r="G35" s="1786">
        <f t="shared" si="4"/>
        <v>110348</v>
      </c>
    </row>
    <row r="36" spans="1:7">
      <c r="A36" s="1645" t="s">
        <v>2109</v>
      </c>
      <c r="B36" s="1839" t="s">
        <v>2110</v>
      </c>
      <c r="C36" s="1646" t="s">
        <v>2137</v>
      </c>
      <c r="D36" s="1837">
        <v>139072</v>
      </c>
      <c r="E36" s="1532">
        <f t="shared" si="2"/>
        <v>25000</v>
      </c>
      <c r="F36" s="1785">
        <f t="shared" si="3"/>
        <v>25000</v>
      </c>
      <c r="G36" s="1786">
        <f t="shared" si="4"/>
        <v>114072</v>
      </c>
    </row>
    <row r="37" spans="1:7">
      <c r="A37" s="1645" t="s">
        <v>2120</v>
      </c>
      <c r="B37" s="1971" t="s">
        <v>2207</v>
      </c>
      <c r="C37" s="1646" t="s">
        <v>2138</v>
      </c>
      <c r="D37" s="1837">
        <v>203219</v>
      </c>
      <c r="E37" s="1532">
        <f t="shared" si="2"/>
        <v>25000</v>
      </c>
      <c r="F37" s="1785">
        <f t="shared" si="3"/>
        <v>25000</v>
      </c>
      <c r="G37" s="1786">
        <f t="shared" si="4"/>
        <v>178219</v>
      </c>
    </row>
    <row r="38" spans="1:7">
      <c r="A38" s="1645"/>
      <c r="B38" s="1659"/>
      <c r="C38" s="1646"/>
      <c r="D38" s="1837"/>
      <c r="E38" s="1532">
        <f t="shared" si="2"/>
        <v>0</v>
      </c>
      <c r="F38" s="1785">
        <f t="shared" si="3"/>
        <v>0</v>
      </c>
      <c r="G38" s="1786">
        <f t="shared" si="4"/>
        <v>0</v>
      </c>
    </row>
    <row r="39" spans="1:7">
      <c r="A39" s="1645" t="s">
        <v>2134</v>
      </c>
      <c r="B39" s="1830" t="s">
        <v>2208</v>
      </c>
      <c r="C39" s="1646" t="s">
        <v>2139</v>
      </c>
      <c r="D39" s="1837">
        <v>277412</v>
      </c>
      <c r="E39" s="1532">
        <f t="shared" si="2"/>
        <v>25000</v>
      </c>
      <c r="F39" s="1785">
        <f t="shared" si="3"/>
        <v>25000</v>
      </c>
      <c r="G39" s="1786">
        <f t="shared" si="4"/>
        <v>252412</v>
      </c>
    </row>
    <row r="40" spans="1:7">
      <c r="A40" s="1645" t="s">
        <v>2122</v>
      </c>
      <c r="B40" s="1659" t="s">
        <v>2123</v>
      </c>
      <c r="C40" s="1646" t="s">
        <v>2140</v>
      </c>
      <c r="D40" s="1837">
        <v>429205</v>
      </c>
      <c r="E40" s="1532">
        <f t="shared" si="2"/>
        <v>25000</v>
      </c>
      <c r="F40" s="1785">
        <f t="shared" si="3"/>
        <v>25000</v>
      </c>
      <c r="G40" s="1786">
        <f t="shared" si="4"/>
        <v>404205</v>
      </c>
    </row>
    <row r="41" spans="1:7">
      <c r="A41" s="1645"/>
      <c r="B41" s="1659"/>
      <c r="C41" s="1646"/>
      <c r="D41" s="1837"/>
      <c r="E41" s="1532">
        <f t="shared" si="2"/>
        <v>0</v>
      </c>
      <c r="F41" s="1785">
        <f t="shared" si="3"/>
        <v>0</v>
      </c>
      <c r="G41" s="1786">
        <f t="shared" si="4"/>
        <v>0</v>
      </c>
    </row>
    <row r="42" spans="1:7">
      <c r="A42" s="1645" t="s">
        <v>2122</v>
      </c>
      <c r="B42" s="1659" t="s">
        <v>2123</v>
      </c>
      <c r="C42" s="1646" t="s">
        <v>2141</v>
      </c>
      <c r="D42" s="1837">
        <v>793243</v>
      </c>
      <c r="E42" s="1532">
        <f t="shared" si="2"/>
        <v>25000</v>
      </c>
      <c r="F42" s="1785">
        <f t="shared" si="3"/>
        <v>25000</v>
      </c>
      <c r="G42" s="1786">
        <f t="shared" si="4"/>
        <v>768243</v>
      </c>
    </row>
    <row r="43" spans="1:7">
      <c r="A43" s="1645" t="s">
        <v>2122</v>
      </c>
      <c r="B43" s="1659" t="s">
        <v>2123</v>
      </c>
      <c r="C43" s="1646" t="s">
        <v>2142</v>
      </c>
      <c r="D43" s="1837">
        <v>1222788</v>
      </c>
      <c r="E43" s="1532">
        <f t="shared" si="2"/>
        <v>25000</v>
      </c>
      <c r="F43" s="1785">
        <f t="shared" si="3"/>
        <v>25000</v>
      </c>
      <c r="G43" s="1786">
        <f t="shared" si="4"/>
        <v>1197788</v>
      </c>
    </row>
    <row r="44" spans="1:7">
      <c r="A44" s="1645" t="s">
        <v>2122</v>
      </c>
      <c r="B44" s="1830" t="s">
        <v>2123</v>
      </c>
      <c r="C44" s="1646" t="s">
        <v>2143</v>
      </c>
      <c r="D44" s="1837">
        <v>1722852</v>
      </c>
      <c r="E44" s="1532">
        <f t="shared" si="2"/>
        <v>25000</v>
      </c>
      <c r="F44" s="1785">
        <f t="shared" si="3"/>
        <v>25000</v>
      </c>
      <c r="G44" s="1786">
        <f t="shared" si="4"/>
        <v>1697852</v>
      </c>
    </row>
    <row r="45" spans="1:7">
      <c r="A45" s="1645"/>
      <c r="B45" s="1659"/>
      <c r="C45" s="1646"/>
      <c r="D45" s="1837"/>
      <c r="E45" s="1532">
        <f t="shared" si="2"/>
        <v>0</v>
      </c>
      <c r="F45" s="1785">
        <f t="shared" si="3"/>
        <v>0</v>
      </c>
      <c r="G45" s="1786">
        <f t="shared" si="4"/>
        <v>0</v>
      </c>
    </row>
    <row r="46" spans="1:7">
      <c r="A46" s="1645"/>
      <c r="B46" s="1659"/>
      <c r="C46" s="1646"/>
      <c r="D46" s="1837"/>
      <c r="E46" s="1532">
        <f t="shared" si="2"/>
        <v>0</v>
      </c>
      <c r="F46" s="1785">
        <f t="shared" si="3"/>
        <v>0</v>
      </c>
      <c r="G46" s="1786">
        <f t="shared" si="4"/>
        <v>0</v>
      </c>
    </row>
    <row r="47" spans="1:7">
      <c r="A47" s="1645"/>
      <c r="B47" s="1659"/>
      <c r="C47" s="1646"/>
      <c r="D47" s="1837"/>
      <c r="E47" s="1532">
        <f t="shared" si="2"/>
        <v>0</v>
      </c>
      <c r="F47" s="1785">
        <f t="shared" si="3"/>
        <v>0</v>
      </c>
      <c r="G47" s="1786">
        <f t="shared" si="4"/>
        <v>0</v>
      </c>
    </row>
    <row r="48" spans="1:7">
      <c r="A48" s="1645"/>
      <c r="B48" s="1659"/>
      <c r="C48" s="1646"/>
      <c r="D48" s="1837"/>
      <c r="E48" s="1532">
        <f t="shared" si="2"/>
        <v>0</v>
      </c>
      <c r="F48" s="1785">
        <f t="shared" si="3"/>
        <v>0</v>
      </c>
      <c r="G48" s="1786">
        <f t="shared" si="4"/>
        <v>0</v>
      </c>
    </row>
    <row r="49" spans="1:7">
      <c r="A49" s="1645"/>
      <c r="B49" s="1659"/>
      <c r="C49" s="1646"/>
      <c r="D49" s="1837"/>
      <c r="E49" s="1532">
        <f t="shared" si="2"/>
        <v>0</v>
      </c>
      <c r="F49" s="1785">
        <f t="shared" si="3"/>
        <v>0</v>
      </c>
      <c r="G49" s="1786">
        <f t="shared" si="4"/>
        <v>0</v>
      </c>
    </row>
    <row r="50" spans="1:7">
      <c r="A50" s="1645"/>
      <c r="B50" s="1659"/>
      <c r="C50" s="1646"/>
      <c r="D50" s="1837"/>
      <c r="E50" s="1532">
        <f t="shared" si="2"/>
        <v>0</v>
      </c>
      <c r="F50" s="1785">
        <f t="shared" si="3"/>
        <v>0</v>
      </c>
      <c r="G50" s="1786">
        <f t="shared" si="4"/>
        <v>0</v>
      </c>
    </row>
    <row r="51" spans="1:7">
      <c r="A51" s="1645"/>
      <c r="B51" s="1659"/>
      <c r="C51" s="1646"/>
      <c r="D51" s="1837"/>
      <c r="E51" s="1532">
        <f t="shared" si="2"/>
        <v>0</v>
      </c>
      <c r="F51" s="1785">
        <f t="shared" si="3"/>
        <v>0</v>
      </c>
      <c r="G51" s="1786">
        <f t="shared" si="4"/>
        <v>0</v>
      </c>
    </row>
    <row r="52" spans="1:7">
      <c r="A52" s="1645"/>
      <c r="B52" s="1659"/>
      <c r="C52" s="1646"/>
      <c r="D52" s="1837"/>
      <c r="E52" s="1532">
        <f t="shared" si="2"/>
        <v>0</v>
      </c>
      <c r="F52" s="1785">
        <f t="shared" si="3"/>
        <v>0</v>
      </c>
      <c r="G52" s="1786">
        <f t="shared" si="4"/>
        <v>0</v>
      </c>
    </row>
    <row r="53" spans="1:7">
      <c r="A53" s="1645"/>
      <c r="B53" s="1659"/>
      <c r="C53" s="1646"/>
      <c r="D53" s="1837"/>
      <c r="E53" s="1532">
        <f t="shared" si="2"/>
        <v>0</v>
      </c>
      <c r="F53" s="1785">
        <f t="shared" si="3"/>
        <v>0</v>
      </c>
      <c r="G53" s="1786">
        <f t="shared" si="4"/>
        <v>0</v>
      </c>
    </row>
    <row r="54" spans="1:7">
      <c r="A54" s="1645"/>
      <c r="B54" s="1659"/>
      <c r="C54" s="1646"/>
      <c r="D54" s="1837"/>
      <c r="E54" s="1532">
        <f t="shared" si="2"/>
        <v>0</v>
      </c>
      <c r="F54" s="1785">
        <f t="shared" si="3"/>
        <v>0</v>
      </c>
      <c r="G54" s="1786">
        <f t="shared" si="4"/>
        <v>0</v>
      </c>
    </row>
    <row r="55" spans="1:7">
      <c r="A55" s="1645"/>
      <c r="B55" s="1659"/>
      <c r="C55" s="1646"/>
      <c r="D55" s="1837"/>
      <c r="E55" s="1532">
        <f t="shared" si="2"/>
        <v>0</v>
      </c>
      <c r="F55" s="1785">
        <f t="shared" si="3"/>
        <v>0</v>
      </c>
      <c r="G55" s="1786">
        <f t="shared" si="4"/>
        <v>0</v>
      </c>
    </row>
    <row r="56" spans="1:7">
      <c r="A56" s="1645"/>
      <c r="B56" s="1659"/>
      <c r="C56" s="1646"/>
      <c r="D56" s="1837"/>
      <c r="E56" s="1532">
        <f t="shared" si="2"/>
        <v>0</v>
      </c>
      <c r="F56" s="1785">
        <f t="shared" si="3"/>
        <v>0</v>
      </c>
      <c r="G56" s="1786">
        <f t="shared" si="4"/>
        <v>0</v>
      </c>
    </row>
    <row r="57" spans="1:7">
      <c r="A57" s="1645"/>
      <c r="B57" s="1659"/>
      <c r="C57" s="1646"/>
      <c r="D57" s="1837"/>
      <c r="E57" s="1532">
        <f t="shared" si="2"/>
        <v>0</v>
      </c>
      <c r="F57" s="1785">
        <f t="shared" si="3"/>
        <v>0</v>
      </c>
      <c r="G57" s="1786">
        <f t="shared" si="4"/>
        <v>0</v>
      </c>
    </row>
    <row r="58" spans="1:7">
      <c r="A58" s="1645"/>
      <c r="B58" s="1659"/>
      <c r="C58" s="1646"/>
      <c r="D58" s="1837"/>
      <c r="E58" s="1532">
        <f t="shared" si="2"/>
        <v>0</v>
      </c>
      <c r="F58" s="1785">
        <f t="shared" si="3"/>
        <v>0</v>
      </c>
      <c r="G58" s="1786">
        <f t="shared" si="4"/>
        <v>0</v>
      </c>
    </row>
    <row r="59" spans="1:7">
      <c r="A59" s="1645"/>
      <c r="B59" s="1659"/>
      <c r="C59" s="1646"/>
      <c r="D59" s="1837"/>
      <c r="E59" s="1532">
        <f t="shared" si="2"/>
        <v>0</v>
      </c>
      <c r="F59" s="1785">
        <f t="shared" si="3"/>
        <v>0</v>
      </c>
      <c r="G59" s="1786">
        <f t="shared" si="4"/>
        <v>0</v>
      </c>
    </row>
    <row r="60" spans="1:7">
      <c r="A60" s="1645"/>
      <c r="B60" s="1659"/>
      <c r="C60" s="1646"/>
      <c r="D60" s="1837"/>
      <c r="E60" s="1532">
        <f t="shared" si="2"/>
        <v>0</v>
      </c>
      <c r="F60" s="1785">
        <f t="shared" si="3"/>
        <v>0</v>
      </c>
      <c r="G60" s="1786">
        <f t="shared" si="4"/>
        <v>0</v>
      </c>
    </row>
    <row r="61" spans="1:7">
      <c r="A61" s="1645"/>
      <c r="B61" s="1659"/>
      <c r="C61" s="1646"/>
      <c r="D61" s="1837"/>
      <c r="E61" s="1532">
        <f t="shared" si="2"/>
        <v>0</v>
      </c>
      <c r="F61" s="1785">
        <f t="shared" si="3"/>
        <v>0</v>
      </c>
      <c r="G61" s="1786">
        <f t="shared" si="4"/>
        <v>0</v>
      </c>
    </row>
    <row r="62" spans="1:7">
      <c r="A62" s="1645"/>
      <c r="B62" s="1659"/>
      <c r="C62" s="1646"/>
      <c r="D62" s="1837"/>
      <c r="E62" s="1532">
        <f t="shared" si="2"/>
        <v>0</v>
      </c>
      <c r="F62" s="1785">
        <f t="shared" si="3"/>
        <v>0</v>
      </c>
      <c r="G62" s="1786">
        <f t="shared" si="4"/>
        <v>0</v>
      </c>
    </row>
    <row r="63" spans="1:7">
      <c r="A63" s="1645"/>
      <c r="B63" s="1659"/>
      <c r="C63" s="1646"/>
      <c r="D63" s="1837"/>
      <c r="E63" s="1532">
        <f t="shared" si="2"/>
        <v>0</v>
      </c>
      <c r="F63" s="1785">
        <f t="shared" si="3"/>
        <v>0</v>
      </c>
      <c r="G63" s="1786">
        <f t="shared" si="4"/>
        <v>0</v>
      </c>
    </row>
    <row r="64" spans="1:7">
      <c r="A64" s="1647"/>
      <c r="B64" s="1659"/>
      <c r="C64" s="1648"/>
      <c r="D64" s="1837"/>
      <c r="E64" s="1532">
        <f t="shared" si="2"/>
        <v>0</v>
      </c>
      <c r="F64" s="1785">
        <f t="shared" si="3"/>
        <v>0</v>
      </c>
      <c r="G64" s="1786">
        <f t="shared" si="4"/>
        <v>0</v>
      </c>
    </row>
    <row r="65" spans="1:7">
      <c r="A65" s="1645"/>
      <c r="B65" s="1659"/>
      <c r="C65" s="1646"/>
      <c r="D65" s="1837"/>
      <c r="E65" s="1532">
        <f t="shared" si="2"/>
        <v>0</v>
      </c>
      <c r="F65" s="1785">
        <f t="shared" si="3"/>
        <v>0</v>
      </c>
      <c r="G65" s="1786">
        <f t="shared" si="4"/>
        <v>0</v>
      </c>
    </row>
    <row r="66" spans="1:7">
      <c r="A66" s="1645"/>
      <c r="B66" s="1659"/>
      <c r="C66" s="1646"/>
      <c r="D66" s="1837"/>
      <c r="E66" s="1532">
        <f t="shared" si="2"/>
        <v>0</v>
      </c>
      <c r="F66" s="1785">
        <f t="shared" si="3"/>
        <v>0</v>
      </c>
      <c r="G66" s="1786">
        <f t="shared" si="4"/>
        <v>0</v>
      </c>
    </row>
    <row r="67" spans="1:7">
      <c r="A67" s="1645"/>
      <c r="B67" s="1659"/>
      <c r="C67" s="1646"/>
      <c r="D67" s="1837"/>
      <c r="E67" s="1532">
        <f t="shared" si="2"/>
        <v>0</v>
      </c>
      <c r="F67" s="1785">
        <f t="shared" si="3"/>
        <v>0</v>
      </c>
      <c r="G67" s="1786">
        <f t="shared" si="4"/>
        <v>0</v>
      </c>
    </row>
    <row r="68" spans="1:7">
      <c r="A68" s="1645"/>
      <c r="B68" s="1659"/>
      <c r="C68" s="1646"/>
      <c r="D68" s="1837"/>
      <c r="E68" s="1532">
        <f t="shared" si="2"/>
        <v>0</v>
      </c>
      <c r="F68" s="1785">
        <f t="shared" si="3"/>
        <v>0</v>
      </c>
      <c r="G68" s="1786">
        <f t="shared" si="4"/>
        <v>0</v>
      </c>
    </row>
    <row r="69" spans="1:7">
      <c r="A69" s="1645"/>
      <c r="B69" s="1659"/>
      <c r="C69" s="1646"/>
      <c r="D69" s="1837"/>
      <c r="E69" s="1532">
        <f t="shared" si="2"/>
        <v>0</v>
      </c>
      <c r="F69" s="1785">
        <f t="shared" si="3"/>
        <v>0</v>
      </c>
      <c r="G69" s="1786">
        <f t="shared" si="4"/>
        <v>0</v>
      </c>
    </row>
    <row r="70" spans="1:7">
      <c r="A70" s="1645"/>
      <c r="B70" s="1659"/>
      <c r="C70" s="1646"/>
      <c r="D70" s="1837"/>
      <c r="E70" s="1532">
        <f t="shared" si="2"/>
        <v>0</v>
      </c>
      <c r="F70" s="1785">
        <f t="shared" si="3"/>
        <v>0</v>
      </c>
      <c r="G70" s="1786">
        <f t="shared" si="4"/>
        <v>0</v>
      </c>
    </row>
    <row r="71" spans="1:7">
      <c r="A71" s="1645"/>
      <c r="B71" s="1659"/>
      <c r="C71" s="1646"/>
      <c r="D71" s="1837"/>
      <c r="E71" s="1532">
        <f t="shared" si="2"/>
        <v>0</v>
      </c>
      <c r="F71" s="1785">
        <f t="shared" si="3"/>
        <v>0</v>
      </c>
      <c r="G71" s="1786">
        <f t="shared" si="4"/>
        <v>0</v>
      </c>
    </row>
    <row r="72" spans="1:7">
      <c r="A72" s="1645"/>
      <c r="B72" s="1659"/>
      <c r="C72" s="1646"/>
      <c r="D72" s="1837"/>
      <c r="E72" s="1532">
        <f t="shared" si="2"/>
        <v>0</v>
      </c>
      <c r="F72" s="1785">
        <f t="shared" si="3"/>
        <v>0</v>
      </c>
      <c r="G72" s="1786">
        <f t="shared" si="4"/>
        <v>0</v>
      </c>
    </row>
    <row r="73" spans="1:7">
      <c r="A73" s="1645"/>
      <c r="B73" s="1659"/>
      <c r="C73" s="1646"/>
      <c r="D73" s="1837"/>
      <c r="E73" s="1532">
        <f t="shared" ref="E73:E84" si="5">IF(D73&lt;=25000,D73,IF(D73&gt;25000,25000,0))</f>
        <v>0</v>
      </c>
      <c r="F73" s="178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6">
        <f t="shared" ref="G73:G84" si="7">IF(F73=0,0,D73-F73)</f>
        <v>0</v>
      </c>
    </row>
    <row r="74" spans="1:7">
      <c r="A74" s="1645"/>
      <c r="B74" s="1659"/>
      <c r="C74" s="1646"/>
      <c r="D74" s="1837"/>
      <c r="E74" s="1532">
        <f t="shared" si="5"/>
        <v>0</v>
      </c>
      <c r="F74" s="1785">
        <f t="shared" si="6"/>
        <v>0</v>
      </c>
      <c r="G74" s="1786">
        <f t="shared" si="7"/>
        <v>0</v>
      </c>
    </row>
    <row r="75" spans="1:7">
      <c r="A75" s="1645"/>
      <c r="B75" s="1659"/>
      <c r="C75" s="1646"/>
      <c r="D75" s="1837"/>
      <c r="E75" s="1532">
        <f t="shared" si="5"/>
        <v>0</v>
      </c>
      <c r="F75" s="1785">
        <f t="shared" si="6"/>
        <v>0</v>
      </c>
      <c r="G75" s="1786">
        <f t="shared" si="7"/>
        <v>0</v>
      </c>
    </row>
    <row r="76" spans="1:7">
      <c r="A76" s="1645"/>
      <c r="B76" s="1659"/>
      <c r="C76" s="1646"/>
      <c r="D76" s="1837"/>
      <c r="E76" s="1532">
        <f t="shared" si="5"/>
        <v>0</v>
      </c>
      <c r="F76" s="1785">
        <f t="shared" si="6"/>
        <v>0</v>
      </c>
      <c r="G76" s="1786">
        <f t="shared" si="7"/>
        <v>0</v>
      </c>
    </row>
    <row r="77" spans="1:7">
      <c r="A77" s="1645"/>
      <c r="B77" s="1659"/>
      <c r="C77" s="1646"/>
      <c r="D77" s="1837"/>
      <c r="E77" s="1532">
        <f t="shared" si="5"/>
        <v>0</v>
      </c>
      <c r="F77" s="1785">
        <f t="shared" si="6"/>
        <v>0</v>
      </c>
      <c r="G77" s="1786">
        <f t="shared" si="7"/>
        <v>0</v>
      </c>
    </row>
    <row r="78" spans="1:7">
      <c r="A78" s="1645"/>
      <c r="B78" s="1659"/>
      <c r="C78" s="1646"/>
      <c r="D78" s="1837"/>
      <c r="E78" s="1532">
        <f t="shared" si="5"/>
        <v>0</v>
      </c>
      <c r="F78" s="1785">
        <f t="shared" si="6"/>
        <v>0</v>
      </c>
      <c r="G78" s="1786">
        <f t="shared" si="7"/>
        <v>0</v>
      </c>
    </row>
    <row r="79" spans="1:7">
      <c r="A79" s="1645"/>
      <c r="B79" s="1659"/>
      <c r="C79" s="1646"/>
      <c r="D79" s="1837"/>
      <c r="E79" s="1532">
        <f t="shared" si="5"/>
        <v>0</v>
      </c>
      <c r="F79" s="1785">
        <f t="shared" si="6"/>
        <v>0</v>
      </c>
      <c r="G79" s="1786">
        <f t="shared" si="7"/>
        <v>0</v>
      </c>
    </row>
    <row r="80" spans="1:7">
      <c r="A80" s="1645"/>
      <c r="B80" s="1659"/>
      <c r="C80" s="1646"/>
      <c r="D80" s="1837"/>
      <c r="E80" s="1532">
        <f t="shared" si="5"/>
        <v>0</v>
      </c>
      <c r="F80" s="1785">
        <f t="shared" si="6"/>
        <v>0</v>
      </c>
      <c r="G80" s="1786">
        <f t="shared" si="7"/>
        <v>0</v>
      </c>
    </row>
    <row r="81" spans="1:7">
      <c r="A81" s="1645"/>
      <c r="B81" s="1659"/>
      <c r="C81" s="1646"/>
      <c r="D81" s="1837"/>
      <c r="E81" s="1532">
        <f t="shared" si="5"/>
        <v>0</v>
      </c>
      <c r="F81" s="1785">
        <f t="shared" si="6"/>
        <v>0</v>
      </c>
      <c r="G81" s="1786">
        <f t="shared" si="7"/>
        <v>0</v>
      </c>
    </row>
    <row r="82" spans="1:7">
      <c r="A82" s="1645"/>
      <c r="B82" s="1659"/>
      <c r="C82" s="1646"/>
      <c r="D82" s="1837"/>
      <c r="E82" s="1532">
        <f t="shared" si="5"/>
        <v>0</v>
      </c>
      <c r="F82" s="1785">
        <f t="shared" si="6"/>
        <v>0</v>
      </c>
      <c r="G82" s="1786">
        <f t="shared" si="7"/>
        <v>0</v>
      </c>
    </row>
    <row r="83" spans="1:7">
      <c r="A83" s="1645"/>
      <c r="B83" s="1659"/>
      <c r="C83" s="1646"/>
      <c r="D83" s="1837"/>
      <c r="E83" s="1532">
        <f t="shared" si="5"/>
        <v>0</v>
      </c>
      <c r="F83" s="1785">
        <f t="shared" si="6"/>
        <v>0</v>
      </c>
      <c r="G83" s="1786">
        <f t="shared" si="7"/>
        <v>0</v>
      </c>
    </row>
    <row r="84" spans="1:7">
      <c r="A84" s="1645"/>
      <c r="B84" s="1659"/>
      <c r="C84" s="1646"/>
      <c r="D84" s="1837"/>
      <c r="E84" s="1532">
        <f t="shared" si="5"/>
        <v>0</v>
      </c>
      <c r="F84" s="1785">
        <f t="shared" si="6"/>
        <v>0</v>
      </c>
      <c r="G84" s="1786">
        <f t="shared" si="7"/>
        <v>0</v>
      </c>
    </row>
    <row r="85" spans="1:7">
      <c r="A85" s="1645"/>
      <c r="B85" s="1659"/>
      <c r="C85" s="1646"/>
      <c r="D85" s="1837"/>
      <c r="E85" s="1532">
        <f t="shared" si="2"/>
        <v>0</v>
      </c>
      <c r="F85" s="1785">
        <f t="shared" si="3"/>
        <v>0</v>
      </c>
      <c r="G85" s="1786">
        <f t="shared" si="4"/>
        <v>0</v>
      </c>
    </row>
    <row r="86" spans="1:7">
      <c r="A86" s="1645"/>
      <c r="B86" s="1659"/>
      <c r="C86" s="1646"/>
      <c r="D86" s="1837"/>
      <c r="E86" s="1532">
        <f t="shared" si="2"/>
        <v>0</v>
      </c>
      <c r="F86" s="1785">
        <f t="shared" si="3"/>
        <v>0</v>
      </c>
      <c r="G86" s="1786">
        <f t="shared" si="4"/>
        <v>0</v>
      </c>
    </row>
    <row r="87" spans="1:7">
      <c r="A87" s="1645"/>
      <c r="B87" s="1659"/>
      <c r="C87" s="1646"/>
      <c r="D87" s="1837"/>
      <c r="E87" s="1532">
        <f t="shared" si="2"/>
        <v>0</v>
      </c>
      <c r="F87" s="1785">
        <f t="shared" si="3"/>
        <v>0</v>
      </c>
      <c r="G87" s="1786">
        <f t="shared" si="4"/>
        <v>0</v>
      </c>
    </row>
    <row r="88" spans="1:7">
      <c r="A88" s="1645"/>
      <c r="B88" s="1659"/>
      <c r="C88" s="1646"/>
      <c r="D88" s="1837"/>
      <c r="E88" s="1532">
        <f t="shared" si="2"/>
        <v>0</v>
      </c>
      <c r="F88" s="1785">
        <f t="shared" si="3"/>
        <v>0</v>
      </c>
      <c r="G88" s="1786">
        <f t="shared" si="4"/>
        <v>0</v>
      </c>
    </row>
    <row r="89" spans="1:7">
      <c r="A89" s="1645"/>
      <c r="B89" s="1659"/>
      <c r="C89" s="1646"/>
      <c r="D89" s="1837"/>
      <c r="E89" s="1532">
        <f t="shared" si="2"/>
        <v>0</v>
      </c>
      <c r="F89" s="1785">
        <f t="shared" si="3"/>
        <v>0</v>
      </c>
      <c r="G89" s="1786">
        <f t="shared" si="4"/>
        <v>0</v>
      </c>
    </row>
    <row r="90" spans="1:7">
      <c r="A90" s="1645"/>
      <c r="B90" s="1659"/>
      <c r="C90" s="1646"/>
      <c r="D90" s="1837"/>
      <c r="E90" s="1532">
        <f t="shared" si="2"/>
        <v>0</v>
      </c>
      <c r="F90" s="1785">
        <f t="shared" si="3"/>
        <v>0</v>
      </c>
      <c r="G90" s="1786">
        <f t="shared" si="4"/>
        <v>0</v>
      </c>
    </row>
    <row r="91" spans="1:7">
      <c r="A91" s="1645"/>
      <c r="B91" s="1659"/>
      <c r="C91" s="1646"/>
      <c r="D91" s="1837"/>
      <c r="E91" s="1532">
        <f t="shared" si="2"/>
        <v>0</v>
      </c>
      <c r="F91" s="1785">
        <f t="shared" si="3"/>
        <v>0</v>
      </c>
      <c r="G91" s="1786">
        <f t="shared" si="4"/>
        <v>0</v>
      </c>
    </row>
    <row r="92" spans="1:7">
      <c r="A92" s="1645"/>
      <c r="B92" s="1659"/>
      <c r="C92" s="1646"/>
      <c r="D92" s="1837"/>
      <c r="E92" s="1532">
        <f t="shared" si="2"/>
        <v>0</v>
      </c>
      <c r="F92" s="1785">
        <f t="shared" si="3"/>
        <v>0</v>
      </c>
      <c r="G92" s="1786">
        <f t="shared" si="4"/>
        <v>0</v>
      </c>
    </row>
    <row r="93" spans="1:7">
      <c r="A93" s="1645"/>
      <c r="B93" s="1659"/>
      <c r="C93" s="1646"/>
      <c r="D93" s="1837"/>
      <c r="E93" s="1532">
        <f t="shared" ref="E93" si="8">IF(D93&lt;=25000,D93,IF(D93&gt;25000,25000,0))</f>
        <v>0</v>
      </c>
      <c r="F93" s="178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6">
        <f t="shared" ref="G93" si="10">IF(F93=0,0,D93-F93)</f>
        <v>0</v>
      </c>
    </row>
    <row r="94" spans="1:7">
      <c r="A94" s="1645"/>
      <c r="B94" s="1659"/>
      <c r="C94" s="1646"/>
      <c r="D94" s="1837"/>
      <c r="E94" s="1532">
        <f t="shared" si="2"/>
        <v>0</v>
      </c>
      <c r="F94" s="1785">
        <f t="shared" si="3"/>
        <v>0</v>
      </c>
      <c r="G94" s="1786">
        <f t="shared" si="4"/>
        <v>0</v>
      </c>
    </row>
    <row r="95" spans="1:7">
      <c r="A95" s="1645"/>
      <c r="B95" s="1659"/>
      <c r="C95" s="1646"/>
      <c r="D95" s="1837"/>
      <c r="E95" s="1532">
        <f t="shared" ref="E95:E98" si="11">IF(D95&lt;=25000,D95,IF(D95&gt;25000,25000,0))</f>
        <v>0</v>
      </c>
      <c r="F95" s="178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6">
        <f t="shared" ref="G95:G98" si="13">IF(F95=0,0,D95-F95)</f>
        <v>0</v>
      </c>
    </row>
    <row r="96" spans="1:7">
      <c r="A96" s="1645"/>
      <c r="B96" s="1659"/>
      <c r="C96" s="1646"/>
      <c r="D96" s="1837"/>
      <c r="E96" s="1532">
        <f t="shared" si="11"/>
        <v>0</v>
      </c>
      <c r="F96" s="1785">
        <f t="shared" si="12"/>
        <v>0</v>
      </c>
      <c r="G96" s="1786">
        <f t="shared" si="13"/>
        <v>0</v>
      </c>
    </row>
    <row r="97" spans="1:7">
      <c r="A97" s="1645"/>
      <c r="B97" s="1659"/>
      <c r="C97" s="1646"/>
      <c r="D97" s="1837"/>
      <c r="E97" s="1532">
        <f t="shared" si="11"/>
        <v>0</v>
      </c>
      <c r="F97" s="1785">
        <f t="shared" si="12"/>
        <v>0</v>
      </c>
      <c r="G97" s="1786">
        <f t="shared" si="13"/>
        <v>0</v>
      </c>
    </row>
    <row r="98" spans="1:7">
      <c r="A98" s="1645"/>
      <c r="B98" s="1659"/>
      <c r="C98" s="1646"/>
      <c r="D98" s="1837"/>
      <c r="E98" s="1532">
        <f t="shared" si="11"/>
        <v>0</v>
      </c>
      <c r="F98" s="1785">
        <f t="shared" si="12"/>
        <v>0</v>
      </c>
      <c r="G98" s="1786">
        <f t="shared" si="13"/>
        <v>0</v>
      </c>
    </row>
    <row r="99" spans="1:7">
      <c r="A99" s="1645"/>
      <c r="B99" s="1659"/>
      <c r="C99" s="1646"/>
      <c r="D99" s="1837"/>
      <c r="E99" s="1532">
        <f t="shared" ref="E99" si="14">IF(D99&lt;=25000,D99,IF(D99&gt;25000,25000,0))</f>
        <v>0</v>
      </c>
      <c r="F99" s="178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6">
        <f t="shared" ref="G99" si="16">IF(F99=0,0,D99-F99)</f>
        <v>0</v>
      </c>
    </row>
    <row r="100" spans="1:7">
      <c r="A100" s="1645"/>
      <c r="B100" s="1659"/>
      <c r="C100" s="1646"/>
      <c r="D100" s="1837"/>
      <c r="E100" s="1532">
        <f t="shared" ref="E100:E112" si="17">IF(D100&lt;=25000,D100,IF(D100&gt;25000,25000,0))</f>
        <v>0</v>
      </c>
      <c r="F100" s="178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6">
        <f t="shared" ref="G100:G112" si="19">IF(F100=0,0,D100-F100)</f>
        <v>0</v>
      </c>
    </row>
    <row r="101" spans="1:7">
      <c r="A101" s="1645"/>
      <c r="B101" s="1659"/>
      <c r="C101" s="1646"/>
      <c r="D101" s="1837"/>
      <c r="E101" s="1532">
        <f t="shared" si="17"/>
        <v>0</v>
      </c>
      <c r="F101" s="1785">
        <f t="shared" si="18"/>
        <v>0</v>
      </c>
      <c r="G101" s="1786">
        <f t="shared" si="19"/>
        <v>0</v>
      </c>
    </row>
    <row r="102" spans="1:7">
      <c r="A102" s="1645"/>
      <c r="B102" s="1659"/>
      <c r="C102" s="1646"/>
      <c r="D102" s="1837"/>
      <c r="E102" s="1532">
        <f t="shared" si="17"/>
        <v>0</v>
      </c>
      <c r="F102" s="1785">
        <f t="shared" si="18"/>
        <v>0</v>
      </c>
      <c r="G102" s="1786">
        <f t="shared" si="19"/>
        <v>0</v>
      </c>
    </row>
    <row r="103" spans="1:7">
      <c r="A103" s="1645"/>
      <c r="B103" s="1659"/>
      <c r="C103" s="1646"/>
      <c r="D103" s="1837"/>
      <c r="E103" s="1532">
        <f t="shared" si="17"/>
        <v>0</v>
      </c>
      <c r="F103" s="1785">
        <f t="shared" si="18"/>
        <v>0</v>
      </c>
      <c r="G103" s="1786">
        <f t="shared" si="19"/>
        <v>0</v>
      </c>
    </row>
    <row r="104" spans="1:7">
      <c r="A104" s="1645"/>
      <c r="B104" s="1659"/>
      <c r="C104" s="1646"/>
      <c r="D104" s="1837"/>
      <c r="E104" s="1532">
        <f t="shared" si="17"/>
        <v>0</v>
      </c>
      <c r="F104" s="1785">
        <f t="shared" si="18"/>
        <v>0</v>
      </c>
      <c r="G104" s="1786">
        <f t="shared" si="19"/>
        <v>0</v>
      </c>
    </row>
    <row r="105" spans="1:7">
      <c r="A105" s="1645"/>
      <c r="B105" s="1659"/>
      <c r="C105" s="1646"/>
      <c r="D105" s="1837"/>
      <c r="E105" s="1532">
        <f t="shared" si="17"/>
        <v>0</v>
      </c>
      <c r="F105" s="1785">
        <f t="shared" si="18"/>
        <v>0</v>
      </c>
      <c r="G105" s="1786">
        <f t="shared" si="19"/>
        <v>0</v>
      </c>
    </row>
    <row r="106" spans="1:7">
      <c r="A106" s="1645"/>
      <c r="B106" s="1659"/>
      <c r="C106" s="1646"/>
      <c r="D106" s="1837"/>
      <c r="E106" s="1532">
        <f t="shared" si="17"/>
        <v>0</v>
      </c>
      <c r="F106" s="1785">
        <f t="shared" si="18"/>
        <v>0</v>
      </c>
      <c r="G106" s="1786">
        <f t="shared" si="19"/>
        <v>0</v>
      </c>
    </row>
    <row r="107" spans="1:7">
      <c r="A107" s="1645"/>
      <c r="B107" s="1659"/>
      <c r="C107" s="1646"/>
      <c r="D107" s="1837"/>
      <c r="E107" s="1532">
        <f t="shared" si="17"/>
        <v>0</v>
      </c>
      <c r="F107" s="1785">
        <f t="shared" si="18"/>
        <v>0</v>
      </c>
      <c r="G107" s="1786">
        <f t="shared" si="19"/>
        <v>0</v>
      </c>
    </row>
    <row r="108" spans="1:7">
      <c r="A108" s="1645"/>
      <c r="B108" s="1659"/>
      <c r="C108" s="1646"/>
      <c r="D108" s="1837"/>
      <c r="E108" s="1532">
        <f t="shared" si="17"/>
        <v>0</v>
      </c>
      <c r="F108" s="1785">
        <f t="shared" si="18"/>
        <v>0</v>
      </c>
      <c r="G108" s="1786">
        <f t="shared" si="19"/>
        <v>0</v>
      </c>
    </row>
    <row r="109" spans="1:7">
      <c r="A109" s="1645"/>
      <c r="B109" s="1659"/>
      <c r="C109" s="1646"/>
      <c r="D109" s="1837"/>
      <c r="E109" s="1532">
        <f t="shared" si="17"/>
        <v>0</v>
      </c>
      <c r="F109" s="1785">
        <f t="shared" si="18"/>
        <v>0</v>
      </c>
      <c r="G109" s="1786">
        <f t="shared" si="19"/>
        <v>0</v>
      </c>
    </row>
    <row r="110" spans="1:7">
      <c r="A110" s="1645"/>
      <c r="B110" s="1659"/>
      <c r="C110" s="1646"/>
      <c r="D110" s="1837"/>
      <c r="E110" s="1532">
        <f t="shared" si="17"/>
        <v>0</v>
      </c>
      <c r="F110" s="1785">
        <f t="shared" si="18"/>
        <v>0</v>
      </c>
      <c r="G110" s="1786">
        <f t="shared" si="19"/>
        <v>0</v>
      </c>
    </row>
    <row r="111" spans="1:7">
      <c r="A111" s="1645"/>
      <c r="B111" s="1659"/>
      <c r="C111" s="1646"/>
      <c r="D111" s="1837"/>
      <c r="E111" s="1532">
        <f t="shared" si="17"/>
        <v>0</v>
      </c>
      <c r="F111" s="1785">
        <f t="shared" si="18"/>
        <v>0</v>
      </c>
      <c r="G111" s="1786">
        <f t="shared" si="19"/>
        <v>0</v>
      </c>
    </row>
    <row r="112" spans="1:7">
      <c r="A112" s="1645"/>
      <c r="B112" s="1659"/>
      <c r="C112" s="1646"/>
      <c r="D112" s="1837"/>
      <c r="E112" s="1532">
        <f t="shared" si="17"/>
        <v>0</v>
      </c>
      <c r="F112" s="1785">
        <f t="shared" si="18"/>
        <v>0</v>
      </c>
      <c r="G112" s="1786">
        <f t="shared" si="19"/>
        <v>0</v>
      </c>
    </row>
    <row r="113" spans="1:7">
      <c r="A113" s="1645"/>
      <c r="B113" s="1659"/>
      <c r="C113" s="1646"/>
      <c r="D113" s="1837"/>
      <c r="E113" s="1532">
        <f t="shared" ref="E113:E125" si="20">IF(D113&lt;=25000,D113,IF(D113&gt;25000,25000,0))</f>
        <v>0</v>
      </c>
      <c r="F113" s="178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6">
        <f t="shared" ref="G113:G125" si="22">IF(F113=0,0,D113-F113)</f>
        <v>0</v>
      </c>
    </row>
    <row r="114" spans="1:7">
      <c r="A114" s="1645"/>
      <c r="B114" s="1659"/>
      <c r="C114" s="1646"/>
      <c r="D114" s="1837"/>
      <c r="E114" s="1532">
        <f t="shared" si="20"/>
        <v>0</v>
      </c>
      <c r="F114" s="1785">
        <f t="shared" si="21"/>
        <v>0</v>
      </c>
      <c r="G114" s="1786">
        <f t="shared" si="22"/>
        <v>0</v>
      </c>
    </row>
    <row r="115" spans="1:7">
      <c r="A115" s="1645"/>
      <c r="B115" s="1659"/>
      <c r="C115" s="1646"/>
      <c r="D115" s="1837"/>
      <c r="E115" s="1532">
        <f t="shared" si="20"/>
        <v>0</v>
      </c>
      <c r="F115" s="1785">
        <f t="shared" si="21"/>
        <v>0</v>
      </c>
      <c r="G115" s="1786">
        <f t="shared" si="22"/>
        <v>0</v>
      </c>
    </row>
    <row r="116" spans="1:7">
      <c r="A116" s="1645"/>
      <c r="B116" s="1659"/>
      <c r="C116" s="1646"/>
      <c r="D116" s="1837"/>
      <c r="E116" s="1532">
        <f t="shared" si="20"/>
        <v>0</v>
      </c>
      <c r="F116" s="1785">
        <f t="shared" si="21"/>
        <v>0</v>
      </c>
      <c r="G116" s="1786">
        <f t="shared" si="22"/>
        <v>0</v>
      </c>
    </row>
    <row r="117" spans="1:7">
      <c r="A117" s="1645"/>
      <c r="B117" s="1659"/>
      <c r="C117" s="1646"/>
      <c r="D117" s="1837"/>
      <c r="E117" s="1532">
        <f t="shared" si="20"/>
        <v>0</v>
      </c>
      <c r="F117" s="1785">
        <f t="shared" si="21"/>
        <v>0</v>
      </c>
      <c r="G117" s="1786">
        <f t="shared" si="22"/>
        <v>0</v>
      </c>
    </row>
    <row r="118" spans="1:7">
      <c r="A118" s="1645"/>
      <c r="B118" s="1659"/>
      <c r="C118" s="1646"/>
      <c r="D118" s="1837"/>
      <c r="E118" s="1532">
        <f t="shared" si="20"/>
        <v>0</v>
      </c>
      <c r="F118" s="1785">
        <f t="shared" si="21"/>
        <v>0</v>
      </c>
      <c r="G118" s="1786">
        <f t="shared" si="22"/>
        <v>0</v>
      </c>
    </row>
    <row r="119" spans="1:7">
      <c r="A119" s="1645"/>
      <c r="B119" s="1659"/>
      <c r="C119" s="1646"/>
      <c r="D119" s="1837"/>
      <c r="E119" s="1532">
        <f t="shared" si="20"/>
        <v>0</v>
      </c>
      <c r="F119" s="1785">
        <f t="shared" si="21"/>
        <v>0</v>
      </c>
      <c r="G119" s="1786">
        <f t="shared" si="22"/>
        <v>0</v>
      </c>
    </row>
    <row r="120" spans="1:7">
      <c r="A120" s="1645"/>
      <c r="B120" s="1659"/>
      <c r="C120" s="1646"/>
      <c r="D120" s="1837"/>
      <c r="E120" s="1532">
        <f t="shared" si="20"/>
        <v>0</v>
      </c>
      <c r="F120" s="1785">
        <f t="shared" si="21"/>
        <v>0</v>
      </c>
      <c r="G120" s="1786">
        <f t="shared" si="22"/>
        <v>0</v>
      </c>
    </row>
    <row r="121" spans="1:7">
      <c r="A121" s="1645"/>
      <c r="B121" s="1659"/>
      <c r="C121" s="1646"/>
      <c r="D121" s="1837"/>
      <c r="E121" s="1532">
        <f t="shared" si="20"/>
        <v>0</v>
      </c>
      <c r="F121" s="1785">
        <f t="shared" si="21"/>
        <v>0</v>
      </c>
      <c r="G121" s="1786">
        <f t="shared" si="22"/>
        <v>0</v>
      </c>
    </row>
    <row r="122" spans="1:7">
      <c r="A122" s="1645"/>
      <c r="B122" s="1659"/>
      <c r="C122" s="1646"/>
      <c r="D122" s="1837"/>
      <c r="E122" s="1532">
        <f t="shared" si="20"/>
        <v>0</v>
      </c>
      <c r="F122" s="1785">
        <f t="shared" si="21"/>
        <v>0</v>
      </c>
      <c r="G122" s="1786">
        <f t="shared" si="22"/>
        <v>0</v>
      </c>
    </row>
    <row r="123" spans="1:7">
      <c r="A123" s="1645"/>
      <c r="B123" s="1659"/>
      <c r="C123" s="1646"/>
      <c r="D123" s="1837"/>
      <c r="E123" s="1532">
        <f t="shared" si="20"/>
        <v>0</v>
      </c>
      <c r="F123" s="1785">
        <f t="shared" si="21"/>
        <v>0</v>
      </c>
      <c r="G123" s="1786">
        <f t="shared" si="22"/>
        <v>0</v>
      </c>
    </row>
    <row r="124" spans="1:7">
      <c r="A124" s="1645"/>
      <c r="B124" s="1659"/>
      <c r="C124" s="1646"/>
      <c r="D124" s="1837"/>
      <c r="E124" s="1532">
        <f t="shared" si="20"/>
        <v>0</v>
      </c>
      <c r="F124" s="1785">
        <f t="shared" si="21"/>
        <v>0</v>
      </c>
      <c r="G124" s="1786">
        <f t="shared" si="22"/>
        <v>0</v>
      </c>
    </row>
    <row r="125" spans="1:7">
      <c r="A125" s="1645"/>
      <c r="B125" s="1659"/>
      <c r="C125" s="1646"/>
      <c r="D125" s="1837"/>
      <c r="E125" s="1532">
        <f t="shared" si="20"/>
        <v>0</v>
      </c>
      <c r="F125" s="1785">
        <f t="shared" si="21"/>
        <v>0</v>
      </c>
      <c r="G125" s="1786">
        <f t="shared" si="22"/>
        <v>0</v>
      </c>
    </row>
    <row r="126" spans="1:7">
      <c r="A126" s="1645"/>
      <c r="B126" s="1659"/>
      <c r="C126" s="1646"/>
      <c r="D126" s="1837"/>
      <c r="E126" s="1532">
        <f t="shared" ref="E126:E134" si="23">IF(D126&lt;=25000,D126,IF(D126&gt;25000,25000,0))</f>
        <v>0</v>
      </c>
      <c r="F126" s="178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6">
        <f t="shared" ref="G126:G134" si="25">IF(F126=0,0,D126-F126)</f>
        <v>0</v>
      </c>
    </row>
    <row r="127" spans="1:7">
      <c r="A127" s="1645"/>
      <c r="B127" s="1659"/>
      <c r="C127" s="1646"/>
      <c r="D127" s="1837"/>
      <c r="E127" s="1532">
        <f t="shared" si="23"/>
        <v>0</v>
      </c>
      <c r="F127" s="1785">
        <f t="shared" si="24"/>
        <v>0</v>
      </c>
      <c r="G127" s="1786">
        <f t="shared" si="25"/>
        <v>0</v>
      </c>
    </row>
    <row r="128" spans="1:7">
      <c r="A128" s="1645"/>
      <c r="B128" s="1659"/>
      <c r="C128" s="1646"/>
      <c r="D128" s="1837"/>
      <c r="E128" s="1532">
        <f t="shared" si="23"/>
        <v>0</v>
      </c>
      <c r="F128" s="1785">
        <f t="shared" si="24"/>
        <v>0</v>
      </c>
      <c r="G128" s="1786">
        <f t="shared" si="25"/>
        <v>0</v>
      </c>
    </row>
    <row r="129" spans="1:7">
      <c r="A129" s="1645"/>
      <c r="B129" s="1659"/>
      <c r="C129" s="1646"/>
      <c r="D129" s="1837"/>
      <c r="E129" s="1532">
        <f t="shared" si="23"/>
        <v>0</v>
      </c>
      <c r="F129" s="1785">
        <f t="shared" si="24"/>
        <v>0</v>
      </c>
      <c r="G129" s="1786">
        <f t="shared" si="25"/>
        <v>0</v>
      </c>
    </row>
    <row r="130" spans="1:7">
      <c r="A130" s="1645"/>
      <c r="B130" s="1659"/>
      <c r="C130" s="1646"/>
      <c r="D130" s="1837"/>
      <c r="E130" s="1532">
        <f t="shared" si="23"/>
        <v>0</v>
      </c>
      <c r="F130" s="1785">
        <f t="shared" si="24"/>
        <v>0</v>
      </c>
      <c r="G130" s="1786">
        <f t="shared" si="25"/>
        <v>0</v>
      </c>
    </row>
    <row r="131" spans="1:7">
      <c r="A131" s="1645"/>
      <c r="B131" s="1830"/>
      <c r="C131" s="1646"/>
      <c r="D131" s="1837"/>
      <c r="E131" s="1532">
        <f t="shared" si="23"/>
        <v>0</v>
      </c>
      <c r="F131" s="1785">
        <f t="shared" si="24"/>
        <v>0</v>
      </c>
      <c r="G131" s="1786">
        <f t="shared" si="25"/>
        <v>0</v>
      </c>
    </row>
    <row r="132" spans="1:7">
      <c r="A132" s="1645"/>
      <c r="B132" s="1830"/>
      <c r="C132" s="1646"/>
      <c r="D132" s="1837"/>
      <c r="E132" s="1532">
        <f t="shared" si="23"/>
        <v>0</v>
      </c>
      <c r="F132" s="1785">
        <f t="shared" si="24"/>
        <v>0</v>
      </c>
      <c r="G132" s="1786">
        <f t="shared" si="25"/>
        <v>0</v>
      </c>
    </row>
    <row r="133" spans="1:7">
      <c r="A133" s="1645"/>
      <c r="B133" s="1659"/>
      <c r="C133" s="1646"/>
      <c r="D133" s="1837"/>
      <c r="E133" s="1532">
        <f t="shared" si="23"/>
        <v>0</v>
      </c>
      <c r="F133" s="1785">
        <f t="shared" si="24"/>
        <v>0</v>
      </c>
      <c r="G133" s="1786">
        <f t="shared" si="25"/>
        <v>0</v>
      </c>
    </row>
    <row r="134" spans="1:7">
      <c r="A134" s="1645"/>
      <c r="B134" s="1659"/>
      <c r="C134" s="1646"/>
      <c r="D134" s="1837"/>
      <c r="E134" s="1532">
        <f t="shared" si="23"/>
        <v>0</v>
      </c>
      <c r="F134" s="1785">
        <f t="shared" si="24"/>
        <v>0</v>
      </c>
      <c r="G134" s="1786">
        <f t="shared" si="25"/>
        <v>0</v>
      </c>
    </row>
    <row r="135" spans="1:7">
      <c r="A135" s="1645"/>
      <c r="B135" s="1659"/>
      <c r="C135" s="1646"/>
      <c r="D135" s="1837"/>
      <c r="E135" s="1532">
        <f t="shared" ref="E135:E139" si="26">IF(D135&lt;=25000,D135,IF(D135&gt;25000,25000,0))</f>
        <v>0</v>
      </c>
      <c r="F135" s="178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6">
        <f t="shared" ref="G135:G139" si="28">IF(F135=0,0,D135-F135)</f>
        <v>0</v>
      </c>
    </row>
    <row r="136" spans="1:7">
      <c r="A136" s="1645"/>
      <c r="B136" s="1659"/>
      <c r="C136" s="1646"/>
      <c r="D136" s="1837"/>
      <c r="E136" s="1532">
        <f t="shared" si="26"/>
        <v>0</v>
      </c>
      <c r="F136" s="1785">
        <f t="shared" si="27"/>
        <v>0</v>
      </c>
      <c r="G136" s="1786">
        <f t="shared" si="28"/>
        <v>0</v>
      </c>
    </row>
    <row r="137" spans="1:7">
      <c r="A137" s="1645"/>
      <c r="B137" s="1659"/>
      <c r="C137" s="1646"/>
      <c r="D137" s="1837"/>
      <c r="E137" s="1532">
        <f t="shared" si="26"/>
        <v>0</v>
      </c>
      <c r="F137" s="1785">
        <f t="shared" si="27"/>
        <v>0</v>
      </c>
      <c r="G137" s="1786">
        <f t="shared" si="28"/>
        <v>0</v>
      </c>
    </row>
    <row r="138" spans="1:7">
      <c r="A138" s="1645"/>
      <c r="B138" s="1659"/>
      <c r="C138" s="1646"/>
      <c r="D138" s="1837"/>
      <c r="E138" s="1532">
        <f t="shared" si="26"/>
        <v>0</v>
      </c>
      <c r="F138" s="1785">
        <f t="shared" si="27"/>
        <v>0</v>
      </c>
      <c r="G138" s="1786">
        <f t="shared" si="28"/>
        <v>0</v>
      </c>
    </row>
    <row r="139" spans="1:7">
      <c r="A139" s="1645"/>
      <c r="B139" s="1659"/>
      <c r="C139" s="1646"/>
      <c r="D139" s="1837"/>
      <c r="E139" s="1532">
        <f t="shared" si="26"/>
        <v>0</v>
      </c>
      <c r="F139" s="1785">
        <f t="shared" si="27"/>
        <v>0</v>
      </c>
      <c r="G139" s="1786">
        <f t="shared" si="28"/>
        <v>0</v>
      </c>
    </row>
    <row r="140" spans="1:7">
      <c r="A140" s="1645"/>
      <c r="B140" s="1658"/>
      <c r="C140" s="1646"/>
      <c r="D140" s="1837"/>
      <c r="E140" s="1532">
        <f t="shared" si="2"/>
        <v>0</v>
      </c>
      <c r="F140" s="1785">
        <f t="shared" si="3"/>
        <v>0</v>
      </c>
      <c r="G140" s="1786">
        <f t="shared" si="4"/>
        <v>0</v>
      </c>
    </row>
    <row r="141" spans="1:7">
      <c r="A141" s="1789" t="s">
        <v>158</v>
      </c>
      <c r="B141" s="1790"/>
      <c r="C141" s="1791"/>
      <c r="D141" s="1787">
        <f>SUM(D17:D140)</f>
        <v>5888908</v>
      </c>
      <c r="E141" s="1533">
        <f t="shared" si="1"/>
        <v>25000</v>
      </c>
      <c r="F141" s="1787">
        <f>SUM(F17:F140)</f>
        <v>650000</v>
      </c>
      <c r="G141" s="1788">
        <f>SUM(G17:G140)</f>
        <v>5238908</v>
      </c>
    </row>
  </sheetData>
  <sheetProtection sheet="1"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topLeftCell="A14" colorId="8" zoomScaleNormal="110" zoomScaleSheetLayoutView="100" workbookViewId="0">
      <selection activeCell="E12" sqref="E12"/>
    </sheetView>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626" t="s">
        <v>1177</v>
      </c>
      <c r="B1" s="1627"/>
      <c r="C1" s="1628"/>
    </row>
    <row r="2" spans="1:9">
      <c r="A2" s="923" t="s">
        <v>1178</v>
      </c>
      <c r="B2" s="924"/>
      <c r="C2" s="924"/>
      <c r="D2" s="924"/>
      <c r="E2" s="925"/>
      <c r="F2" s="925"/>
      <c r="G2" s="926"/>
    </row>
    <row r="3" spans="1:9" ht="12" customHeight="1">
      <c r="A3" s="927" t="s">
        <v>1423</v>
      </c>
      <c r="B3" s="928"/>
      <c r="C3" s="928"/>
      <c r="D3" s="928"/>
      <c r="E3" s="929"/>
      <c r="F3" s="929"/>
      <c r="G3" s="930"/>
    </row>
    <row r="4" spans="1:9">
      <c r="A4" s="931" t="s">
        <v>779</v>
      </c>
      <c r="B4" s="932"/>
      <c r="C4" s="932"/>
      <c r="D4" s="932"/>
      <c r="E4" s="933"/>
      <c r="F4" s="934"/>
      <c r="G4" s="935"/>
      <c r="H4" s="251"/>
      <c r="I4" s="251"/>
    </row>
    <row r="5" spans="1:9" s="342" customFormat="1" ht="57" customHeight="1">
      <c r="A5" s="2315" t="s">
        <v>1778</v>
      </c>
      <c r="B5" s="2316"/>
      <c r="C5" s="2316"/>
      <c r="D5" s="2316"/>
      <c r="E5" s="2316"/>
      <c r="F5" s="2316"/>
      <c r="G5" s="2317"/>
      <c r="H5" s="251"/>
      <c r="I5" s="584"/>
    </row>
    <row r="6" spans="1:9" s="641" customFormat="1">
      <c r="A6" s="1629" t="s">
        <v>214</v>
      </c>
      <c r="B6" s="937"/>
      <c r="C6" s="937"/>
      <c r="D6" s="938"/>
      <c r="E6" s="938"/>
      <c r="F6" s="939"/>
      <c r="G6" s="940"/>
      <c r="H6" s="161"/>
      <c r="I6" s="161"/>
    </row>
    <row r="7" spans="1:9" s="641" customFormat="1" ht="12" customHeight="1">
      <c r="A7" s="941" t="s">
        <v>964</v>
      </c>
      <c r="B7" s="942"/>
      <c r="C7" s="942"/>
      <c r="D7" s="943"/>
      <c r="E7" s="944"/>
      <c r="F7" s="945"/>
      <c r="G7" s="946"/>
      <c r="H7" s="161"/>
      <c r="I7" s="161"/>
    </row>
    <row r="8" spans="1:9" s="641" customFormat="1" ht="12" customHeight="1">
      <c r="A8" s="941" t="s">
        <v>131</v>
      </c>
      <c r="B8" s="942"/>
      <c r="C8" s="942"/>
      <c r="D8" s="943"/>
      <c r="E8" s="944"/>
      <c r="F8" s="945"/>
      <c r="G8" s="946"/>
      <c r="H8" s="161"/>
      <c r="I8" s="161"/>
    </row>
    <row r="9" spans="1:9" s="641" customFormat="1" ht="12" customHeight="1">
      <c r="A9" s="941" t="s">
        <v>132</v>
      </c>
      <c r="B9" s="942"/>
      <c r="C9" s="942"/>
      <c r="D9" s="943"/>
      <c r="E9" s="944"/>
      <c r="F9" s="945"/>
      <c r="G9" s="946"/>
      <c r="H9" s="161"/>
      <c r="I9" s="161"/>
    </row>
    <row r="10" spans="1:9" s="641" customFormat="1" ht="12" customHeight="1">
      <c r="A10" s="941" t="s">
        <v>2074</v>
      </c>
      <c r="B10" s="942"/>
      <c r="C10" s="947"/>
      <c r="D10" s="943"/>
      <c r="E10" s="944">
        <f>+'Expenditures 15-22'!F63</f>
        <v>914233</v>
      </c>
      <c r="F10" s="945"/>
      <c r="G10" s="946"/>
      <c r="H10" s="161"/>
      <c r="I10" s="161"/>
    </row>
    <row r="11" spans="1:9" s="641" customFormat="1" ht="22.5" customHeight="1">
      <c r="A11" s="2320" t="s">
        <v>1943</v>
      </c>
      <c r="B11" s="2321"/>
      <c r="C11" s="2321"/>
      <c r="D11" s="2322"/>
      <c r="E11" s="948">
        <v>136085</v>
      </c>
      <c r="F11" s="945"/>
      <c r="G11" s="949"/>
      <c r="H11" s="161"/>
      <c r="I11" s="161"/>
    </row>
    <row r="12" spans="1:9" s="641" customFormat="1" ht="12" customHeight="1">
      <c r="A12" s="941" t="s">
        <v>133</v>
      </c>
      <c r="B12" s="942"/>
      <c r="C12" s="942"/>
      <c r="D12" s="943"/>
      <c r="E12" s="944"/>
      <c r="F12" s="945"/>
      <c r="G12" s="946"/>
      <c r="H12" s="161"/>
      <c r="I12" s="161"/>
    </row>
    <row r="13" spans="1:9" s="641" customFormat="1" ht="12" customHeight="1">
      <c r="A13" s="941" t="s">
        <v>212</v>
      </c>
      <c r="B13" s="942"/>
      <c r="C13" s="942"/>
      <c r="D13" s="943"/>
      <c r="E13" s="944"/>
      <c r="F13" s="945"/>
      <c r="G13" s="946"/>
      <c r="H13" s="161"/>
      <c r="I13" s="161"/>
    </row>
    <row r="14" spans="1:9" s="641" customFormat="1" ht="12" customHeight="1">
      <c r="A14" s="941" t="s">
        <v>213</v>
      </c>
      <c r="B14" s="942"/>
      <c r="C14" s="942"/>
      <c r="D14" s="943"/>
      <c r="E14" s="944"/>
      <c r="F14" s="950"/>
      <c r="G14" s="951"/>
      <c r="H14" s="161"/>
      <c r="I14" s="161"/>
    </row>
    <row r="15" spans="1:9" s="641" customFormat="1" ht="12" customHeight="1">
      <c r="A15" s="936" t="s">
        <v>389</v>
      </c>
      <c r="B15" s="938"/>
      <c r="C15" s="938"/>
      <c r="D15" s="938"/>
      <c r="E15" s="938"/>
      <c r="F15" s="938"/>
      <c r="G15" s="952"/>
      <c r="H15" s="161"/>
      <c r="I15" s="161"/>
    </row>
    <row r="16" spans="1:9" s="641" customFormat="1">
      <c r="A16" s="953" t="s">
        <v>1443</v>
      </c>
      <c r="B16" s="954"/>
      <c r="C16" s="955"/>
      <c r="D16" s="934"/>
      <c r="E16" s="929"/>
      <c r="F16" s="929"/>
      <c r="G16" s="930"/>
      <c r="H16" s="161"/>
      <c r="I16" s="161"/>
    </row>
    <row r="17" spans="1:9" s="641" customFormat="1" ht="12" customHeight="1">
      <c r="A17" s="956"/>
      <c r="B17" s="957"/>
      <c r="C17" s="328"/>
      <c r="D17" s="1630" t="s">
        <v>553</v>
      </c>
      <c r="E17" s="1631"/>
      <c r="F17" s="1630" t="s">
        <v>453</v>
      </c>
      <c r="G17" s="1632"/>
      <c r="H17" s="161"/>
      <c r="I17" s="161"/>
    </row>
    <row r="18" spans="1:9" s="258" customFormat="1" ht="11.25">
      <c r="A18" s="959"/>
      <c r="C18" s="960" t="s">
        <v>454</v>
      </c>
      <c r="D18" s="1633" t="s">
        <v>455</v>
      </c>
      <c r="E18" s="1633" t="s">
        <v>55</v>
      </c>
      <c r="F18" s="1633" t="s">
        <v>455</v>
      </c>
      <c r="G18" s="1633" t="s">
        <v>55</v>
      </c>
      <c r="H18" s="177"/>
      <c r="I18" s="177"/>
    </row>
    <row r="19" spans="1:9" s="641" customFormat="1" ht="12" customHeight="1">
      <c r="A19" s="961" t="s">
        <v>476</v>
      </c>
      <c r="B19" s="962"/>
      <c r="C19" s="963" t="s">
        <v>591</v>
      </c>
      <c r="D19" s="1792"/>
      <c r="E19" s="1793">
        <f>'Expenditures 15-22'!K33-SUM('Expenditures 15-22'!G33,'Expenditures 15-22'!I33)+'Expenditures 15-22'!D229</f>
        <v>31033012</v>
      </c>
      <c r="F19" s="1792"/>
      <c r="G19" s="1794">
        <f>'Expenditures 15-22'!K33-SUM('Expenditures 15-22'!G33,'Expenditures 15-22'!I33)+'Expenditures 15-22'!D229</f>
        <v>31033012</v>
      </c>
      <c r="H19" s="958"/>
      <c r="I19" s="161"/>
    </row>
    <row r="20" spans="1:9" s="641" customFormat="1" ht="12" customHeight="1">
      <c r="A20" s="961" t="s">
        <v>56</v>
      </c>
      <c r="B20" s="962"/>
      <c r="C20" s="964"/>
      <c r="D20" s="1795"/>
      <c r="E20" s="1795"/>
      <c r="F20" s="1795"/>
      <c r="G20" s="1796"/>
      <c r="H20" s="958"/>
      <c r="I20" s="161"/>
    </row>
    <row r="21" spans="1:9" s="641" customFormat="1" ht="12" customHeight="1">
      <c r="A21" s="965" t="s">
        <v>421</v>
      </c>
      <c r="B21" s="966"/>
      <c r="C21" s="964">
        <v>2100</v>
      </c>
      <c r="D21" s="1795"/>
      <c r="E21" s="1797">
        <f>'Expenditures 15-22'!K42-SUM('Expenditures 15-22'!G42,'Expenditures 15-22'!I42)+'Expenditures 15-22'!K120-SUM('Expenditures 15-22'!G120,'Expenditures 15-22'!I120)+'Expenditures 15-22'!K180-SUM('Expenditures 15-22'!G180,'Expenditures 15-22'!I180)+'Expenditures 15-22'!D238</f>
        <v>2794279</v>
      </c>
      <c r="F21" s="1795"/>
      <c r="G21" s="1798">
        <f>'Expenditures 15-22'!K42-SUM('Expenditures 15-22'!G42,'Expenditures 15-22'!I42)+'Expenditures 15-22'!K120-SUM('Expenditures 15-22'!G120,'Expenditures 15-22'!I120)+'Expenditures 15-22'!K180-SUM('Expenditures 15-22'!G180,'Expenditures 15-22'!I180)+'Expenditures 15-22'!D238</f>
        <v>2794279</v>
      </c>
      <c r="H21" s="958"/>
      <c r="I21" s="161"/>
    </row>
    <row r="22" spans="1:9" s="641" customFormat="1" ht="12" customHeight="1">
      <c r="A22" s="965" t="s">
        <v>585</v>
      </c>
      <c r="B22" s="966"/>
      <c r="C22" s="964">
        <v>2200</v>
      </c>
      <c r="D22" s="1795"/>
      <c r="E22" s="1797">
        <f>'Expenditures 15-22'!K47-SUM('Expenditures 15-22'!G47,'Expenditures 15-22'!I47)+'Expenditures 15-22'!D243</f>
        <v>2093060</v>
      </c>
      <c r="F22" s="1795"/>
      <c r="G22" s="1798">
        <f>'Expenditures 15-22'!K47-SUM('Expenditures 15-22'!G47,'Expenditures 15-22'!I47)+'Expenditures 15-22'!D243</f>
        <v>2093060</v>
      </c>
      <c r="H22" s="958"/>
      <c r="I22" s="161"/>
    </row>
    <row r="23" spans="1:9" s="641" customFormat="1" ht="12" customHeight="1">
      <c r="A23" s="965" t="s">
        <v>586</v>
      </c>
      <c r="B23" s="966"/>
      <c r="C23" s="964">
        <v>2300</v>
      </c>
      <c r="D23" s="1795"/>
      <c r="E23" s="1797">
        <f>'Expenditures 15-22'!K53-SUM('Expenditures 15-22'!G53,'Expenditures 15-22'!I53)+'Expenditures 15-22'!D257+'Expenditures 15-22'!K330-SUM('Expenditures 15-22'!G330,'Expenditures 15-22'!I330)</f>
        <v>3525558</v>
      </c>
      <c r="F23" s="1795"/>
      <c r="G23" s="1797">
        <f>'Expenditures 15-22'!K53-SUM('Expenditures 15-22'!G53,'Expenditures 15-22'!I53)+'Expenditures 15-22'!D257+'Expenditures 15-22'!K330-SUM('Expenditures 15-22'!G330,'Expenditures 15-22'!I330)</f>
        <v>3525558</v>
      </c>
      <c r="H23" s="958"/>
      <c r="I23" s="161"/>
    </row>
    <row r="24" spans="1:9" s="641" customFormat="1" ht="12" customHeight="1">
      <c r="A24" s="965" t="s">
        <v>587</v>
      </c>
      <c r="B24" s="966"/>
      <c r="C24" s="964">
        <v>2400</v>
      </c>
      <c r="D24" s="1795"/>
      <c r="E24" s="1797">
        <f>'Expenditures 15-22'!K57-SUM('Expenditures 15-22'!G57,'Expenditures 15-22'!I57)+'Expenditures 15-22'!D261</f>
        <v>4055424</v>
      </c>
      <c r="F24" s="1795"/>
      <c r="G24" s="1798">
        <f>'Expenditures 15-22'!K57-SUM('Expenditures 15-22'!G57,'Expenditures 15-22'!I57)+'Expenditures 15-22'!D261</f>
        <v>4055424</v>
      </c>
      <c r="H24" s="958"/>
      <c r="I24" s="161"/>
    </row>
    <row r="25" spans="1:9" s="641" customFormat="1" ht="12" customHeight="1">
      <c r="A25" s="961" t="s">
        <v>588</v>
      </c>
      <c r="B25" s="967"/>
      <c r="C25" s="964"/>
      <c r="D25" s="1795"/>
      <c r="E25" s="1797"/>
      <c r="F25" s="1795"/>
      <c r="G25" s="1798"/>
      <c r="H25" s="958"/>
      <c r="I25" s="161"/>
    </row>
    <row r="26" spans="1:9" s="641" customFormat="1" ht="12" customHeight="1">
      <c r="A26" s="965" t="s">
        <v>536</v>
      </c>
      <c r="B26" s="968"/>
      <c r="C26" s="964">
        <v>2510</v>
      </c>
      <c r="D26" s="1797">
        <f>'Expenditures 15-22'!K59-SUM('Expenditures 15-22'!G59,'Expenditures 15-22'!I59)+'Expenditures 15-22'!D263-E7</f>
        <v>121777</v>
      </c>
      <c r="E26" s="1797">
        <f>'Expenditures 15-22'!K122-SUM('Expenditures 15-22'!G122,'Expenditures 15-22'!I122)+E7</f>
        <v>0</v>
      </c>
      <c r="F26" s="1797">
        <f>'Expenditures 15-22'!K59-SUM('Expenditures 15-22'!G59,'Expenditures 15-22'!I59)+'Expenditures 15-22'!D263-E7</f>
        <v>121777</v>
      </c>
      <c r="G26" s="1798">
        <f>'Expenditures 15-22'!K122-SUM('Expenditures 15-22'!G122,'Expenditures 15-22'!I122)+E7</f>
        <v>0</v>
      </c>
      <c r="H26" s="958"/>
      <c r="I26" s="161"/>
    </row>
    <row r="27" spans="1:9" s="641" customFormat="1" ht="12" customHeight="1">
      <c r="A27" s="965" t="s">
        <v>483</v>
      </c>
      <c r="B27" s="968"/>
      <c r="C27" s="964">
        <v>2520</v>
      </c>
      <c r="D27" s="1797">
        <f>'Expenditures 15-22'!K60-SUM('Expenditures 15-22'!G60,'Expenditures 15-22'!I60)+'Expenditures 15-22'!D264-E8</f>
        <v>500745</v>
      </c>
      <c r="E27" s="1797">
        <f>E8</f>
        <v>0</v>
      </c>
      <c r="F27" s="1797">
        <f>'Expenditures 15-22'!K60-SUM('Expenditures 15-22'!G60,'Expenditures 15-22'!I60)+'Expenditures 15-22'!D264-E8</f>
        <v>500745</v>
      </c>
      <c r="G27" s="1798">
        <f>E8</f>
        <v>0</v>
      </c>
      <c r="H27" s="958"/>
      <c r="I27" s="161"/>
    </row>
    <row r="28" spans="1:9" s="641" customFormat="1" ht="12" customHeight="1">
      <c r="A28" s="965" t="s">
        <v>537</v>
      </c>
      <c r="B28" s="968"/>
      <c r="C28" s="964">
        <v>2540</v>
      </c>
      <c r="D28" s="1799"/>
      <c r="E28" s="1797">
        <f>'Expenditures 15-22'!K61-SUM('Expenditures 15-22'!G61,'Expenditures 15-22'!I61)+'Expenditures 15-22'!K124-SUM('Expenditures 15-22'!G124,'Expenditures 15-22'!I124)+'Expenditures 15-22'!D266</f>
        <v>4904538</v>
      </c>
      <c r="F28" s="1799">
        <f>'Expenditures 15-22'!K61-SUM('Expenditures 15-22'!G61,'Expenditures 15-22'!I61)+'Expenditures 15-22'!K124-SUM('Expenditures 15-22'!G124,'Expenditures 15-22'!I124)+'Expenditures 15-22'!D266-E9</f>
        <v>4904538</v>
      </c>
      <c r="G28" s="1798">
        <f>E9</f>
        <v>0</v>
      </c>
      <c r="H28" s="958"/>
      <c r="I28" s="161"/>
    </row>
    <row r="29" spans="1:9" ht="12" customHeight="1">
      <c r="A29" s="965" t="s">
        <v>538</v>
      </c>
      <c r="B29" s="968"/>
      <c r="C29" s="964">
        <v>2550</v>
      </c>
      <c r="D29" s="1795"/>
      <c r="E29" s="1797">
        <f>'Expenditures 15-22'!K62-SUM('Expenditures 15-22'!G62,'Expenditures 15-22'!I62)+'Expenditures 15-22'!K125-SUM('Expenditures 15-22'!G125,'Expenditures 15-22'!I125)+'Expenditures 15-22'!K182-SUM('Expenditures 15-22'!G182,'Expenditures 15-22'!I182)+'Expenditures 15-22'!D267</f>
        <v>4857380</v>
      </c>
      <c r="F29" s="1795"/>
      <c r="G29" s="1798">
        <f>'Expenditures 15-22'!K62-SUM('Expenditures 15-22'!G62,'Expenditures 15-22'!I62)+'Expenditures 15-22'!K125-SUM('Expenditures 15-22'!G125,'Expenditures 15-22'!I125)+'Expenditures 15-22'!K182-SUM('Expenditures 15-22'!G182,'Expenditures 15-22'!I182)+'Expenditures 15-22'!D267</f>
        <v>4857380</v>
      </c>
      <c r="H29" s="956"/>
    </row>
    <row r="30" spans="1:9" ht="12" customHeight="1">
      <c r="A30" s="965" t="s">
        <v>102</v>
      </c>
      <c r="B30" s="968"/>
      <c r="C30" s="964">
        <v>2560</v>
      </c>
      <c r="D30" s="1795"/>
      <c r="E30" s="1797">
        <f>'Expenditures 15-22'!K63-SUM('Expenditures 15-22'!G63,'Expenditures 15-22'!I63)+'Expenditures 15-22'!D268-E10</f>
        <v>1346160</v>
      </c>
      <c r="F30" s="1795"/>
      <c r="G30" s="1797">
        <f>'Expenditures 15-22'!K63-SUM('Expenditures 15-22'!G63,'Expenditures 15-22'!I63)+'Expenditures 15-22'!D268-E10</f>
        <v>1346160</v>
      </c>
    </row>
    <row r="31" spans="1:9" ht="12" customHeight="1">
      <c r="A31" s="965" t="s">
        <v>103</v>
      </c>
      <c r="B31" s="968"/>
      <c r="C31" s="964">
        <v>2570</v>
      </c>
      <c r="D31" s="1797">
        <f>'Expenditures 15-22'!K64-SUM('Expenditures 15-22'!G64,'Expenditures 15-22'!I64)+'Expenditures 15-22'!D269-E12</f>
        <v>132154</v>
      </c>
      <c r="E31" s="1797">
        <f>E12</f>
        <v>0</v>
      </c>
      <c r="F31" s="1797">
        <f>'Expenditures 15-22'!K64-SUM('Expenditures 15-22'!G64,'Expenditures 15-22'!I64)+'Expenditures 15-22'!D269-E12</f>
        <v>132154</v>
      </c>
      <c r="G31" s="1797">
        <f>E12</f>
        <v>0</v>
      </c>
    </row>
    <row r="32" spans="1:9" ht="12" customHeight="1">
      <c r="A32" s="961" t="s">
        <v>539</v>
      </c>
      <c r="B32" s="967"/>
      <c r="C32" s="964"/>
      <c r="D32" s="1795"/>
      <c r="E32" s="1795"/>
      <c r="F32" s="1795"/>
      <c r="G32" s="1795"/>
    </row>
    <row r="33" spans="1:7" ht="12" customHeight="1">
      <c r="A33" s="965" t="s">
        <v>540</v>
      </c>
      <c r="B33" s="968"/>
      <c r="C33" s="964">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c r="A34" s="965" t="s">
        <v>541</v>
      </c>
      <c r="B34" s="968"/>
      <c r="C34" s="964">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c r="A35" s="965" t="s">
        <v>1121</v>
      </c>
      <c r="B35" s="968"/>
      <c r="C35" s="964">
        <v>2630</v>
      </c>
      <c r="D35" s="1795"/>
      <c r="E35" s="1797">
        <f>'Expenditures 15-22'!K69-SUM('Expenditures 15-22'!G69,'Expenditures 15-22'!I69)+'Expenditures 15-22'!D274</f>
        <v>101373</v>
      </c>
      <c r="F35" s="1795"/>
      <c r="G35" s="1797">
        <f>'Expenditures 15-22'!K69-SUM('Expenditures 15-22'!G69,'Expenditures 15-22'!I69)+'Expenditures 15-22'!D274</f>
        <v>101373</v>
      </c>
    </row>
    <row r="36" spans="1:7" ht="12" customHeight="1">
      <c r="A36" s="965" t="s">
        <v>423</v>
      </c>
      <c r="B36" s="968"/>
      <c r="C36" s="964">
        <v>2640</v>
      </c>
      <c r="D36" s="1797">
        <f>'Expenditures 15-22'!K70-SUM('Expenditures 15-22'!G70,'Expenditures 15-22'!I70)+'Expenditures 15-22'!D275-E13</f>
        <v>593327</v>
      </c>
      <c r="E36" s="1797">
        <f>E13</f>
        <v>0</v>
      </c>
      <c r="F36" s="1797">
        <f>'Expenditures 15-22'!K70-SUM('Expenditures 15-22'!G70,'Expenditures 15-22'!I70)+'Expenditures 15-22'!D275-E13</f>
        <v>593327</v>
      </c>
      <c r="G36" s="1797">
        <f>E13</f>
        <v>0</v>
      </c>
    </row>
    <row r="37" spans="1:7" ht="12" customHeight="1">
      <c r="A37" s="965" t="s">
        <v>424</v>
      </c>
      <c r="B37" s="968"/>
      <c r="C37" s="964">
        <v>2660</v>
      </c>
      <c r="D37" s="1797">
        <f>'Expenditures 15-22'!K71-SUM('Expenditures 15-22'!G71,'Expenditures 15-22'!I71)+'Expenditures 15-22'!D276-E14</f>
        <v>1032448</v>
      </c>
      <c r="E37" s="1797">
        <f>E14</f>
        <v>0</v>
      </c>
      <c r="F37" s="1797">
        <f>'Expenditures 15-22'!K71-SUM('Expenditures 15-22'!G71,'Expenditures 15-22'!I71)+'Expenditures 15-22'!D276-E14</f>
        <v>1032448</v>
      </c>
      <c r="G37" s="1797">
        <f>E14</f>
        <v>0</v>
      </c>
    </row>
    <row r="38" spans="1:7" ht="12" customHeight="1">
      <c r="A38" s="961" t="s">
        <v>542</v>
      </c>
      <c r="B38" s="962"/>
      <c r="C38" s="964">
        <v>2900</v>
      </c>
      <c r="D38" s="1795"/>
      <c r="E38" s="1797">
        <f>'Expenditures 15-22'!K73-SUM('Expenditures 15-22'!G73,'Expenditures 15-22'!I73)+'Expenditures 15-22'!K128-SUM('Expenditures 15-22'!G128,'Expenditures 15-22'!I128)+'Expenditures 15-22'!K183-SUM('Expenditures 15-22'!G183,'Expenditures 15-22'!I183)+'Expenditures 15-22'!D278</f>
        <v>50875</v>
      </c>
      <c r="F38" s="1795"/>
      <c r="G38" s="1797">
        <f>'Expenditures 15-22'!K73-SUM('Expenditures 15-22'!G73,'Expenditures 15-22'!I73)+'Expenditures 15-22'!K128-SUM('Expenditures 15-22'!G128,'Expenditures 15-22'!I128)+'Expenditures 15-22'!K183-SUM('Expenditures 15-22'!G183,'Expenditures 15-22'!I183)+'Expenditures 15-22'!D278</f>
        <v>50875</v>
      </c>
    </row>
    <row r="39" spans="1:7" ht="12" customHeight="1">
      <c r="A39" s="961" t="s">
        <v>469</v>
      </c>
      <c r="B39" s="962"/>
      <c r="C39" s="964">
        <v>3000</v>
      </c>
      <c r="D39" s="1795"/>
      <c r="E39" s="1797">
        <f>'Expenditures 15-22'!K75-SUM('Expenditures 15-22'!G75,'Expenditures 15-22'!I75)+'Expenditures 15-22'!K130-SUM('Expenditures 15-22'!G130,'Expenditures 15-22'!I130)+'Expenditures 15-22'!K185-SUM('Expenditures 15-22'!G185,'Expenditures 15-22'!I185)+'Expenditures 15-22'!D280</f>
        <v>36278</v>
      </c>
      <c r="F39" s="1795"/>
      <c r="G39" s="1797">
        <f>'Expenditures 15-22'!K75-SUM('Expenditures 15-22'!G75,'Expenditures 15-22'!I75)+'Expenditures 15-22'!K130-SUM('Expenditures 15-22'!G130,'Expenditures 15-22'!I130)+'Expenditures 15-22'!K185-SUM('Expenditures 15-22'!G185,'Expenditures 15-22'!I185)+'Expenditures 15-22'!D280</f>
        <v>36278</v>
      </c>
    </row>
    <row r="40" spans="1:7" ht="12" customHeight="1">
      <c r="A40" s="961" t="s">
        <v>1928</v>
      </c>
      <c r="B40" s="962"/>
      <c r="C40" s="964"/>
      <c r="D40" s="1795"/>
      <c r="E40" s="1799">
        <f>-'Contracts Paid in CY 29'!G141</f>
        <v>-5238908</v>
      </c>
      <c r="F40" s="1795"/>
      <c r="G40" s="1799">
        <f>-'Contracts Paid in CY 29'!G141</f>
        <v>-5238908</v>
      </c>
    </row>
    <row r="41" spans="1:7" ht="12" customHeight="1">
      <c r="A41" s="969" t="s">
        <v>158</v>
      </c>
      <c r="B41" s="970"/>
      <c r="C41" s="971"/>
      <c r="D41" s="1799">
        <f>SUM(D19:D39)</f>
        <v>2380451</v>
      </c>
      <c r="E41" s="1799">
        <f>SUM(E19:E40)</f>
        <v>49559029</v>
      </c>
      <c r="F41" s="1799">
        <f>SUM(F19:F39)</f>
        <v>7284989</v>
      </c>
      <c r="G41" s="1799">
        <f>SUM(G19:G40)</f>
        <v>44654491</v>
      </c>
    </row>
    <row r="42" spans="1:7">
      <c r="A42" s="958"/>
      <c r="B42" s="161"/>
      <c r="C42" s="972"/>
      <c r="D42" s="2318" t="s">
        <v>543</v>
      </c>
      <c r="E42" s="2319"/>
      <c r="F42" s="973" t="s">
        <v>544</v>
      </c>
      <c r="G42" s="974"/>
    </row>
    <row r="43" spans="1:7" ht="12" customHeight="1">
      <c r="A43" s="958"/>
      <c r="B43" s="161"/>
      <c r="C43" s="972"/>
      <c r="D43" s="1800" t="s">
        <v>493</v>
      </c>
      <c r="E43" s="1801">
        <f>D41</f>
        <v>2380451</v>
      </c>
      <c r="F43" s="1800" t="s">
        <v>495</v>
      </c>
      <c r="G43" s="1801">
        <f>F41</f>
        <v>7284989</v>
      </c>
    </row>
    <row r="44" spans="1:7" ht="12" customHeight="1">
      <c r="A44" s="958"/>
      <c r="B44" s="161"/>
      <c r="C44" s="972"/>
      <c r="D44" s="1800" t="s">
        <v>494</v>
      </c>
      <c r="E44" s="1801">
        <f>E41</f>
        <v>49559029</v>
      </c>
      <c r="F44" s="1800" t="s">
        <v>494</v>
      </c>
      <c r="G44" s="1801">
        <f>G41</f>
        <v>44654491</v>
      </c>
    </row>
    <row r="45" spans="1:7" ht="12" customHeight="1">
      <c r="A45" s="958"/>
      <c r="B45" s="161"/>
      <c r="C45" s="161"/>
      <c r="D45" s="1802" t="s">
        <v>1063</v>
      </c>
      <c r="E45" s="1803">
        <f>(E43/E44)</f>
        <v>4.8032640026098979E-2</v>
      </c>
      <c r="F45" s="1802" t="s">
        <v>1063</v>
      </c>
      <c r="G45" s="1803">
        <f>(G43/G44)</f>
        <v>0.16314123925407636</v>
      </c>
    </row>
    <row r="46" spans="1:7">
      <c r="A46" s="975"/>
      <c r="B46" s="976"/>
      <c r="C46" s="976"/>
      <c r="D46" s="977"/>
      <c r="E46" s="978"/>
      <c r="F46" s="977"/>
      <c r="G46" s="97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110" zoomScaleNormal="110" zoomScaleSheetLayoutView="110" workbookViewId="0">
      <pane ySplit="4" topLeftCell="A5" activePane="bottomLeft" state="frozen"/>
      <selection activeCell="M97" activeCellId="1" sqref="A1 M97"/>
      <selection pane="bottomLeft" activeCell="F20" sqref="F20"/>
    </sheetView>
  </sheetViews>
  <sheetFormatPr defaultColWidth="9.140625" defaultRowHeight="12.75"/>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c r="A1" s="2337" t="s">
        <v>1446</v>
      </c>
      <c r="B1" s="2337"/>
      <c r="C1" s="2337"/>
      <c r="D1" s="2337"/>
      <c r="E1" s="2337"/>
      <c r="F1" s="2337"/>
    </row>
    <row r="2" spans="1:10">
      <c r="A2" s="1882" t="s">
        <v>2046</v>
      </c>
      <c r="B2" s="1843"/>
      <c r="C2" s="1882"/>
      <c r="D2" s="1843"/>
      <c r="E2" s="1843"/>
      <c r="F2" s="1844"/>
    </row>
    <row r="3" spans="1:10">
      <c r="A3" s="1882" t="s">
        <v>1700</v>
      </c>
      <c r="B3" s="1843"/>
      <c r="C3" s="1882"/>
      <c r="D3" s="1843"/>
      <c r="E3" s="1843"/>
      <c r="F3" s="1844"/>
    </row>
    <row r="4" spans="1:10" ht="3.75" customHeight="1">
      <c r="A4" s="1843"/>
      <c r="B4" s="1843"/>
      <c r="C4" s="1843"/>
      <c r="D4" s="1843"/>
      <c r="E4" s="1843"/>
      <c r="F4" s="1844"/>
    </row>
    <row r="5" spans="1:10" ht="15">
      <c r="A5" s="2338" t="s">
        <v>1627</v>
      </c>
      <c r="B5" s="2339"/>
      <c r="C5" s="2340"/>
      <c r="D5" s="2340"/>
      <c r="E5" s="2340"/>
      <c r="F5" s="2340"/>
    </row>
    <row r="6" spans="1:10" ht="12" customHeight="1">
      <c r="A6" s="1845"/>
      <c r="B6" s="1846"/>
      <c r="C6" s="2341" t="str">
        <f>COVER!A17</f>
        <v>Rich Township High School District 227</v>
      </c>
      <c r="D6" s="2341"/>
      <c r="E6" s="2341"/>
      <c r="F6" s="1847"/>
    </row>
    <row r="7" spans="1:10" ht="11.25" customHeight="1" thickBot="1">
      <c r="A7" s="1845"/>
      <c r="B7" s="1846"/>
      <c r="C7" s="2342" t="str">
        <f>COVER!A13</f>
        <v>07-016-2270-17</v>
      </c>
      <c r="D7" s="2342"/>
      <c r="E7" s="2342"/>
      <c r="F7" s="1847"/>
    </row>
    <row r="8" spans="1:10" ht="25.5" customHeight="1" thickBot="1">
      <c r="A8" s="1888" t="s">
        <v>2023</v>
      </c>
      <c r="B8" s="1848"/>
      <c r="C8" s="1884" t="s">
        <v>1780</v>
      </c>
      <c r="D8" s="1883" t="s">
        <v>1781</v>
      </c>
      <c r="E8" s="1885" t="s">
        <v>1447</v>
      </c>
      <c r="F8" s="1883" t="s">
        <v>1782</v>
      </c>
      <c r="H8" s="1849" t="b">
        <v>0</v>
      </c>
    </row>
    <row r="9" spans="1:10" ht="15.75" customHeight="1">
      <c r="A9" s="1850" t="s">
        <v>1623</v>
      </c>
      <c r="B9" s="1851"/>
      <c r="C9" s="1852"/>
      <c r="D9" s="1852"/>
      <c r="E9" s="1853"/>
      <c r="F9" s="1854"/>
    </row>
    <row r="10" spans="1:10" ht="27.75" customHeight="1">
      <c r="A10" s="1855" t="s">
        <v>1779</v>
      </c>
      <c r="B10" s="1856"/>
      <c r="C10" s="1857"/>
      <c r="D10" s="1857"/>
      <c r="E10" s="1886" t="s">
        <v>1448</v>
      </c>
      <c r="F10" s="1887" t="s">
        <v>1449</v>
      </c>
    </row>
    <row r="11" spans="1:10" ht="12" customHeight="1">
      <c r="A11" s="1858" t="s">
        <v>1450</v>
      </c>
      <c r="B11" s="1859"/>
      <c r="C11" s="1860"/>
      <c r="D11" s="1860"/>
      <c r="E11" s="1861"/>
      <c r="F11" s="1862"/>
      <c r="H11" s="1873">
        <f>IF(C11="X",5,0)</f>
        <v>0</v>
      </c>
      <c r="I11" s="1873">
        <f>IF(D11="X",5,0)</f>
        <v>0</v>
      </c>
      <c r="J11" s="1873">
        <f>IF(E11="X",5,0)</f>
        <v>0</v>
      </c>
    </row>
    <row r="12" spans="1:10" ht="12" customHeight="1">
      <c r="A12" s="1858" t="s">
        <v>1451</v>
      </c>
      <c r="B12" s="1859"/>
      <c r="C12" s="1860"/>
      <c r="D12" s="1860"/>
      <c r="E12" s="1863"/>
      <c r="F12" s="1862"/>
      <c r="H12" s="1873">
        <f t="shared" ref="H12:H33" si="0">IF(C12="X",5,0)</f>
        <v>0</v>
      </c>
      <c r="I12" s="1873">
        <f t="shared" ref="I12:I33" si="1">IF(D12="X",5,0)</f>
        <v>0</v>
      </c>
      <c r="J12" s="1873">
        <f t="shared" ref="J12:J33" si="2">IF(E12="X",5,0)</f>
        <v>0</v>
      </c>
    </row>
    <row r="13" spans="1:10" ht="12" customHeight="1">
      <c r="A13" s="1858" t="s">
        <v>1452</v>
      </c>
      <c r="B13" s="1859"/>
      <c r="C13" s="1860"/>
      <c r="D13" s="1860"/>
      <c r="E13" s="1863"/>
      <c r="F13" s="1862"/>
      <c r="H13" s="1873">
        <f t="shared" si="0"/>
        <v>0</v>
      </c>
      <c r="I13" s="1873">
        <f t="shared" si="1"/>
        <v>0</v>
      </c>
      <c r="J13" s="1873">
        <f t="shared" si="2"/>
        <v>0</v>
      </c>
    </row>
    <row r="14" spans="1:10" ht="12" customHeight="1">
      <c r="A14" s="1858" t="s">
        <v>1453</v>
      </c>
      <c r="B14" s="1859"/>
      <c r="C14" s="1860" t="s">
        <v>2081</v>
      </c>
      <c r="D14" s="1860" t="s">
        <v>2081</v>
      </c>
      <c r="E14" s="1863"/>
      <c r="F14" s="1862" t="s">
        <v>2152</v>
      </c>
      <c r="H14" s="1873">
        <f t="shared" si="0"/>
        <v>5</v>
      </c>
      <c r="I14" s="1873">
        <f t="shared" si="1"/>
        <v>5</v>
      </c>
      <c r="J14" s="1873">
        <f t="shared" si="2"/>
        <v>0</v>
      </c>
    </row>
    <row r="15" spans="1:10" ht="12" customHeight="1">
      <c r="A15" s="1858" t="s">
        <v>1454</v>
      </c>
      <c r="B15" s="1859"/>
      <c r="C15" s="1860"/>
      <c r="D15" s="1860"/>
      <c r="E15" s="1863"/>
      <c r="F15" s="1862"/>
      <c r="H15" s="1873">
        <f t="shared" si="0"/>
        <v>0</v>
      </c>
      <c r="I15" s="1873">
        <f t="shared" si="1"/>
        <v>0</v>
      </c>
      <c r="J15" s="1873">
        <f t="shared" si="2"/>
        <v>0</v>
      </c>
    </row>
    <row r="16" spans="1:10" ht="12" customHeight="1">
      <c r="A16" s="1858" t="s">
        <v>1455</v>
      </c>
      <c r="B16" s="1859"/>
      <c r="C16" s="1860" t="s">
        <v>2081</v>
      </c>
      <c r="D16" s="1860" t="s">
        <v>2081</v>
      </c>
      <c r="E16" s="1863"/>
      <c r="F16" s="1862" t="s">
        <v>2153</v>
      </c>
      <c r="H16" s="1873">
        <f t="shared" si="0"/>
        <v>5</v>
      </c>
      <c r="I16" s="1873">
        <f t="shared" si="1"/>
        <v>5</v>
      </c>
      <c r="J16" s="1873">
        <f t="shared" si="2"/>
        <v>0</v>
      </c>
    </row>
    <row r="17" spans="1:12" ht="12" customHeight="1">
      <c r="A17" s="1858" t="s">
        <v>1456</v>
      </c>
      <c r="B17" s="1859"/>
      <c r="C17" s="1860"/>
      <c r="D17" s="1860"/>
      <c r="E17" s="1863"/>
      <c r="F17" s="1862"/>
      <c r="H17" s="1873">
        <f t="shared" si="0"/>
        <v>0</v>
      </c>
      <c r="I17" s="1873">
        <f t="shared" si="1"/>
        <v>0</v>
      </c>
      <c r="J17" s="1873">
        <f t="shared" si="2"/>
        <v>0</v>
      </c>
    </row>
    <row r="18" spans="1:12" ht="12" customHeight="1">
      <c r="A18" s="1858" t="s">
        <v>1457</v>
      </c>
      <c r="B18" s="1859"/>
      <c r="C18" s="1860"/>
      <c r="D18" s="1860"/>
      <c r="E18" s="1863"/>
      <c r="F18" s="1862"/>
      <c r="H18" s="1873">
        <f t="shared" si="0"/>
        <v>0</v>
      </c>
      <c r="I18" s="1873">
        <f t="shared" si="1"/>
        <v>0</v>
      </c>
      <c r="J18" s="1873">
        <f t="shared" si="2"/>
        <v>0</v>
      </c>
    </row>
    <row r="19" spans="1:12" ht="12" customHeight="1">
      <c r="A19" s="1858" t="s">
        <v>1608</v>
      </c>
      <c r="B19" s="1859"/>
      <c r="C19" s="1860" t="s">
        <v>2081</v>
      </c>
      <c r="D19" s="1860" t="s">
        <v>2081</v>
      </c>
      <c r="E19" s="1863"/>
      <c r="F19" s="1862" t="s">
        <v>2154</v>
      </c>
      <c r="H19" s="1873">
        <f t="shared" si="0"/>
        <v>5</v>
      </c>
      <c r="I19" s="1873">
        <f t="shared" si="1"/>
        <v>5</v>
      </c>
      <c r="J19" s="1873">
        <f t="shared" si="2"/>
        <v>0</v>
      </c>
    </row>
    <row r="20" spans="1:12" ht="12" customHeight="1">
      <c r="A20" s="1858" t="s">
        <v>1609</v>
      </c>
      <c r="B20" s="1859"/>
      <c r="C20" s="1860" t="s">
        <v>2081</v>
      </c>
      <c r="D20" s="1860" t="s">
        <v>2081</v>
      </c>
      <c r="E20" s="1863"/>
      <c r="F20" s="1862" t="s">
        <v>2155</v>
      </c>
      <c r="H20" s="1873">
        <f t="shared" si="0"/>
        <v>5</v>
      </c>
      <c r="I20" s="1873">
        <f t="shared" si="1"/>
        <v>5</v>
      </c>
      <c r="J20" s="1873">
        <f t="shared" si="2"/>
        <v>0</v>
      </c>
    </row>
    <row r="21" spans="1:12" ht="12" customHeight="1">
      <c r="A21" s="1858" t="s">
        <v>1610</v>
      </c>
      <c r="B21" s="1859"/>
      <c r="C21" s="1860"/>
      <c r="D21" s="1860"/>
      <c r="E21" s="1863"/>
      <c r="F21" s="1862"/>
      <c r="H21" s="1873">
        <f t="shared" si="0"/>
        <v>0</v>
      </c>
      <c r="I21" s="1873">
        <f t="shared" si="1"/>
        <v>0</v>
      </c>
      <c r="J21" s="1873">
        <f t="shared" si="2"/>
        <v>0</v>
      </c>
    </row>
    <row r="22" spans="1:12" ht="12" customHeight="1">
      <c r="A22" s="1858" t="s">
        <v>1611</v>
      </c>
      <c r="B22" s="1859"/>
      <c r="C22" s="1860"/>
      <c r="D22" s="1860"/>
      <c r="E22" s="1863"/>
      <c r="F22" s="1862"/>
      <c r="H22" s="1873">
        <f t="shared" si="0"/>
        <v>0</v>
      </c>
      <c r="I22" s="1873">
        <f t="shared" si="1"/>
        <v>0</v>
      </c>
      <c r="J22" s="1873">
        <f t="shared" si="2"/>
        <v>0</v>
      </c>
    </row>
    <row r="23" spans="1:12" ht="12" customHeight="1">
      <c r="A23" s="1858" t="s">
        <v>1612</v>
      </c>
      <c r="B23" s="1859"/>
      <c r="C23" s="1860"/>
      <c r="D23" s="1860"/>
      <c r="E23" s="1863"/>
      <c r="F23" s="1862"/>
      <c r="H23" s="1873">
        <f t="shared" si="0"/>
        <v>0</v>
      </c>
      <c r="I23" s="1873">
        <f t="shared" si="1"/>
        <v>0</v>
      </c>
      <c r="J23" s="1873">
        <f t="shared" si="2"/>
        <v>0</v>
      </c>
    </row>
    <row r="24" spans="1:12" ht="12" customHeight="1">
      <c r="A24" s="1858" t="s">
        <v>1613</v>
      </c>
      <c r="B24" s="1859"/>
      <c r="C24" s="1860"/>
      <c r="D24" s="1860"/>
      <c r="E24" s="1863"/>
      <c r="F24" s="1862"/>
      <c r="H24" s="1873">
        <f t="shared" si="0"/>
        <v>0</v>
      </c>
      <c r="I24" s="1873">
        <f t="shared" si="1"/>
        <v>0</v>
      </c>
      <c r="J24" s="1873">
        <f t="shared" si="2"/>
        <v>0</v>
      </c>
    </row>
    <row r="25" spans="1:12" ht="12" customHeight="1">
      <c r="A25" s="1858" t="s">
        <v>1614</v>
      </c>
      <c r="B25" s="1859"/>
      <c r="C25" s="1860"/>
      <c r="D25" s="1860"/>
      <c r="E25" s="1863"/>
      <c r="F25" s="1862"/>
      <c r="H25" s="1873">
        <f t="shared" si="0"/>
        <v>0</v>
      </c>
      <c r="I25" s="1873">
        <f t="shared" si="1"/>
        <v>0</v>
      </c>
      <c r="J25" s="1873">
        <f t="shared" si="2"/>
        <v>0</v>
      </c>
    </row>
    <row r="26" spans="1:12" ht="12" customHeight="1">
      <c r="A26" s="1858" t="s">
        <v>1615</v>
      </c>
      <c r="B26" s="1859"/>
      <c r="C26" s="1860" t="s">
        <v>2081</v>
      </c>
      <c r="D26" s="1860" t="s">
        <v>2081</v>
      </c>
      <c r="E26" s="1863"/>
      <c r="F26" s="1862" t="s">
        <v>2151</v>
      </c>
      <c r="H26" s="1873">
        <f t="shared" si="0"/>
        <v>5</v>
      </c>
      <c r="I26" s="1873">
        <f t="shared" si="1"/>
        <v>5</v>
      </c>
      <c r="J26" s="1873">
        <f t="shared" si="2"/>
        <v>0</v>
      </c>
    </row>
    <row r="27" spans="1:12" ht="18.75">
      <c r="A27" s="1858" t="s">
        <v>1616</v>
      </c>
      <c r="B27" s="1859"/>
      <c r="C27" s="1860"/>
      <c r="D27" s="1860"/>
      <c r="E27" s="1863"/>
      <c r="F27" s="1862"/>
      <c r="H27" s="1873">
        <f t="shared" si="0"/>
        <v>0</v>
      </c>
      <c r="I27" s="1873">
        <f t="shared" si="1"/>
        <v>0</v>
      </c>
      <c r="J27" s="1873">
        <f t="shared" si="2"/>
        <v>0</v>
      </c>
    </row>
    <row r="28" spans="1:12" ht="12" customHeight="1">
      <c r="A28" s="1858" t="s">
        <v>1617</v>
      </c>
      <c r="B28" s="1859"/>
      <c r="C28" s="1860"/>
      <c r="D28" s="1860"/>
      <c r="E28" s="1863"/>
      <c r="F28" s="1862"/>
      <c r="H28" s="1873">
        <f t="shared" si="0"/>
        <v>0</v>
      </c>
      <c r="I28" s="1873">
        <f t="shared" si="1"/>
        <v>0</v>
      </c>
      <c r="J28" s="1873">
        <f t="shared" si="2"/>
        <v>0</v>
      </c>
    </row>
    <row r="29" spans="1:12" ht="12" customHeight="1">
      <c r="A29" s="1858" t="s">
        <v>1618</v>
      </c>
      <c r="B29" s="1859"/>
      <c r="C29" s="1860"/>
      <c r="D29" s="1860"/>
      <c r="E29" s="1863"/>
      <c r="F29" s="1862"/>
      <c r="H29" s="1873">
        <f t="shared" si="0"/>
        <v>0</v>
      </c>
      <c r="I29" s="1873">
        <f t="shared" si="1"/>
        <v>0</v>
      </c>
      <c r="J29" s="1873">
        <f t="shared" si="2"/>
        <v>0</v>
      </c>
    </row>
    <row r="30" spans="1:12" ht="12" customHeight="1">
      <c r="A30" s="1858" t="s">
        <v>1619</v>
      </c>
      <c r="B30" s="1859"/>
      <c r="C30" s="1860"/>
      <c r="D30" s="1860"/>
      <c r="E30" s="1863"/>
      <c r="F30" s="1862"/>
      <c r="H30" s="1873">
        <f t="shared" si="0"/>
        <v>0</v>
      </c>
      <c r="I30" s="1873">
        <f t="shared" si="1"/>
        <v>0</v>
      </c>
      <c r="J30" s="1873">
        <f t="shared" si="2"/>
        <v>0</v>
      </c>
    </row>
    <row r="31" spans="1:12" ht="12" customHeight="1">
      <c r="A31" s="1858" t="s">
        <v>1620</v>
      </c>
      <c r="B31" s="1859"/>
      <c r="C31" s="1860"/>
      <c r="D31" s="1860"/>
      <c r="E31" s="1863"/>
      <c r="F31" s="1862"/>
      <c r="H31" s="1873">
        <f t="shared" si="0"/>
        <v>0</v>
      </c>
      <c r="I31" s="1873">
        <f t="shared" si="1"/>
        <v>0</v>
      </c>
      <c r="J31" s="1873">
        <f t="shared" si="2"/>
        <v>0</v>
      </c>
      <c r="L31" s="1864"/>
    </row>
    <row r="32" spans="1:12" ht="12" customHeight="1">
      <c r="A32" s="1858" t="s">
        <v>1621</v>
      </c>
      <c r="B32" s="1859"/>
      <c r="C32" s="1860"/>
      <c r="D32" s="1860"/>
      <c r="E32" s="1863"/>
      <c r="F32" s="1862"/>
      <c r="H32" s="1873">
        <f t="shared" si="0"/>
        <v>0</v>
      </c>
      <c r="I32" s="1873">
        <f t="shared" si="1"/>
        <v>0</v>
      </c>
      <c r="J32" s="1873">
        <f t="shared" si="2"/>
        <v>0</v>
      </c>
    </row>
    <row r="33" spans="1:11" ht="12" customHeight="1">
      <c r="A33" s="1858" t="s">
        <v>1622</v>
      </c>
      <c r="B33" s="1859"/>
      <c r="C33" s="1860"/>
      <c r="D33" s="1860"/>
      <c r="E33" s="1863"/>
      <c r="F33" s="1862"/>
      <c r="H33" s="1873">
        <f t="shared" si="0"/>
        <v>0</v>
      </c>
      <c r="I33" s="1873">
        <f t="shared" si="1"/>
        <v>0</v>
      </c>
      <c r="J33" s="1873">
        <f t="shared" si="2"/>
        <v>0</v>
      </c>
    </row>
    <row r="34" spans="1:11" ht="12" customHeight="1">
      <c r="A34" s="1865"/>
      <c r="B34" s="1865"/>
      <c r="C34" s="1865"/>
      <c r="D34" s="1865"/>
      <c r="E34" s="1865"/>
      <c r="F34" s="1865"/>
      <c r="H34" s="1873">
        <f>SUM(H11:H32)</f>
        <v>25</v>
      </c>
      <c r="I34" s="1873">
        <f>SUM(I11:I32)</f>
        <v>25</v>
      </c>
      <c r="J34" s="1873">
        <f>SUM(J11:J32)</f>
        <v>0</v>
      </c>
      <c r="K34" s="1873">
        <f>SUM(H34:J34)</f>
        <v>50</v>
      </c>
    </row>
    <row r="35" spans="1:11" ht="12" customHeight="1">
      <c r="A35" s="1866" t="s">
        <v>1459</v>
      </c>
      <c r="B35" s="1867"/>
      <c r="C35" s="2343"/>
      <c r="D35" s="2343"/>
      <c r="E35" s="2343"/>
      <c r="F35" s="2344"/>
    </row>
    <row r="36" spans="1:11" ht="12" customHeight="1">
      <c r="A36" s="2326"/>
      <c r="B36" s="2327"/>
      <c r="C36" s="2327"/>
      <c r="D36" s="2327"/>
      <c r="E36" s="2327"/>
      <c r="F36" s="2328"/>
    </row>
    <row r="37" spans="1:11" ht="12" customHeight="1">
      <c r="A37" s="2326"/>
      <c r="B37" s="2327"/>
      <c r="C37" s="2327"/>
      <c r="D37" s="2327"/>
      <c r="E37" s="2327"/>
      <c r="F37" s="2328"/>
    </row>
    <row r="38" spans="1:11" ht="12" customHeight="1">
      <c r="A38" s="2329"/>
      <c r="B38" s="2330"/>
      <c r="C38" s="2330"/>
      <c r="D38" s="2330"/>
      <c r="E38" s="2330"/>
      <c r="F38" s="2331"/>
    </row>
    <row r="39" spans="1:11" ht="4.5" hidden="1" customHeight="1">
      <c r="A39" s="1868"/>
      <c r="B39" s="1868"/>
      <c r="C39" s="1868"/>
      <c r="D39" s="1868"/>
      <c r="E39" s="1868"/>
      <c r="F39" s="1868"/>
    </row>
    <row r="40" spans="1:11" s="1865" customFormat="1" ht="12" customHeight="1">
      <c r="A40" s="1869" t="s">
        <v>1458</v>
      </c>
      <c r="B40" s="1870"/>
      <c r="C40" s="2332"/>
      <c r="D40" s="2332"/>
      <c r="E40" s="2332"/>
      <c r="F40" s="2333"/>
      <c r="H40" s="1874"/>
      <c r="I40" s="1874"/>
      <c r="J40" s="1874"/>
      <c r="K40" s="1874"/>
    </row>
    <row r="41" spans="1:11" s="1865" customFormat="1" ht="12" customHeight="1">
      <c r="A41" s="2334"/>
      <c r="B41" s="2335"/>
      <c r="C41" s="2335"/>
      <c r="D41" s="2335"/>
      <c r="E41" s="2335"/>
      <c r="F41" s="2336"/>
      <c r="H41" s="1874"/>
      <c r="I41" s="1874"/>
      <c r="J41" s="1874"/>
      <c r="K41" s="1874"/>
    </row>
    <row r="42" spans="1:11" s="1865" customFormat="1" ht="12" customHeight="1">
      <c r="A42" s="2334"/>
      <c r="B42" s="2335"/>
      <c r="C42" s="2335"/>
      <c r="D42" s="2335"/>
      <c r="E42" s="2335"/>
      <c r="F42" s="2336"/>
      <c r="H42" s="1874"/>
      <c r="I42" s="1874"/>
      <c r="J42" s="1874"/>
      <c r="K42" s="1874"/>
    </row>
    <row r="43" spans="1:11" s="1865" customFormat="1" ht="15">
      <c r="A43" s="2323"/>
      <c r="B43" s="2324"/>
      <c r="C43" s="2324"/>
      <c r="D43" s="2324"/>
      <c r="E43" s="2324"/>
      <c r="F43" s="2325"/>
      <c r="H43" s="1874"/>
      <c r="I43" s="1874"/>
      <c r="J43" s="1874"/>
      <c r="K43" s="1874"/>
    </row>
    <row r="44" spans="1:11" s="1865" customFormat="1" ht="12" hidden="1" customHeight="1">
      <c r="A44" s="2323"/>
      <c r="B44" s="2324"/>
      <c r="C44" s="2324"/>
      <c r="D44" s="2324"/>
      <c r="E44" s="2324"/>
      <c r="F44" s="2325"/>
      <c r="H44" s="1874"/>
      <c r="I44" s="1874"/>
      <c r="J44" s="1874"/>
      <c r="K44" s="1874"/>
    </row>
    <row r="45" spans="1:11" s="1865" customFormat="1" ht="12" customHeight="1">
      <c r="H45" s="1874"/>
      <c r="I45" s="1874"/>
      <c r="J45" s="1874"/>
      <c r="K45" s="1874"/>
    </row>
    <row r="46" spans="1:11" s="1865" customFormat="1" ht="9.75" customHeight="1">
      <c r="H46" s="1874"/>
      <c r="I46" s="1874"/>
      <c r="J46" s="1874"/>
      <c r="K46" s="1874"/>
    </row>
    <row r="47" spans="1:11" s="1865" customFormat="1" ht="13.5" customHeight="1">
      <c r="H47" s="1874"/>
      <c r="I47" s="1874"/>
      <c r="J47" s="1874"/>
      <c r="K47" s="1874"/>
    </row>
    <row r="48" spans="1:11" s="1865" customFormat="1" ht="15">
      <c r="H48" s="1874"/>
      <c r="I48" s="1874"/>
      <c r="J48" s="1874"/>
      <c r="K48" s="1874"/>
    </row>
    <row r="49" spans="1:11" s="1865" customFormat="1" ht="15" hidden="1">
      <c r="A49" s="1865" t="b">
        <v>0</v>
      </c>
      <c r="H49" s="1874"/>
      <c r="I49" s="1874"/>
      <c r="J49" s="1874"/>
      <c r="K49" s="1874"/>
    </row>
    <row r="50" spans="1:11" s="1865" customFormat="1" ht="15">
      <c r="H50" s="1874"/>
      <c r="I50" s="1874"/>
      <c r="J50" s="1874"/>
      <c r="K50" s="1874"/>
    </row>
    <row r="51" spans="1:11" s="1865" customFormat="1" ht="15">
      <c r="H51" s="1874"/>
      <c r="I51" s="1874"/>
      <c r="J51" s="1874"/>
      <c r="K51" s="1874"/>
    </row>
    <row r="52" spans="1:11" s="1865" customFormat="1" ht="15">
      <c r="H52" s="1874"/>
      <c r="I52" s="1874"/>
      <c r="J52" s="1874"/>
      <c r="K52" s="1874"/>
    </row>
    <row r="53" spans="1:11" s="1865" customFormat="1" ht="15">
      <c r="H53" s="1874"/>
      <c r="I53" s="1874"/>
      <c r="J53" s="1874"/>
      <c r="K53" s="1874"/>
    </row>
    <row r="54" spans="1:11" s="1865" customFormat="1" ht="15">
      <c r="H54" s="1874"/>
      <c r="I54" s="1874"/>
      <c r="J54" s="1874"/>
      <c r="K54" s="1874"/>
    </row>
    <row r="55" spans="1:11" s="1865" customFormat="1" ht="15">
      <c r="H55" s="1874"/>
      <c r="I55" s="1874"/>
      <c r="J55" s="1874"/>
      <c r="K55" s="1874"/>
    </row>
    <row r="56" spans="1:11" s="1865" customFormat="1" ht="15">
      <c r="H56" s="1874"/>
      <c r="I56" s="1874"/>
      <c r="J56" s="1874"/>
      <c r="K56" s="1874"/>
    </row>
    <row r="57" spans="1:11" s="1865" customFormat="1" ht="15">
      <c r="H57" s="1874"/>
      <c r="I57" s="1874"/>
      <c r="J57" s="1874"/>
      <c r="K57" s="1874"/>
    </row>
    <row r="58" spans="1:11" s="1865" customFormat="1" ht="15">
      <c r="H58" s="1874"/>
      <c r="I58" s="1874"/>
      <c r="J58" s="1874"/>
      <c r="K58" s="1874"/>
    </row>
    <row r="59" spans="1:11" s="1865" customFormat="1" ht="15">
      <c r="H59" s="1874"/>
      <c r="I59" s="1874"/>
      <c r="J59" s="1874"/>
      <c r="K59" s="1874"/>
    </row>
    <row r="60" spans="1:11" s="1865" customFormat="1" ht="15">
      <c r="H60" s="1874"/>
      <c r="I60" s="1874"/>
      <c r="J60" s="1874"/>
      <c r="K60" s="1874"/>
    </row>
    <row r="61" spans="1:11" s="1865" customFormat="1" ht="15">
      <c r="H61" s="1874"/>
      <c r="I61" s="1874"/>
      <c r="J61" s="1874"/>
      <c r="K61" s="1874"/>
    </row>
    <row r="62" spans="1:11" s="1865" customFormat="1" ht="15">
      <c r="H62" s="1874"/>
      <c r="I62" s="1874"/>
      <c r="J62" s="1874"/>
      <c r="K62" s="1874"/>
    </row>
    <row r="63" spans="1:11" s="1865" customFormat="1" ht="15">
      <c r="H63" s="1874"/>
      <c r="I63" s="1874"/>
      <c r="J63" s="1874"/>
      <c r="K63" s="1874"/>
    </row>
    <row r="64" spans="1:11" s="1865" customFormat="1" ht="15">
      <c r="H64" s="1874"/>
      <c r="I64" s="1874"/>
      <c r="J64" s="1874"/>
      <c r="K64" s="1874"/>
    </row>
    <row r="65" spans="8:11" s="1865" customFormat="1" ht="15">
      <c r="H65" s="1874"/>
      <c r="I65" s="1874"/>
      <c r="J65" s="1874"/>
      <c r="K65" s="1874"/>
    </row>
    <row r="66" spans="8:11" s="1865" customFormat="1" ht="15">
      <c r="H66" s="1874"/>
      <c r="I66" s="1874"/>
      <c r="J66" s="1874"/>
      <c r="K66" s="1874"/>
    </row>
    <row r="67" spans="8:11" s="1865" customFormat="1" ht="15">
      <c r="H67" s="1874"/>
      <c r="I67" s="1874"/>
      <c r="J67" s="1874"/>
      <c r="K67" s="1874"/>
    </row>
    <row r="68" spans="8:11" s="1865" customFormat="1" ht="15">
      <c r="H68" s="1874"/>
      <c r="I68" s="1874"/>
      <c r="J68" s="1874"/>
      <c r="K68" s="1874"/>
    </row>
    <row r="69" spans="8:11" s="1865" customFormat="1" ht="15">
      <c r="H69" s="1874"/>
      <c r="I69" s="1874"/>
      <c r="J69" s="1874"/>
      <c r="K69" s="1874"/>
    </row>
    <row r="70" spans="8:11" s="1865" customFormat="1" ht="15">
      <c r="H70" s="1874"/>
      <c r="I70" s="1874"/>
      <c r="J70" s="1874"/>
      <c r="K70" s="1874"/>
    </row>
    <row r="71" spans="8:11" s="1865" customFormat="1" ht="15">
      <c r="H71" s="1874"/>
      <c r="I71" s="1874"/>
      <c r="J71" s="1874"/>
      <c r="K71" s="1874"/>
    </row>
    <row r="72" spans="8:11" s="1865" customFormat="1" ht="15">
      <c r="H72" s="1874"/>
      <c r="I72" s="1874"/>
      <c r="J72" s="1874"/>
      <c r="K72" s="1874"/>
    </row>
    <row r="73" spans="8:11" s="1865" customFormat="1" ht="15">
      <c r="H73" s="1874"/>
      <c r="I73" s="1874"/>
      <c r="J73" s="1874"/>
      <c r="K73" s="1874"/>
    </row>
    <row r="74" spans="8:11" s="1865" customFormat="1" ht="15">
      <c r="H74" s="1874"/>
      <c r="I74" s="1874"/>
      <c r="J74" s="1874"/>
      <c r="K74" s="1874"/>
    </row>
    <row r="75" spans="8:11" s="1865" customFormat="1" ht="15">
      <c r="H75" s="1874"/>
      <c r="I75" s="1874"/>
      <c r="J75" s="1874"/>
      <c r="K75" s="1874"/>
    </row>
    <row r="76" spans="8:11" s="1865" customFormat="1" ht="15">
      <c r="H76" s="1874"/>
      <c r="I76" s="1874"/>
      <c r="J76" s="1874"/>
      <c r="K76" s="1874"/>
    </row>
    <row r="77" spans="8:11" s="1865" customFormat="1" ht="15">
      <c r="H77" s="1874"/>
      <c r="I77" s="1874"/>
      <c r="J77" s="1874"/>
      <c r="K77" s="1874"/>
    </row>
    <row r="78" spans="8:11" s="1865" customFormat="1" ht="15">
      <c r="H78" s="1874"/>
      <c r="I78" s="1874"/>
      <c r="J78" s="1874"/>
      <c r="K78" s="1874"/>
    </row>
    <row r="79" spans="8:11" s="1865" customFormat="1" ht="15">
      <c r="H79" s="1874"/>
      <c r="I79" s="1874"/>
      <c r="J79" s="1874"/>
      <c r="K79" s="1874"/>
    </row>
    <row r="80" spans="8:11" s="1865" customFormat="1" ht="15">
      <c r="H80" s="1874"/>
      <c r="I80" s="1874"/>
      <c r="J80" s="1874"/>
      <c r="K80" s="1874"/>
    </row>
    <row r="81" spans="8:11" s="1865" customFormat="1" ht="15">
      <c r="H81" s="1874"/>
      <c r="I81" s="1874"/>
      <c r="J81" s="1874"/>
      <c r="K81" s="1874"/>
    </row>
    <row r="82" spans="8:11" s="1865" customFormat="1" ht="15">
      <c r="H82" s="1874"/>
      <c r="I82" s="1874"/>
      <c r="J82" s="1874"/>
      <c r="K82" s="1874"/>
    </row>
    <row r="83" spans="8:11" s="1865" customFormat="1" ht="15">
      <c r="H83" s="1874"/>
      <c r="I83" s="1874"/>
      <c r="J83" s="1874"/>
      <c r="K83" s="1874"/>
    </row>
    <row r="84" spans="8:11" s="1865" customFormat="1" ht="15">
      <c r="H84" s="1874"/>
      <c r="I84" s="1874"/>
      <c r="J84" s="1874"/>
      <c r="K84" s="1874"/>
    </row>
    <row r="85" spans="8:11" s="1865" customFormat="1" ht="15">
      <c r="H85" s="1874"/>
      <c r="I85" s="1874"/>
      <c r="J85" s="1874"/>
      <c r="K85" s="1874"/>
    </row>
    <row r="86" spans="8:11" s="1865" customFormat="1" ht="15">
      <c r="H86" s="1874"/>
      <c r="I86" s="1874"/>
      <c r="J86" s="1874"/>
      <c r="K86" s="1874"/>
    </row>
    <row r="87" spans="8:11" s="1865" customFormat="1" ht="15">
      <c r="H87" s="1874"/>
      <c r="I87" s="1874"/>
      <c r="J87" s="1874"/>
      <c r="K87" s="1874"/>
    </row>
    <row r="88" spans="8:11" s="1865" customFormat="1" ht="15">
      <c r="H88" s="1874"/>
      <c r="I88" s="1874"/>
      <c r="J88" s="1874"/>
      <c r="K88" s="1874"/>
    </row>
    <row r="89" spans="8:11" s="1865" customFormat="1" ht="15">
      <c r="H89" s="1874"/>
      <c r="I89" s="1874"/>
      <c r="J89" s="1874"/>
      <c r="K89" s="1874"/>
    </row>
    <row r="90" spans="8:11" s="1865" customFormat="1" ht="15">
      <c r="H90" s="1874"/>
      <c r="I90" s="1874"/>
      <c r="J90" s="1874"/>
      <c r="K90" s="1874"/>
    </row>
    <row r="91" spans="8:11" s="1865" customFormat="1" ht="15">
      <c r="H91" s="1874"/>
      <c r="I91" s="1874"/>
      <c r="J91" s="1874"/>
      <c r="K91" s="1874"/>
    </row>
    <row r="92" spans="8:11" s="1865" customFormat="1" ht="15">
      <c r="H92" s="1874"/>
      <c r="I92" s="1874"/>
      <c r="J92" s="1874"/>
      <c r="K92" s="1874"/>
    </row>
    <row r="93" spans="8:11" s="1865" customFormat="1" ht="15">
      <c r="H93" s="1874"/>
      <c r="I93" s="1874"/>
      <c r="J93" s="1874"/>
      <c r="K93" s="1874"/>
    </row>
    <row r="94" spans="8:11" s="1865" customFormat="1" ht="15">
      <c r="H94" s="1874"/>
      <c r="I94" s="1874"/>
      <c r="J94" s="1874"/>
      <c r="K94" s="1874"/>
    </row>
    <row r="95" spans="8:11" s="1865" customFormat="1" ht="15">
      <c r="H95" s="1874"/>
      <c r="I95" s="1874"/>
      <c r="J95" s="1874"/>
      <c r="K95" s="1874"/>
    </row>
    <row r="96" spans="8:11" s="1865" customFormat="1" ht="15">
      <c r="H96" s="1874"/>
      <c r="I96" s="1874"/>
      <c r="J96" s="1874"/>
      <c r="K96" s="1874"/>
    </row>
    <row r="97" spans="8:11" s="1865" customFormat="1" ht="15">
      <c r="H97" s="1874"/>
      <c r="I97" s="1874"/>
      <c r="J97" s="1874"/>
      <c r="K97" s="187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topLeftCell="D17" colorId="8" zoomScale="110" zoomScaleNormal="110" zoomScaleSheetLayoutView="110" workbookViewId="0">
      <selection activeCell="G18" sqref="G18"/>
    </sheetView>
  </sheetViews>
  <sheetFormatPr defaultColWidth="9.140625" defaultRowHeight="12.75"/>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c r="A1" s="979"/>
      <c r="B1" s="980"/>
      <c r="E1" s="982"/>
      <c r="F1" s="983" t="s">
        <v>425</v>
      </c>
      <c r="G1" s="984"/>
    </row>
    <row r="2" spans="1:17" ht="11.85" customHeight="1">
      <c r="A2" s="979"/>
      <c r="B2" s="980"/>
      <c r="E2" s="982"/>
      <c r="F2" s="985" t="s">
        <v>308</v>
      </c>
      <c r="G2" s="984"/>
    </row>
    <row r="3" spans="1:17" ht="11.85" customHeight="1">
      <c r="E3" s="982"/>
      <c r="F3" s="985" t="s">
        <v>426</v>
      </c>
      <c r="G3" s="982"/>
    </row>
    <row r="4" spans="1:17" ht="11.85" customHeight="1">
      <c r="E4" s="982"/>
      <c r="F4" s="985" t="s">
        <v>923</v>
      </c>
      <c r="G4" s="982"/>
    </row>
    <row r="5" spans="1:17" ht="12.2" customHeight="1">
      <c r="F5" s="985"/>
    </row>
    <row r="6" spans="1:17">
      <c r="A6" s="1889" t="s">
        <v>693</v>
      </c>
      <c r="B6" s="1634"/>
      <c r="C6" s="1634"/>
      <c r="D6" s="1634"/>
      <c r="E6" s="1635"/>
      <c r="F6" s="986"/>
      <c r="G6" s="980"/>
      <c r="H6" s="987" t="s">
        <v>1086</v>
      </c>
      <c r="I6" s="2350" t="str">
        <f>COVER!A17</f>
        <v>Rich Township High School District 227</v>
      </c>
      <c r="J6" s="2351"/>
      <c r="Q6" s="1656"/>
    </row>
    <row r="7" spans="1:17">
      <c r="A7" s="2352" t="s">
        <v>924</v>
      </c>
      <c r="B7" s="2353"/>
      <c r="C7" s="2353"/>
      <c r="D7" s="2353"/>
      <c r="E7" s="2354"/>
      <c r="F7" s="988"/>
      <c r="G7" s="980"/>
      <c r="H7" s="987" t="s">
        <v>390</v>
      </c>
      <c r="I7" s="2355" t="str">
        <f>COVER!A13</f>
        <v>07-016-2270-17</v>
      </c>
      <c r="J7" s="2355"/>
    </row>
    <row r="8" spans="1:17" ht="8.25" customHeight="1">
      <c r="A8" s="1636"/>
      <c r="B8" s="1637"/>
      <c r="C8" s="1637"/>
      <c r="D8" s="1637"/>
      <c r="E8" s="1638"/>
      <c r="F8" s="989"/>
      <c r="G8" s="990"/>
      <c r="H8" s="990"/>
      <c r="I8" s="990"/>
      <c r="J8" s="990"/>
    </row>
    <row r="9" spans="1:17" ht="13.5" customHeight="1">
      <c r="A9" s="991"/>
      <c r="B9" s="992"/>
      <c r="C9" s="992"/>
      <c r="D9" s="993"/>
      <c r="E9" s="1890" t="s">
        <v>1701</v>
      </c>
      <c r="F9" s="994"/>
      <c r="G9" s="994"/>
      <c r="H9" s="1891" t="s">
        <v>1702</v>
      </c>
      <c r="I9" s="994"/>
      <c r="J9" s="995"/>
    </row>
    <row r="10" spans="1:17" s="1003" customFormat="1" ht="13.5" customHeight="1">
      <c r="A10" s="996"/>
      <c r="B10" s="997"/>
      <c r="C10" s="998"/>
      <c r="D10" s="999"/>
      <c r="E10" s="1000" t="s">
        <v>445</v>
      </c>
      <c r="F10" s="1001" t="s">
        <v>446</v>
      </c>
      <c r="G10" s="1002"/>
      <c r="H10" s="1001" t="s">
        <v>445</v>
      </c>
      <c r="I10" s="1001" t="s">
        <v>446</v>
      </c>
      <c r="J10" s="1001"/>
    </row>
    <row r="11" spans="1:17" s="1003" customFormat="1" ht="22.5">
      <c r="A11" s="2356" t="s">
        <v>502</v>
      </c>
      <c r="B11" s="2357"/>
      <c r="C11" s="2358"/>
      <c r="D11" s="1004" t="s">
        <v>926</v>
      </c>
      <c r="E11" s="1004" t="s">
        <v>66</v>
      </c>
      <c r="F11" s="1004" t="s">
        <v>6</v>
      </c>
      <c r="G11" s="1005" t="s">
        <v>158</v>
      </c>
      <c r="H11" s="1005" t="s">
        <v>66</v>
      </c>
      <c r="I11" s="1004" t="s">
        <v>6</v>
      </c>
      <c r="J11" s="1005" t="s">
        <v>158</v>
      </c>
    </row>
    <row r="12" spans="1:17" ht="15" customHeight="1">
      <c r="A12" s="1006">
        <v>1</v>
      </c>
      <c r="B12" s="1007" t="s">
        <v>872</v>
      </c>
      <c r="C12" s="1008"/>
      <c r="D12" s="1009">
        <v>2320</v>
      </c>
      <c r="E12" s="1804">
        <f>'Expenditures 15-22'!K50</f>
        <v>436443</v>
      </c>
      <c r="F12" s="1010"/>
      <c r="G12" s="1804">
        <f t="shared" ref="G12:G18" si="0">SUM(E12:F12)</f>
        <v>436443</v>
      </c>
      <c r="H12" s="1011">
        <v>514114</v>
      </c>
      <c r="I12" s="1010"/>
      <c r="J12" s="1804">
        <f t="shared" ref="J12:J18" si="1">SUM(H12:I12)</f>
        <v>514114</v>
      </c>
    </row>
    <row r="13" spans="1:17" ht="15" customHeight="1">
      <c r="A13" s="1006">
        <v>2</v>
      </c>
      <c r="B13" s="1007" t="s">
        <v>44</v>
      </c>
      <c r="C13" s="1008"/>
      <c r="D13" s="1009">
        <v>2330</v>
      </c>
      <c r="E13" s="1804">
        <f>'Expenditures 15-22'!K51</f>
        <v>742606</v>
      </c>
      <c r="F13" s="1010"/>
      <c r="G13" s="1804">
        <f t="shared" si="0"/>
        <v>742606</v>
      </c>
      <c r="H13" s="1011">
        <v>525342</v>
      </c>
      <c r="I13" s="1010"/>
      <c r="J13" s="1804">
        <f t="shared" si="1"/>
        <v>525342</v>
      </c>
    </row>
    <row r="14" spans="1:17" ht="15" customHeight="1">
      <c r="A14" s="1006">
        <v>3</v>
      </c>
      <c r="B14" s="1007" t="s">
        <v>45</v>
      </c>
      <c r="C14" s="1008"/>
      <c r="D14" s="1012">
        <v>2490</v>
      </c>
      <c r="E14" s="1804">
        <f>'Expenditures 15-22'!K56</f>
        <v>1246874</v>
      </c>
      <c r="F14" s="1010"/>
      <c r="G14" s="1804">
        <f t="shared" si="0"/>
        <v>1246874</v>
      </c>
      <c r="H14" s="1011">
        <v>1245911</v>
      </c>
      <c r="I14" s="1010"/>
      <c r="J14" s="1804">
        <f t="shared" si="1"/>
        <v>1245911</v>
      </c>
    </row>
    <row r="15" spans="1:17" ht="15" customHeight="1">
      <c r="A15" s="1006">
        <v>4</v>
      </c>
      <c r="B15" s="1007" t="s">
        <v>1128</v>
      </c>
      <c r="C15" s="1008"/>
      <c r="D15" s="1009">
        <v>2510</v>
      </c>
      <c r="E15" s="1804">
        <f>'Expenditures 15-22'!K59</f>
        <v>120072</v>
      </c>
      <c r="F15" s="1804">
        <f>'Expenditures 15-22'!K122</f>
        <v>0</v>
      </c>
      <c r="G15" s="1804">
        <f t="shared" si="0"/>
        <v>120072</v>
      </c>
      <c r="H15" s="1011">
        <v>187556</v>
      </c>
      <c r="I15" s="1011"/>
      <c r="J15" s="1804">
        <f t="shared" si="1"/>
        <v>187556</v>
      </c>
    </row>
    <row r="16" spans="1:17" ht="15" customHeight="1">
      <c r="A16" s="1006">
        <v>5</v>
      </c>
      <c r="B16" s="1007" t="s">
        <v>103</v>
      </c>
      <c r="C16" s="1008"/>
      <c r="D16" s="1009">
        <v>2570</v>
      </c>
      <c r="E16" s="1804">
        <f>'Expenditures 15-22'!K64</f>
        <v>141544</v>
      </c>
      <c r="F16" s="1010"/>
      <c r="G16" s="1804">
        <f t="shared" si="0"/>
        <v>141544</v>
      </c>
      <c r="H16" s="1011">
        <v>320990</v>
      </c>
      <c r="I16" s="1010"/>
      <c r="J16" s="1804">
        <f t="shared" si="1"/>
        <v>320990</v>
      </c>
    </row>
    <row r="17" spans="1:10" ht="15" customHeight="1">
      <c r="A17" s="1006">
        <v>6</v>
      </c>
      <c r="B17" s="1007" t="s">
        <v>1120</v>
      </c>
      <c r="C17" s="1008"/>
      <c r="D17" s="1009">
        <v>2610</v>
      </c>
      <c r="E17" s="1804">
        <f>'Expenditures 15-22'!K67</f>
        <v>0</v>
      </c>
      <c r="F17" s="1010"/>
      <c r="G17" s="1804">
        <f t="shared" si="0"/>
        <v>0</v>
      </c>
      <c r="H17" s="1011">
        <v>0</v>
      </c>
      <c r="I17" s="1010"/>
      <c r="J17" s="1804">
        <f t="shared" si="1"/>
        <v>0</v>
      </c>
    </row>
    <row r="18" spans="1:10" ht="22.5" customHeight="1">
      <c r="A18" s="1013">
        <v>7</v>
      </c>
      <c r="B18" s="2359" t="s">
        <v>7</v>
      </c>
      <c r="C18" s="2360"/>
      <c r="D18" s="2361"/>
      <c r="E18" s="1014"/>
      <c r="F18" s="1014"/>
      <c r="G18" s="1805">
        <f t="shared" si="0"/>
        <v>0</v>
      </c>
      <c r="H18" s="1011"/>
      <c r="I18" s="1011"/>
      <c r="J18" s="1804">
        <f t="shared" si="1"/>
        <v>0</v>
      </c>
    </row>
    <row r="19" spans="1:10" ht="12.75" customHeight="1" thickBot="1">
      <c r="A19" s="1006">
        <v>8</v>
      </c>
      <c r="B19" s="1015" t="s">
        <v>1223</v>
      </c>
      <c r="D19" s="1016"/>
      <c r="E19" s="1806">
        <f t="shared" ref="E19:J19" si="2">SUM(E12:E17)-E18</f>
        <v>2687539</v>
      </c>
      <c r="F19" s="1806">
        <f t="shared" si="2"/>
        <v>0</v>
      </c>
      <c r="G19" s="1806">
        <f t="shared" si="2"/>
        <v>2687539</v>
      </c>
      <c r="H19" s="1806">
        <f t="shared" si="2"/>
        <v>2793913</v>
      </c>
      <c r="I19" s="1806">
        <f t="shared" si="2"/>
        <v>0</v>
      </c>
      <c r="J19" s="1806">
        <f t="shared" si="2"/>
        <v>2793913</v>
      </c>
    </row>
    <row r="20" spans="1:10" ht="13.5" thickTop="1">
      <c r="A20" s="1006">
        <v>9</v>
      </c>
      <c r="B20" s="2362" t="s">
        <v>1703</v>
      </c>
      <c r="C20" s="2362"/>
      <c r="D20" s="2363"/>
      <c r="E20" s="1017"/>
      <c r="F20" s="1017"/>
      <c r="G20" s="1017"/>
      <c r="H20" s="1017"/>
      <c r="I20" s="1017"/>
      <c r="J20" s="1807">
        <f>IF(AND(G19&gt;0,J19&gt;0),(((J19-G19)/G19)),"Enter Budget Data")</f>
        <v>3.9580448879067427E-2</v>
      </c>
    </row>
    <row r="21" spans="1:10" ht="9" customHeight="1">
      <c r="B21" s="1018"/>
    </row>
    <row r="22" spans="1:10">
      <c r="A22" s="1019" t="s">
        <v>135</v>
      </c>
      <c r="B22" s="1018"/>
    </row>
    <row r="23" spans="1:10">
      <c r="A23" s="982" t="s">
        <v>1704</v>
      </c>
      <c r="B23" s="1018"/>
    </row>
    <row r="24" spans="1:10">
      <c r="A24" s="982" t="s">
        <v>1705</v>
      </c>
      <c r="B24" s="1018"/>
    </row>
    <row r="25" spans="1:10">
      <c r="A25" s="1020"/>
      <c r="B25" s="1018"/>
    </row>
    <row r="26" spans="1:10" ht="20.100000000000001" customHeight="1">
      <c r="B26" s="1018"/>
      <c r="C26" s="2368"/>
      <c r="D26" s="2368"/>
      <c r="E26" s="1021"/>
      <c r="F26" s="2367"/>
      <c r="G26" s="2367"/>
    </row>
    <row r="27" spans="1:10">
      <c r="B27" s="1018"/>
      <c r="C27" s="1022" t="s">
        <v>1093</v>
      </c>
      <c r="D27" s="1023"/>
      <c r="E27" s="1024"/>
      <c r="F27" s="2364" t="s">
        <v>1589</v>
      </c>
      <c r="G27" s="2364"/>
    </row>
    <row r="28" spans="1:10" ht="28.5" customHeight="1">
      <c r="B28" s="1018"/>
      <c r="C28" s="2366"/>
      <c r="D28" s="2366"/>
      <c r="E28" s="1025"/>
      <c r="F28" s="2366"/>
      <c r="G28" s="2366"/>
    </row>
    <row r="29" spans="1:10">
      <c r="B29" s="1018"/>
      <c r="C29" s="1026" t="s">
        <v>1642</v>
      </c>
      <c r="E29" s="1027"/>
      <c r="F29" s="2365" t="s">
        <v>1590</v>
      </c>
      <c r="G29" s="2365"/>
    </row>
    <row r="30" spans="1:10" ht="9" customHeight="1">
      <c r="B30" s="1018"/>
      <c r="C30" s="1028"/>
      <c r="E30" s="1029"/>
      <c r="F30" s="1030"/>
      <c r="G30" s="1030"/>
    </row>
    <row r="31" spans="1:10" ht="15" customHeight="1">
      <c r="A31" s="982"/>
      <c r="B31" s="1031" t="s">
        <v>1094</v>
      </c>
    </row>
    <row r="32" spans="1:10" ht="9" customHeight="1">
      <c r="A32" s="982"/>
      <c r="B32" s="1019"/>
    </row>
    <row r="33" spans="1:10" ht="12.75" customHeight="1">
      <c r="A33" s="982"/>
      <c r="B33" s="1032"/>
      <c r="C33" s="2347" t="s">
        <v>134</v>
      </c>
      <c r="D33" s="2348"/>
      <c r="E33" s="2348"/>
      <c r="F33" s="2348"/>
      <c r="G33" s="2348"/>
      <c r="H33" s="2348"/>
      <c r="I33" s="2348"/>
    </row>
    <row r="34" spans="1:10" ht="10.35" customHeight="1">
      <c r="C34" s="2348"/>
      <c r="D34" s="2348"/>
      <c r="E34" s="2348"/>
      <c r="F34" s="2348"/>
      <c r="G34" s="2348"/>
      <c r="H34" s="2348"/>
      <c r="I34" s="2348"/>
    </row>
    <row r="35" spans="1:10" ht="7.5" customHeight="1">
      <c r="C35" s="1033"/>
    </row>
    <row r="36" spans="1:10" ht="13.5" customHeight="1">
      <c r="B36" s="1032"/>
      <c r="C36" s="2349" t="s">
        <v>1942</v>
      </c>
      <c r="D36" s="2348"/>
      <c r="E36" s="2348"/>
      <c r="F36" s="2348"/>
      <c r="G36" s="2348"/>
      <c r="H36" s="2348"/>
      <c r="I36" s="2348"/>
      <c r="J36" s="1034"/>
    </row>
    <row r="37" spans="1:10" ht="22.5" customHeight="1">
      <c r="C37" s="2348"/>
      <c r="D37" s="2348"/>
      <c r="E37" s="2348"/>
      <c r="F37" s="2348"/>
      <c r="G37" s="2348"/>
      <c r="H37" s="2348"/>
      <c r="I37" s="2348"/>
      <c r="J37" s="1034"/>
    </row>
    <row r="38" spans="1:10" ht="7.5" customHeight="1">
      <c r="C38" s="1033"/>
      <c r="D38" s="1035"/>
      <c r="E38" s="1036"/>
      <c r="F38" s="1037"/>
      <c r="G38" s="1036"/>
    </row>
    <row r="39" spans="1:10" ht="13.5" customHeight="1">
      <c r="B39" s="1032"/>
      <c r="C39" s="2345" t="s">
        <v>937</v>
      </c>
      <c r="D39" s="2346"/>
      <c r="E39" s="2346"/>
      <c r="F39" s="2346"/>
      <c r="G39" s="2346"/>
      <c r="H39" s="2346"/>
      <c r="I39" s="2346"/>
    </row>
    <row r="40" spans="1:10" ht="13.35" customHeight="1">
      <c r="A40" s="982"/>
      <c r="C40" s="1038"/>
      <c r="D40" s="1038"/>
      <c r="E40" s="1038"/>
      <c r="F40" s="1038"/>
      <c r="G40" s="1038"/>
      <c r="H40" s="1038"/>
      <c r="I40" s="103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Normal="110" zoomScaleSheetLayoutView="100" workbookViewId="0">
      <selection activeCell="B6" sqref="B6"/>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276</v>
      </c>
    </row>
    <row r="3" spans="1:2">
      <c r="A3" s="328" t="s">
        <v>277</v>
      </c>
    </row>
    <row r="5" spans="1:2">
      <c r="A5" s="1039">
        <v>1</v>
      </c>
      <c r="B5" s="328" t="s">
        <v>2253</v>
      </c>
    </row>
    <row r="6" spans="1:2">
      <c r="A6" s="1039">
        <v>2</v>
      </c>
    </row>
    <row r="7" spans="1:2">
      <c r="A7" s="1039">
        <v>3</v>
      </c>
    </row>
    <row r="8" spans="1:2">
      <c r="A8" s="1039">
        <v>4</v>
      </c>
    </row>
    <row r="9" spans="1:2">
      <c r="A9" s="1040"/>
    </row>
    <row r="10" spans="1:2">
      <c r="A10" s="1040"/>
    </row>
    <row r="11" spans="1:2">
      <c r="A11" s="1040"/>
    </row>
    <row r="12" spans="1:2">
      <c r="A12" s="1040"/>
    </row>
    <row r="13" spans="1:2">
      <c r="A13" s="1040"/>
    </row>
    <row r="14" spans="1:2">
      <c r="A14" s="1040"/>
    </row>
    <row r="15" spans="1:2">
      <c r="A15" s="1040"/>
    </row>
    <row r="16" spans="1:2">
      <c r="A16" s="1040"/>
    </row>
    <row r="17" spans="1:1">
      <c r="A17" s="1040"/>
    </row>
    <row r="18" spans="1:1">
      <c r="A18" s="1040"/>
    </row>
    <row r="19" spans="1:1">
      <c r="A19" s="1040"/>
    </row>
    <row r="20" spans="1:1">
      <c r="A20" s="1040"/>
    </row>
    <row r="21" spans="1:1">
      <c r="A21" s="1040"/>
    </row>
    <row r="22" spans="1:1">
      <c r="A22" s="1040"/>
    </row>
    <row r="23" spans="1:1">
      <c r="A23" s="1040"/>
    </row>
    <row r="24" spans="1:1">
      <c r="A24" s="1040"/>
    </row>
    <row r="25" spans="1:1">
      <c r="A25" s="1040"/>
    </row>
    <row r="26" spans="1:1">
      <c r="A26" s="1040"/>
    </row>
    <row r="27" spans="1:1">
      <c r="A27" s="1040"/>
    </row>
    <row r="28" spans="1:1">
      <c r="A28" s="1040"/>
    </row>
    <row r="29" spans="1:1">
      <c r="A29" s="1040"/>
    </row>
    <row r="30" spans="1:1">
      <c r="A30" s="1040"/>
    </row>
    <row r="31" spans="1:1">
      <c r="A31" s="1040"/>
    </row>
    <row r="32" spans="1:1">
      <c r="A32" s="1040"/>
    </row>
    <row r="33" spans="1:1">
      <c r="A33" s="1040"/>
    </row>
    <row r="34" spans="1:1">
      <c r="A34" s="1040"/>
    </row>
    <row r="35" spans="1:1">
      <c r="A35" s="1040"/>
    </row>
    <row r="36" spans="1:1">
      <c r="A36" s="1040"/>
    </row>
    <row r="37" spans="1:1">
      <c r="A37" s="1040"/>
    </row>
    <row r="38" spans="1:1">
      <c r="A38" s="1040"/>
    </row>
    <row r="39" spans="1:1">
      <c r="A39" s="1040"/>
    </row>
    <row r="40" spans="1:1">
      <c r="A40" s="1040"/>
    </row>
    <row r="41" spans="1:1">
      <c r="A41" s="1040"/>
    </row>
    <row r="42" spans="1:1">
      <c r="A42" s="1040"/>
    </row>
    <row r="43" spans="1:1">
      <c r="A43" s="1040"/>
    </row>
    <row r="44" spans="1:1">
      <c r="A44" s="1040"/>
    </row>
    <row r="45" spans="1:1">
      <c r="A45" s="1040"/>
    </row>
    <row r="46" spans="1:1">
      <c r="A46" s="1040"/>
    </row>
    <row r="47" spans="1:1">
      <c r="A47" s="1040"/>
    </row>
    <row r="48" spans="1:1">
      <c r="A48" s="1040"/>
    </row>
    <row r="49" spans="1:2">
      <c r="A49" s="1040"/>
    </row>
    <row r="50" spans="1:2">
      <c r="A50" s="1040"/>
    </row>
    <row r="51" spans="1:2">
      <c r="A51" s="1040"/>
    </row>
    <row r="52" spans="1:2">
      <c r="A52" s="1040"/>
    </row>
    <row r="53" spans="1:2">
      <c r="A53" s="1040"/>
    </row>
    <row r="54" spans="1:2">
      <c r="A54" s="1040"/>
    </row>
    <row r="55" spans="1:2">
      <c r="A55" s="1040"/>
    </row>
    <row r="56" spans="1:2">
      <c r="A56" s="1040"/>
    </row>
    <row r="57" spans="1:2">
      <c r="A57" s="1040"/>
    </row>
    <row r="58" spans="1:2">
      <c r="A58" s="1040"/>
    </row>
    <row r="59" spans="1:2">
      <c r="A59" s="1040"/>
    </row>
    <row r="60" spans="1:2">
      <c r="A60" s="1040"/>
    </row>
    <row r="61" spans="1:2">
      <c r="A61" s="1040"/>
    </row>
    <row r="62" spans="1:2">
      <c r="A62" s="1040"/>
    </row>
    <row r="63" spans="1:2">
      <c r="A63" s="1040"/>
    </row>
    <row r="64" spans="1:2">
      <c r="A64" s="1040"/>
      <c r="B64" s="257" t="str">
        <f>COVER!A17</f>
        <v>Rich Township High School District 227</v>
      </c>
    </row>
    <row r="65" spans="2:2">
      <c r="B65" s="1041" t="str">
        <f>COVER!A13</f>
        <v>07-016-2270-17</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 zoomScale="110" zoomScaleNormal="110" zoomScaleSheetLayoutView="100" workbookViewId="0">
      <selection activeCell="J45" sqref="J45"/>
    </sheetView>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1126</v>
      </c>
      <c r="C1" s="162" t="s">
        <v>1231</v>
      </c>
      <c r="D1" s="162"/>
      <c r="E1" s="162"/>
    </row>
    <row r="2" spans="1:5" ht="12.75" thickTop="1">
      <c r="A2" s="163"/>
      <c r="B2" s="163"/>
      <c r="C2" s="163" t="s">
        <v>1231</v>
      </c>
      <c r="D2" s="164" t="s">
        <v>703</v>
      </c>
      <c r="E2" s="165" t="s">
        <v>1160</v>
      </c>
    </row>
    <row r="3" spans="1:5">
      <c r="C3" s="161" t="s">
        <v>1231</v>
      </c>
      <c r="D3" s="166"/>
    </row>
    <row r="4" spans="1:5">
      <c r="A4" s="167" t="s">
        <v>1969</v>
      </c>
      <c r="C4" s="161" t="s">
        <v>1231</v>
      </c>
      <c r="D4" s="168" t="s">
        <v>10</v>
      </c>
      <c r="E4" s="169" t="s">
        <v>22</v>
      </c>
    </row>
    <row r="5" spans="1:5">
      <c r="A5" s="167" t="s">
        <v>1971</v>
      </c>
      <c r="C5" s="161" t="s">
        <v>1231</v>
      </c>
      <c r="D5" s="168" t="s">
        <v>10</v>
      </c>
      <c r="E5" s="169" t="s">
        <v>22</v>
      </c>
    </row>
    <row r="6" spans="1:5">
      <c r="A6" s="167" t="s">
        <v>1970</v>
      </c>
      <c r="C6" s="161" t="s">
        <v>1231</v>
      </c>
      <c r="D6" s="166" t="s">
        <v>11</v>
      </c>
      <c r="E6" s="169" t="s">
        <v>998</v>
      </c>
    </row>
    <row r="7" spans="1:5">
      <c r="A7" s="167" t="s">
        <v>1972</v>
      </c>
      <c r="C7" s="161" t="s">
        <v>1231</v>
      </c>
      <c r="D7" s="168" t="s">
        <v>12</v>
      </c>
      <c r="E7" s="169" t="s">
        <v>999</v>
      </c>
    </row>
    <row r="8" spans="1:5">
      <c r="A8" s="167" t="s">
        <v>400</v>
      </c>
      <c r="C8" s="161" t="s">
        <v>1231</v>
      </c>
      <c r="D8" s="168"/>
      <c r="E8" s="170"/>
    </row>
    <row r="9" spans="1:5">
      <c r="B9" s="166" t="s">
        <v>692</v>
      </c>
      <c r="C9" s="166" t="s">
        <v>1231</v>
      </c>
      <c r="D9" s="168" t="s">
        <v>13</v>
      </c>
      <c r="E9" s="169" t="s">
        <v>23</v>
      </c>
    </row>
    <row r="10" spans="1:5">
      <c r="B10" s="166" t="s">
        <v>1031</v>
      </c>
      <c r="C10" s="161" t="s">
        <v>1231</v>
      </c>
      <c r="D10" s="168"/>
      <c r="E10" s="170"/>
    </row>
    <row r="11" spans="1:5">
      <c r="B11" s="166" t="s">
        <v>1973</v>
      </c>
      <c r="C11" s="161" t="s">
        <v>1231</v>
      </c>
      <c r="D11" s="168" t="s">
        <v>14</v>
      </c>
      <c r="E11" s="169" t="s">
        <v>1218</v>
      </c>
    </row>
    <row r="12" spans="1:5">
      <c r="B12" s="168" t="s">
        <v>1974</v>
      </c>
      <c r="C12" s="161" t="s">
        <v>1231</v>
      </c>
      <c r="D12" s="168" t="s">
        <v>15</v>
      </c>
      <c r="E12" s="169" t="s">
        <v>1099</v>
      </c>
    </row>
    <row r="13" spans="1:5">
      <c r="B13" s="166" t="s">
        <v>1211</v>
      </c>
      <c r="C13" s="161" t="s">
        <v>1231</v>
      </c>
      <c r="D13" s="168" t="s">
        <v>16</v>
      </c>
      <c r="E13" s="169" t="s">
        <v>656</v>
      </c>
    </row>
    <row r="14" spans="1:5">
      <c r="A14" s="167" t="s">
        <v>528</v>
      </c>
      <c r="B14" s="166"/>
      <c r="D14" s="168"/>
      <c r="E14" s="170"/>
    </row>
    <row r="15" spans="1:5">
      <c r="A15" s="171"/>
      <c r="B15" s="161" t="s">
        <v>1975</v>
      </c>
      <c r="C15" s="161" t="s">
        <v>1231</v>
      </c>
      <c r="D15" s="168" t="s">
        <v>17</v>
      </c>
      <c r="E15" s="169" t="s">
        <v>657</v>
      </c>
    </row>
    <row r="16" spans="1:5">
      <c r="A16" s="171"/>
      <c r="B16" s="161" t="s">
        <v>1976</v>
      </c>
      <c r="C16" s="161" t="s">
        <v>1231</v>
      </c>
      <c r="D16" s="168" t="s">
        <v>702</v>
      </c>
      <c r="E16" s="169" t="s">
        <v>1100</v>
      </c>
    </row>
    <row r="17" spans="1:5">
      <c r="B17" s="166" t="s">
        <v>1045</v>
      </c>
      <c r="C17" s="161" t="s">
        <v>1231</v>
      </c>
    </row>
    <row r="18" spans="1:5">
      <c r="B18" s="166" t="s">
        <v>1982</v>
      </c>
      <c r="D18" s="168" t="s">
        <v>18</v>
      </c>
      <c r="E18" s="169" t="s">
        <v>1101</v>
      </c>
    </row>
    <row r="19" spans="1:5">
      <c r="A19" s="167" t="s">
        <v>1161</v>
      </c>
      <c r="C19" s="161" t="s">
        <v>1231</v>
      </c>
      <c r="D19" s="168"/>
      <c r="E19" s="170"/>
    </row>
    <row r="20" spans="1:5">
      <c r="B20" s="166" t="s">
        <v>1977</v>
      </c>
      <c r="C20" s="161" t="s">
        <v>1231</v>
      </c>
      <c r="D20" s="168" t="s">
        <v>19</v>
      </c>
      <c r="E20" s="169" t="s">
        <v>53</v>
      </c>
    </row>
    <row r="21" spans="1:5">
      <c r="B21" s="166" t="s">
        <v>1978</v>
      </c>
      <c r="C21" s="161" t="s">
        <v>1231</v>
      </c>
      <c r="D21" s="168" t="s">
        <v>20</v>
      </c>
      <c r="E21" s="169" t="s">
        <v>1708</v>
      </c>
    </row>
    <row r="22" spans="1:5">
      <c r="A22" s="167"/>
      <c r="B22" s="161" t="s">
        <v>1966</v>
      </c>
      <c r="C22" s="161" t="s">
        <v>1231</v>
      </c>
      <c r="D22" s="166" t="s">
        <v>1968</v>
      </c>
      <c r="E22" s="1829" t="s">
        <v>1709</v>
      </c>
    </row>
    <row r="23" spans="1:5">
      <c r="A23" s="167"/>
      <c r="B23" s="161" t="s">
        <v>1967</v>
      </c>
      <c r="D23" s="166" t="s">
        <v>658</v>
      </c>
      <c r="E23" s="1829" t="s">
        <v>1016</v>
      </c>
    </row>
    <row r="24" spans="1:5">
      <c r="A24" s="167" t="s">
        <v>1707</v>
      </c>
      <c r="C24" s="161" t="s">
        <v>1231</v>
      </c>
      <c r="D24" s="166" t="s">
        <v>1460</v>
      </c>
      <c r="E24" s="169" t="s">
        <v>1017</v>
      </c>
    </row>
    <row r="25" spans="1:5">
      <c r="A25" s="167" t="s">
        <v>1979</v>
      </c>
      <c r="C25" s="161" t="s">
        <v>1231</v>
      </c>
      <c r="D25" s="168" t="s">
        <v>21</v>
      </c>
      <c r="E25" s="169" t="s">
        <v>1102</v>
      </c>
    </row>
    <row r="26" spans="1:5">
      <c r="A26" s="167" t="s">
        <v>1980</v>
      </c>
      <c r="C26" s="161" t="s">
        <v>1231</v>
      </c>
      <c r="D26" s="168" t="s">
        <v>584</v>
      </c>
      <c r="E26" s="169" t="s">
        <v>1103</v>
      </c>
    </row>
    <row r="27" spans="1:5">
      <c r="A27" s="167" t="s">
        <v>1981</v>
      </c>
      <c r="C27" s="161" t="s">
        <v>1231</v>
      </c>
      <c r="D27" s="168" t="s">
        <v>578</v>
      </c>
      <c r="E27" s="169" t="s">
        <v>704</v>
      </c>
    </row>
    <row r="28" spans="1:5">
      <c r="A28" s="167" t="s">
        <v>1983</v>
      </c>
      <c r="D28" s="168" t="s">
        <v>705</v>
      </c>
      <c r="E28" s="169" t="s">
        <v>1433</v>
      </c>
    </row>
    <row r="29" spans="1:5">
      <c r="A29" s="167" t="s">
        <v>1984</v>
      </c>
      <c r="D29" s="168" t="s">
        <v>1461</v>
      </c>
      <c r="E29" s="169" t="s">
        <v>1442</v>
      </c>
    </row>
    <row r="30" spans="1:5">
      <c r="A30" s="172" t="s">
        <v>1985</v>
      </c>
      <c r="C30" s="161" t="s">
        <v>1231</v>
      </c>
      <c r="D30" s="168" t="s">
        <v>42</v>
      </c>
      <c r="E30" s="169" t="s">
        <v>1039</v>
      </c>
    </row>
    <row r="31" spans="1:5">
      <c r="A31" s="167" t="s">
        <v>1602</v>
      </c>
      <c r="C31" s="161" t="s">
        <v>1231</v>
      </c>
      <c r="D31" s="166"/>
      <c r="E31" s="170"/>
    </row>
    <row r="32" spans="1:5">
      <c r="B32" s="166" t="s">
        <v>1986</v>
      </c>
      <c r="C32" s="161" t="s">
        <v>1231</v>
      </c>
      <c r="D32" s="168" t="s">
        <v>1603</v>
      </c>
      <c r="E32" s="169" t="s">
        <v>1462</v>
      </c>
    </row>
    <row r="33" spans="1:5">
      <c r="A33" s="171"/>
      <c r="D33" s="168"/>
      <c r="E33" s="170"/>
    </row>
    <row r="34" spans="1:5">
      <c r="A34" s="171"/>
      <c r="D34" s="168"/>
      <c r="E34" s="170"/>
    </row>
    <row r="35" spans="1:5" ht="15.75" customHeight="1" thickBot="1">
      <c r="A35" s="2086" t="s">
        <v>1125</v>
      </c>
      <c r="B35" s="2086"/>
      <c r="C35" s="2086"/>
      <c r="D35" s="2086"/>
      <c r="E35" s="2086"/>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83" t="s">
        <v>715</v>
      </c>
      <c r="B40" s="2083"/>
      <c r="C40" s="2083"/>
      <c r="D40" s="2083"/>
      <c r="E40" s="2083"/>
    </row>
    <row r="41" spans="1:5">
      <c r="A41" s="2084" t="s">
        <v>1706</v>
      </c>
      <c r="B41" s="2084"/>
      <c r="C41" s="2084"/>
      <c r="D41" s="2084"/>
      <c r="E41" s="2084"/>
    </row>
    <row r="42" spans="1:5" ht="12.75" customHeight="1">
      <c r="A42" s="2085" t="s">
        <v>1080</v>
      </c>
      <c r="B42" s="2085"/>
      <c r="C42" s="2085"/>
      <c r="D42" s="2085"/>
      <c r="E42" s="2085"/>
    </row>
    <row r="43" spans="1:5" ht="6.75" customHeight="1">
      <c r="A43" s="166"/>
      <c r="B43" s="175"/>
    </row>
    <row r="44" spans="1:5">
      <c r="A44" s="184" t="s">
        <v>1040</v>
      </c>
      <c r="B44" s="185" t="s">
        <v>2016</v>
      </c>
    </row>
    <row r="45" spans="1:5" ht="6.75" customHeight="1">
      <c r="A45" s="186"/>
      <c r="B45" s="185"/>
    </row>
    <row r="46" spans="1:5">
      <c r="A46" s="184" t="s">
        <v>1041</v>
      </c>
      <c r="B46" s="168" t="s">
        <v>1711</v>
      </c>
    </row>
    <row r="47" spans="1:5" ht="9.75" customHeight="1">
      <c r="A47" s="188"/>
      <c r="B47" s="187"/>
    </row>
    <row r="48" spans="1:5">
      <c r="A48" s="168" t="s">
        <v>1710</v>
      </c>
      <c r="B48" s="168" t="s">
        <v>1715</v>
      </c>
      <c r="C48" s="176"/>
    </row>
    <row r="49" spans="1:3" ht="9.75" customHeight="1">
      <c r="A49" s="187"/>
      <c r="B49" s="187"/>
      <c r="C49" s="176"/>
    </row>
    <row r="50" spans="1:3">
      <c r="A50" s="199" t="s">
        <v>1712</v>
      </c>
      <c r="B50" s="197" t="s">
        <v>1716</v>
      </c>
    </row>
    <row r="51" spans="1:3">
      <c r="B51" s="168" t="s">
        <v>1872</v>
      </c>
    </row>
    <row r="52" spans="1:3">
      <c r="A52" s="189"/>
      <c r="B52" s="187" t="s">
        <v>1892</v>
      </c>
    </row>
    <row r="53" spans="1:3" ht="4.5" customHeight="1">
      <c r="A53" s="189"/>
      <c r="B53" s="189"/>
    </row>
    <row r="54" spans="1:3">
      <c r="A54" s="189"/>
      <c r="B54" s="200" t="s">
        <v>1713</v>
      </c>
    </row>
    <row r="55" spans="1:3" ht="8.25" customHeight="1">
      <c r="A55" s="189"/>
      <c r="B55" s="190"/>
    </row>
    <row r="56" spans="1:3">
      <c r="A56" s="191"/>
      <c r="B56" s="168" t="s">
        <v>1873</v>
      </c>
    </row>
    <row r="57" spans="1:3">
      <c r="A57" s="192"/>
      <c r="B57" s="189" t="s">
        <v>1875</v>
      </c>
    </row>
    <row r="58" spans="1:3">
      <c r="A58" s="193"/>
      <c r="B58" s="189" t="s">
        <v>1876</v>
      </c>
    </row>
    <row r="59" spans="1:3">
      <c r="A59" s="194"/>
      <c r="B59" s="1477" t="s">
        <v>1877</v>
      </c>
    </row>
    <row r="60" spans="1:3">
      <c r="A60" s="195"/>
      <c r="B60" s="1477" t="s">
        <v>1878</v>
      </c>
    </row>
    <row r="61" spans="1:3" ht="6" customHeight="1">
      <c r="A61" s="196"/>
      <c r="B61" s="188"/>
    </row>
    <row r="62" spans="1:3">
      <c r="A62" s="168" t="s">
        <v>1714</v>
      </c>
      <c r="B62" s="197" t="s">
        <v>1874</v>
      </c>
    </row>
    <row r="63" spans="1:3">
      <c r="A63" s="187"/>
      <c r="B63" s="168" t="s">
        <v>1889</v>
      </c>
    </row>
    <row r="64" spans="1:3">
      <c r="A64" s="194"/>
      <c r="B64" s="1479" t="s">
        <v>1879</v>
      </c>
    </row>
    <row r="65" spans="1:9">
      <c r="A65" s="187"/>
      <c r="B65" s="168" t="s">
        <v>1890</v>
      </c>
    </row>
    <row r="66" spans="1:9">
      <c r="A66" s="189"/>
      <c r="B66" s="189" t="s">
        <v>1880</v>
      </c>
    </row>
    <row r="67" spans="1:9" ht="12" customHeight="1">
      <c r="A67" s="187"/>
      <c r="B67" s="168" t="s">
        <v>1891</v>
      </c>
    </row>
    <row r="68" spans="1:9">
      <c r="A68" s="188"/>
      <c r="B68" s="189" t="s">
        <v>1881</v>
      </c>
    </row>
    <row r="69" spans="1:9">
      <c r="A69" s="189"/>
      <c r="B69" s="187" t="s">
        <v>1882</v>
      </c>
    </row>
    <row r="70" spans="1:9" ht="13.5" customHeight="1">
      <c r="A70" s="189"/>
      <c r="B70" s="187" t="s">
        <v>1883</v>
      </c>
    </row>
    <row r="71" spans="1:9" ht="12" customHeight="1">
      <c r="A71" s="191"/>
      <c r="B71" s="1478" t="s">
        <v>1717</v>
      </c>
    </row>
    <row r="72" spans="1:9" ht="9" customHeight="1">
      <c r="A72" s="191"/>
      <c r="B72" s="198"/>
    </row>
    <row r="73" spans="1:9">
      <c r="A73" s="188" t="s">
        <v>1718</v>
      </c>
      <c r="B73" s="168" t="s">
        <v>1885</v>
      </c>
    </row>
    <row r="74" spans="1:9">
      <c r="A74" s="188"/>
      <c r="B74" s="168" t="s">
        <v>1884</v>
      </c>
    </row>
    <row r="75" spans="1:9" ht="8.25" customHeight="1">
      <c r="A75" s="188"/>
      <c r="B75" s="188"/>
    </row>
    <row r="76" spans="1:9" ht="12.2" customHeight="1">
      <c r="A76" s="188" t="s">
        <v>1719</v>
      </c>
      <c r="B76" s="197" t="s">
        <v>1886</v>
      </c>
    </row>
    <row r="77" spans="1:9" ht="12.2" customHeight="1">
      <c r="A77" s="189"/>
      <c r="B77" s="168" t="s">
        <v>1720</v>
      </c>
      <c r="C77" s="178"/>
      <c r="D77" s="179"/>
      <c r="E77" s="180"/>
      <c r="F77" s="180"/>
      <c r="G77" s="180"/>
      <c r="H77" s="180"/>
      <c r="I77" s="180"/>
    </row>
    <row r="78" spans="1:9" ht="11.25" customHeight="1">
      <c r="A78" s="189"/>
      <c r="B78" s="189" t="s">
        <v>1888</v>
      </c>
      <c r="C78" s="178"/>
      <c r="D78" s="181"/>
      <c r="E78" s="181"/>
      <c r="F78" s="181"/>
      <c r="G78" s="181"/>
      <c r="H78" s="181"/>
      <c r="I78" s="180"/>
    </row>
    <row r="79" spans="1:9" ht="12.2" customHeight="1">
      <c r="A79" s="189"/>
      <c r="B79" s="168" t="s">
        <v>1721</v>
      </c>
      <c r="C79" s="178"/>
      <c r="D79" s="181"/>
      <c r="E79" s="181"/>
      <c r="F79" s="181"/>
      <c r="G79" s="181"/>
      <c r="H79" s="181"/>
      <c r="I79" s="180"/>
    </row>
    <row r="80" spans="1:9" ht="11.25" customHeight="1">
      <c r="A80" s="188"/>
      <c r="B80" s="189" t="s">
        <v>1887</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election activeCell="I21" sqref="I21:J2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5" t="s">
        <v>1000</v>
      </c>
      <c r="C8" s="65" t="s">
        <v>1467</v>
      </c>
      <c r="D8" s="24"/>
    </row>
    <row r="9" spans="1:4" ht="13.5" customHeight="1">
      <c r="A9" s="14"/>
      <c r="B9" s="143" t="s">
        <v>1001</v>
      </c>
      <c r="C9" s="141" t="s">
        <v>1386</v>
      </c>
    </row>
    <row r="10" spans="1:4" ht="13.5" customHeight="1">
      <c r="B10" s="18" t="s">
        <v>1002</v>
      </c>
      <c r="C10" s="15" t="s">
        <v>965</v>
      </c>
    </row>
    <row r="11" spans="1:4" ht="12.75" customHeight="1">
      <c r="B11" s="18" t="s">
        <v>1003</v>
      </c>
      <c r="C11" s="16" t="s">
        <v>914</v>
      </c>
    </row>
    <row r="12" spans="1:4" ht="21.75" customHeight="1">
      <c r="B12" s="18" t="s">
        <v>1004</v>
      </c>
      <c r="C12" s="144" t="s">
        <v>1466</v>
      </c>
    </row>
    <row r="13" spans="1:4" s="19" customFormat="1" ht="12.75" customHeight="1">
      <c r="B13" s="18" t="s">
        <v>971</v>
      </c>
      <c r="C13" s="16" t="s">
        <v>1189</v>
      </c>
    </row>
    <row r="14" spans="1:4" ht="21.75" customHeight="1">
      <c r="B14" s="18" t="s">
        <v>972</v>
      </c>
      <c r="C14" s="16" t="s">
        <v>898</v>
      </c>
    </row>
    <row r="15" spans="1:4" ht="12.75" customHeight="1">
      <c r="B15" s="142" t="s">
        <v>1392</v>
      </c>
      <c r="C15" s="141" t="s">
        <v>1393</v>
      </c>
    </row>
    <row r="16" spans="1:4" ht="12.75" customHeight="1">
      <c r="C16" s="141"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1:F18"/>
  <sheetViews>
    <sheetView showGridLines="0" view="pageBreakPreview" zoomScale="60" zoomScaleNormal="110" workbookViewId="0">
      <selection activeCell="N36" sqref="N36"/>
    </sheetView>
  </sheetViews>
  <sheetFormatPr defaultColWidth="9.140625" defaultRowHeight="12.75"/>
  <cols>
    <col min="1" max="1" width="1.85546875" style="328" customWidth="1"/>
    <col min="2" max="2" width="59.7109375" style="328" customWidth="1"/>
    <col min="3" max="16384" width="9.140625" style="328"/>
  </cols>
  <sheetData>
    <row r="11" spans="1:6">
      <c r="B11" s="1042"/>
      <c r="C11" s="1042"/>
      <c r="D11" s="1042"/>
      <c r="E11" s="1042"/>
      <c r="F11" s="1042"/>
    </row>
    <row r="13" spans="1:6">
      <c r="A13" s="1043" t="s">
        <v>1573</v>
      </c>
    </row>
    <row r="15" spans="1:6">
      <c r="A15" s="388" t="s">
        <v>912</v>
      </c>
    </row>
    <row r="16" spans="1:6" s="1042" customFormat="1" ht="45" customHeight="1">
      <c r="A16" s="1044"/>
      <c r="B16" s="1044" t="s">
        <v>1783</v>
      </c>
    </row>
    <row r="17" spans="1:2" ht="6" customHeight="1"/>
    <row r="18" spans="1:2" ht="24.75" customHeight="1">
      <c r="A18" s="2369" t="s">
        <v>1784</v>
      </c>
      <c r="B18" s="2369"/>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election activeCell="L24" sqref="L24"/>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370" t="s">
        <v>1790</v>
      </c>
      <c r="B1" s="2371"/>
      <c r="C1" s="2371"/>
      <c r="D1" s="2371"/>
      <c r="E1" s="2371"/>
      <c r="F1" s="2372"/>
    </row>
    <row r="2" spans="1:8" ht="45" customHeight="1">
      <c r="A2" s="2380" t="s">
        <v>1791</v>
      </c>
      <c r="B2" s="2381"/>
      <c r="C2" s="2381"/>
      <c r="D2" s="2381"/>
      <c r="E2" s="2381"/>
      <c r="F2" s="2382"/>
      <c r="G2" s="1045"/>
      <c r="H2" s="1045"/>
    </row>
    <row r="3" spans="1:8" ht="57" customHeight="1">
      <c r="A3" s="2383" t="s">
        <v>1786</v>
      </c>
      <c r="B3" s="2384"/>
      <c r="C3" s="2384"/>
      <c r="D3" s="2384"/>
      <c r="E3" s="2384"/>
      <c r="F3" s="2385"/>
      <c r="G3" s="1045"/>
      <c r="H3" s="1045"/>
    </row>
    <row r="4" spans="1:8" ht="14.25" customHeight="1">
      <c r="A4" s="2389" t="s">
        <v>2054</v>
      </c>
      <c r="B4" s="2390"/>
      <c r="C4" s="2390"/>
      <c r="D4" s="2390"/>
      <c r="E4" s="2390"/>
      <c r="F4" s="2391"/>
      <c r="G4" s="1045"/>
      <c r="H4" s="1045"/>
    </row>
    <row r="5" spans="1:8" ht="14.25" customHeight="1">
      <c r="A5" s="2392" t="s">
        <v>2055</v>
      </c>
      <c r="B5" s="2393"/>
      <c r="C5" s="2393"/>
      <c r="D5" s="2393"/>
      <c r="E5" s="2393"/>
      <c r="F5" s="2394"/>
      <c r="G5" s="1045"/>
      <c r="H5" s="1045"/>
    </row>
    <row r="6" spans="1:8" s="1046" customFormat="1" ht="41.25" customHeight="1">
      <c r="A6" s="2386" t="s">
        <v>1792</v>
      </c>
      <c r="B6" s="2387"/>
      <c r="C6" s="2387"/>
      <c r="D6" s="2387"/>
      <c r="E6" s="2387"/>
      <c r="F6" s="2388"/>
    </row>
    <row r="7" spans="1:8" ht="42" customHeight="1">
      <c r="A7" s="1047" t="s">
        <v>502</v>
      </c>
      <c r="B7" s="1048" t="s">
        <v>1576</v>
      </c>
      <c r="C7" s="1048" t="s">
        <v>1577</v>
      </c>
      <c r="D7" s="1048" t="s">
        <v>1575</v>
      </c>
      <c r="E7" s="1048" t="s">
        <v>1578</v>
      </c>
      <c r="F7" s="1048" t="s">
        <v>1434</v>
      </c>
    </row>
    <row r="8" spans="1:8" s="1050" customFormat="1" ht="14.25" customHeight="1">
      <c r="A8" s="1049" t="s">
        <v>1435</v>
      </c>
      <c r="B8" s="1808">
        <f>'Acct Summary 7-8'!C8</f>
        <v>48668034</v>
      </c>
      <c r="C8" s="1808">
        <f>'Acct Summary 7-8'!D8</f>
        <v>4579510</v>
      </c>
      <c r="D8" s="1808">
        <f>'Acct Summary 7-8'!F8</f>
        <v>6517698</v>
      </c>
      <c r="E8" s="1808">
        <f>'Acct Summary 7-8'!I8</f>
        <v>394918</v>
      </c>
      <c r="F8" s="1808">
        <f>SUM(B8:E8)</f>
        <v>60160160</v>
      </c>
    </row>
    <row r="9" spans="1:8" s="1050" customFormat="1" ht="14.25" customHeight="1" thickBot="1">
      <c r="A9" s="1049" t="s">
        <v>1436</v>
      </c>
      <c r="B9" s="1809">
        <f>'Acct Summary 7-8'!C17</f>
        <v>47339063</v>
      </c>
      <c r="C9" s="1809">
        <f>'Acct Summary 7-8'!D17</f>
        <v>4973630</v>
      </c>
      <c r="D9" s="1809">
        <f>'Acct Summary 7-8'!F17</f>
        <v>4823291</v>
      </c>
      <c r="E9" s="1808"/>
      <c r="F9" s="1808">
        <f>SUM(B9:E9)</f>
        <v>57135984</v>
      </c>
    </row>
    <row r="10" spans="1:8" s="1050" customFormat="1" ht="14.25" thickTop="1" thickBot="1">
      <c r="A10" s="1051" t="s">
        <v>1437</v>
      </c>
      <c r="B10" s="1810">
        <f>(B8-B9)</f>
        <v>1328971</v>
      </c>
      <c r="C10" s="1810">
        <f>(C8-C9)</f>
        <v>-394120</v>
      </c>
      <c r="D10" s="1810">
        <f>(D8-D9)</f>
        <v>1694407</v>
      </c>
      <c r="E10" s="1809">
        <f>(E8-E9)</f>
        <v>394918</v>
      </c>
      <c r="F10" s="1811">
        <f>SUM(F8-F9)</f>
        <v>3024176</v>
      </c>
    </row>
    <row r="11" spans="1:8" s="1050" customFormat="1" ht="14.25" thickTop="1" thickBot="1">
      <c r="A11" s="1052" t="s">
        <v>1785</v>
      </c>
      <c r="B11" s="1812">
        <f>'Acct Summary 7-8'!C81</f>
        <v>21249725</v>
      </c>
      <c r="C11" s="1812">
        <f>'Acct Summary 7-8'!D81</f>
        <v>3684278</v>
      </c>
      <c r="D11" s="1812">
        <f>'Acct Summary 7-8'!F81</f>
        <v>4201800</v>
      </c>
      <c r="E11" s="1812">
        <f>'Acct Summary 7-8'!I81</f>
        <v>5280546</v>
      </c>
      <c r="F11" s="1813">
        <f>SUM(B11:E11)</f>
        <v>34416349</v>
      </c>
    </row>
    <row r="12" spans="1:8" ht="16.5" customHeight="1" thickTop="1">
      <c r="A12" s="1053"/>
      <c r="B12" s="1054"/>
      <c r="C12" s="2374" t="str">
        <f>IF(AND(F10&lt;0,F11&gt;=0,ABS(F10*3)&gt;ABS(F11)),A16,IF(AND(F10&lt;0,F11&gt;0,ABS(F10*3)&lt;=ABS(F11)),A17,IF(AND(F10&lt;0,F11&lt;0),A16,IF(F11=0,A19,A18))))</f>
        <v>Balanced - no deficit reduction plan is required.</v>
      </c>
      <c r="D12" s="2375"/>
      <c r="E12" s="2375"/>
      <c r="F12" s="2376"/>
    </row>
    <row r="13" spans="1:8" ht="19.5" customHeight="1">
      <c r="A13" s="1055"/>
      <c r="B13" s="1056"/>
      <c r="C13" s="2374"/>
      <c r="D13" s="2375"/>
      <c r="E13" s="2375"/>
      <c r="F13" s="2376"/>
      <c r="H13" s="1045"/>
    </row>
    <row r="14" spans="1:8" ht="19.5" customHeight="1">
      <c r="A14" s="1055"/>
      <c r="B14" s="1056"/>
      <c r="C14" s="2374"/>
      <c r="D14" s="2375"/>
      <c r="E14" s="2375"/>
      <c r="F14" s="2376"/>
      <c r="H14" s="1045"/>
    </row>
    <row r="15" spans="1:8" ht="17.25" customHeight="1">
      <c r="A15" s="1055"/>
      <c r="B15" s="1056"/>
      <c r="C15" s="2377"/>
      <c r="D15" s="2378"/>
      <c r="E15" s="2378"/>
      <c r="F15" s="2379"/>
      <c r="H15" s="1045"/>
    </row>
    <row r="16" spans="1:8" s="309" customFormat="1" ht="51.75" hidden="1" customHeight="1">
      <c r="A16" s="2373" t="s">
        <v>1787</v>
      </c>
      <c r="B16" s="2373"/>
      <c r="C16" s="2373"/>
      <c r="D16" s="2373"/>
      <c r="E16" s="2373"/>
      <c r="F16" s="309" t="s">
        <v>1438</v>
      </c>
    </row>
    <row r="17" spans="1:6" hidden="1">
      <c r="A17" s="315" t="s">
        <v>1788</v>
      </c>
      <c r="F17" s="1057" t="s">
        <v>1439</v>
      </c>
    </row>
    <row r="18" spans="1:6" hidden="1">
      <c r="A18" s="315" t="s">
        <v>1789</v>
      </c>
      <c r="F18" s="315" t="s">
        <v>1477</v>
      </c>
    </row>
    <row r="19" spans="1:6" hidden="1">
      <c r="A19" s="315" t="s">
        <v>1476</v>
      </c>
      <c r="F19" s="315" t="s">
        <v>1441</v>
      </c>
    </row>
    <row r="20" spans="1:6" ht="14.25" customHeight="1"/>
    <row r="21" spans="1:6">
      <c r="B21" s="1058"/>
    </row>
    <row r="48" spans="3:3">
      <c r="C48" s="105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50" colorId="8" zoomScaleNormal="110" zoomScaleSheetLayoutView="100" workbookViewId="0">
      <selection activeCell="C60" sqref="C60"/>
    </sheetView>
  </sheetViews>
  <sheetFormatPr defaultColWidth="9.140625" defaultRowHeight="12"/>
  <cols>
    <col min="1" max="1" width="2.7109375" style="1104" customWidth="1"/>
    <col min="2" max="2" width="3.140625" style="1104" customWidth="1"/>
    <col min="3" max="3" width="96.140625" style="1044" customWidth="1"/>
    <col min="4" max="4" width="42.140625" style="241" customWidth="1"/>
    <col min="5" max="5" width="2.7109375" style="1063" customWidth="1"/>
    <col min="6" max="6" width="1" style="1063" customWidth="1"/>
    <col min="7" max="16384" width="9.140625" style="1063"/>
  </cols>
  <sheetData>
    <row r="1" spans="1:4" ht="4.5" customHeight="1" thickBot="1">
      <c r="A1" s="1059"/>
      <c r="B1" s="1060"/>
      <c r="C1" s="1061"/>
      <c r="D1" s="1062"/>
    </row>
    <row r="2" spans="1:4" ht="7.5" customHeight="1" thickTop="1">
      <c r="A2" s="1892"/>
      <c r="B2" s="1893"/>
      <c r="C2" s="1894"/>
      <c r="D2" s="1895"/>
    </row>
    <row r="3" spans="1:4" ht="36" customHeight="1">
      <c r="A3" s="2395" t="s">
        <v>686</v>
      </c>
      <c r="B3" s="2396"/>
      <c r="C3" s="2396"/>
      <c r="D3" s="2397"/>
    </row>
    <row r="4" spans="1:4">
      <c r="A4" s="1123" t="s">
        <v>1793</v>
      </c>
      <c r="B4" s="1124"/>
      <c r="C4" s="1125"/>
      <c r="D4" s="1126"/>
    </row>
    <row r="5" spans="1:4" ht="21" customHeight="1">
      <c r="A5" s="1119"/>
      <c r="B5" s="1120">
        <v>1</v>
      </c>
      <c r="C5" s="1121" t="s">
        <v>1944</v>
      </c>
      <c r="D5" s="1122"/>
    </row>
    <row r="6" spans="1:4" s="641" customFormat="1" ht="14.25" customHeight="1">
      <c r="A6" s="1109"/>
      <c r="B6" s="1064">
        <f t="shared" ref="B6:B13" si="0">B5+1</f>
        <v>2</v>
      </c>
      <c r="C6" s="1065" t="s">
        <v>919</v>
      </c>
      <c r="D6" s="1066"/>
    </row>
    <row r="7" spans="1:4" s="641" customFormat="1" ht="12.75">
      <c r="A7" s="1109"/>
      <c r="B7" s="1064">
        <f t="shared" si="0"/>
        <v>3</v>
      </c>
      <c r="C7" s="2406" t="s">
        <v>1584</v>
      </c>
      <c r="D7" s="2407"/>
    </row>
    <row r="8" spans="1:4" s="641" customFormat="1" ht="12.75">
      <c r="A8" s="1109"/>
      <c r="B8" s="1064"/>
      <c r="C8" s="1067" t="s">
        <v>1583</v>
      </c>
      <c r="D8" s="1068"/>
    </row>
    <row r="9" spans="1:4" s="641" customFormat="1" ht="14.25" customHeight="1">
      <c r="A9" s="1109"/>
      <c r="B9" s="1064">
        <f>B7+1</f>
        <v>4</v>
      </c>
      <c r="C9" s="1065" t="s">
        <v>2047</v>
      </c>
      <c r="D9" s="1066"/>
    </row>
    <row r="10" spans="1:4" s="641" customFormat="1" ht="14.25" customHeight="1">
      <c r="A10" s="1109"/>
      <c r="B10" s="1064">
        <f t="shared" si="0"/>
        <v>5</v>
      </c>
      <c r="C10" s="1065" t="s">
        <v>660</v>
      </c>
      <c r="D10" s="1066"/>
    </row>
    <row r="11" spans="1:4" s="641" customFormat="1" ht="14.25" customHeight="1">
      <c r="A11" s="1109"/>
      <c r="B11" s="1064">
        <f t="shared" si="0"/>
        <v>6</v>
      </c>
      <c r="C11" s="1065" t="s">
        <v>811</v>
      </c>
      <c r="D11" s="1066"/>
    </row>
    <row r="12" spans="1:4" s="641" customFormat="1" ht="14.25" customHeight="1">
      <c r="A12" s="1109"/>
      <c r="B12" s="1064">
        <f t="shared" si="0"/>
        <v>7</v>
      </c>
      <c r="C12" s="1065" t="s">
        <v>1122</v>
      </c>
      <c r="D12" s="1066"/>
    </row>
    <row r="13" spans="1:4" s="641" customFormat="1" ht="14.25" customHeight="1">
      <c r="A13" s="1109"/>
      <c r="B13" s="1064">
        <f t="shared" si="0"/>
        <v>8</v>
      </c>
      <c r="C13" s="1105" t="s">
        <v>812</v>
      </c>
      <c r="D13" s="1066"/>
    </row>
    <row r="14" spans="1:4" s="641" customFormat="1" ht="14.25" customHeight="1">
      <c r="A14" s="1109"/>
      <c r="B14" s="1106">
        <v>9</v>
      </c>
      <c r="C14" s="1107" t="s">
        <v>1585</v>
      </c>
      <c r="D14" s="1108"/>
    </row>
    <row r="15" spans="1:4" s="641" customFormat="1" ht="21.75" customHeight="1">
      <c r="A15" s="2398" t="s">
        <v>1065</v>
      </c>
      <c r="B15" s="2399"/>
      <c r="C15" s="2399"/>
      <c r="D15" s="2400"/>
    </row>
    <row r="16" spans="1:4" s="641" customFormat="1" ht="24" customHeight="1">
      <c r="A16" s="2401" t="s">
        <v>684</v>
      </c>
      <c r="B16" s="2402"/>
      <c r="C16" s="2402"/>
      <c r="D16" s="2403"/>
    </row>
    <row r="17" spans="1:10" s="641" customFormat="1" ht="12.75" customHeight="1">
      <c r="A17" s="1127" t="s">
        <v>1794</v>
      </c>
      <c r="B17" s="1128"/>
      <c r="C17" s="1129"/>
      <c r="D17" s="1130"/>
    </row>
    <row r="18" spans="1:10" s="641" customFormat="1" ht="12.75" customHeight="1">
      <c r="A18" s="1131" t="s">
        <v>1795</v>
      </c>
      <c r="B18" s="1132"/>
      <c r="C18" s="1133"/>
      <c r="D18" s="1134"/>
    </row>
    <row r="19" spans="1:10" ht="6.75" customHeight="1" thickBot="1">
      <c r="A19" s="1135"/>
      <c r="B19" s="1136"/>
      <c r="C19" s="1137"/>
      <c r="D19" s="1138"/>
    </row>
    <row r="20" spans="1:10" s="1142" customFormat="1" ht="12.75" thickTop="1">
      <c r="A20" s="1139"/>
      <c r="B20" s="1140" t="s">
        <v>1796</v>
      </c>
      <c r="C20" s="1141"/>
      <c r="D20" s="1144" t="s">
        <v>734</v>
      </c>
    </row>
    <row r="21" spans="1:10">
      <c r="A21" s="1069"/>
      <c r="B21" s="1070">
        <v>1</v>
      </c>
      <c r="C21" s="2410" t="s">
        <v>332</v>
      </c>
      <c r="D21" s="2411"/>
    </row>
    <row r="22" spans="1:10" ht="12.75">
      <c r="A22" s="1110"/>
      <c r="B22" s="1111">
        <v>2</v>
      </c>
      <c r="C22" s="2408" t="s">
        <v>1605</v>
      </c>
      <c r="D22" s="2409"/>
    </row>
    <row r="23" spans="1:10" ht="12.2" customHeight="1">
      <c r="A23" s="1110"/>
      <c r="B23" s="1111"/>
      <c r="C23" s="1112" t="s">
        <v>1011</v>
      </c>
      <c r="D23" s="1113" t="str">
        <f>IF(COVER!O11="X","CASH",IF(COVER!O12="X","ACCRUAL ","PLEASE CHECK AN ACCOUNTING BASIS."))</f>
        <v>CASH</v>
      </c>
    </row>
    <row r="24" spans="1:10" ht="12.2" customHeight="1">
      <c r="A24" s="1110"/>
      <c r="B24" s="1111"/>
      <c r="C24" s="1112" t="s">
        <v>1399</v>
      </c>
      <c r="D24" s="1113" t="str">
        <f>IF(COVER!O11="X","OK",IF(AND('Aud Quest 2'!J90=0,'Aud Quest 2'!I77&lt;DATE(2017,12,31)),"ENTER ACCOUNTING INFO",IF(AND('Aud Quest 2'!J90&gt;0,'Aud Quest 2'!I77&lt;DATE(2017,12,31)),"OK")))</f>
        <v>OK</v>
      </c>
    </row>
    <row r="25" spans="1:10">
      <c r="A25" s="1071"/>
      <c r="B25" s="1072"/>
      <c r="C25" s="1073" t="s">
        <v>1607</v>
      </c>
      <c r="D25" s="1074" t="str">
        <f>IF(AND(COVER!J29="X",COVER!J30="X",COVER!L30&lt;&gt;"X"),"OK",IF(AND(COVER!J29="X",COVER!J30&lt;&gt;"X",COVER!L30="X"),"OK",IF(AND(COVER!L29="X",COVER!J30&lt;&gt;"X"),"OK","PLEASE CHECK YES or NO.")))</f>
        <v>OK</v>
      </c>
    </row>
    <row r="26" spans="1:10">
      <c r="A26" s="1071"/>
      <c r="B26" s="1114"/>
      <c r="C26" s="1075" t="s">
        <v>1606</v>
      </c>
      <c r="D26" s="1076" t="str">
        <f>IF(AND(COVER!J29="X",COVER!J30="X",COVER!L29&lt;&gt;"X"),"OK",IF(AND(COVER!J29="X",COVER!J30&lt;&gt;"X",COVER!L30="X"),"SENDING AN A-133 SEPERATELY!",IF(AND(COVER!L29="X",COVER!J30&lt;&gt;"X"),"OK","PLEASE CHECK YES or NO.")))</f>
        <v>OK</v>
      </c>
    </row>
    <row r="27" spans="1:10" ht="12" hidden="1" customHeight="1">
      <c r="A27" s="1077"/>
      <c r="B27" s="1114"/>
      <c r="C27" s="1073" t="s">
        <v>1032</v>
      </c>
      <c r="D27" s="1076" t="str">
        <f>IF(AND(COVER!J29="X",COVER!J31="X",COVER!L29&lt;&gt;"X"),"OK",IF(AND(COVER!J29="X",COVER!J31&lt;&gt;"X",COVER!L31="X"),"NO FINDINGS WERE ISSUED",IF(AND(COVER!L29="X",COVER!J31&lt;&gt;"X"),"OK","PLEASE CHECK YES or NO.")))</f>
        <v>OK</v>
      </c>
    </row>
    <row r="28" spans="1:10" ht="24" hidden="1" customHeight="1">
      <c r="A28" s="1077"/>
      <c r="B28" s="1114"/>
      <c r="C28" s="1073" t="s">
        <v>897</v>
      </c>
      <c r="D28" s="1078" t="str">
        <f>IF('Aud Quest 2'!B53="X",IF('Aud Quest 2'!F53&gt;"00/00/00 ","Enter Effective Date","ok"))</f>
        <v>ok</v>
      </c>
    </row>
    <row r="29" spans="1:10">
      <c r="A29" s="1071"/>
      <c r="B29" s="1114"/>
      <c r="C29" s="1075" t="s">
        <v>1440</v>
      </c>
      <c r="D29" s="10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69"/>
      <c r="B30" s="1111">
        <f>B22+1</f>
        <v>3</v>
      </c>
      <c r="C30" s="1079" t="s">
        <v>879</v>
      </c>
      <c r="D30" s="1080"/>
    </row>
    <row r="31" spans="1:10">
      <c r="A31" s="1071"/>
      <c r="B31" s="1081"/>
      <c r="C31" s="1115" t="s">
        <v>271</v>
      </c>
      <c r="D31" s="1082" t="str">
        <f>IF(SUM('FP Info 3'!J10:L10)&lt;=0.0999999,"OK","CORRECT THE TAX RATES BY MOVING THE DECIMAL TWO PLACES TO THE LEFT.")</f>
        <v>OK</v>
      </c>
      <c r="E31" s="358"/>
      <c r="F31" s="358"/>
      <c r="G31" s="358"/>
      <c r="H31" s="358"/>
      <c r="I31" s="358"/>
      <c r="J31" s="358"/>
    </row>
    <row r="32" spans="1:10">
      <c r="A32" s="1071"/>
      <c r="B32" s="1116"/>
      <c r="C32" s="1083" t="s">
        <v>1035</v>
      </c>
      <c r="D32" s="1074" t="str">
        <f>IF(OR(COVER!B6="x",'FP Info 3'!B31="X",'FP Info 3'!B32="X"),"OK","ENTRY IS REQUIRED!")</f>
        <v>OK</v>
      </c>
    </row>
    <row r="33" spans="1:12" s="1087" customFormat="1" ht="12.75" customHeight="1">
      <c r="A33" s="1084"/>
      <c r="B33" s="1111">
        <f>B30+1</f>
        <v>4</v>
      </c>
      <c r="C33" s="1085" t="s">
        <v>813</v>
      </c>
      <c r="D33" s="1086"/>
    </row>
    <row r="34" spans="1:12" s="1087" customFormat="1">
      <c r="A34" s="1088"/>
      <c r="B34" s="1111"/>
      <c r="C34" s="1089" t="s">
        <v>880</v>
      </c>
      <c r="D34" s="1074" t="str">
        <f>IF('Assets-Liab 5-6'!C4&lt;-0.49, "ERROR!","OK")</f>
        <v>OK</v>
      </c>
    </row>
    <row r="35" spans="1:12">
      <c r="A35" s="1088"/>
      <c r="B35" s="1111"/>
      <c r="C35" s="1089" t="s">
        <v>324</v>
      </c>
      <c r="D35" s="1074" t="str">
        <f>IF('Assets-Liab 5-6'!D4&lt;-0.49, "ERROR!","OK")</f>
        <v>OK</v>
      </c>
      <c r="L35" s="1143"/>
    </row>
    <row r="36" spans="1:12">
      <c r="A36" s="1088"/>
      <c r="B36" s="1111"/>
      <c r="C36" s="1089" t="s">
        <v>814</v>
      </c>
      <c r="D36" s="1074" t="str">
        <f>IF('Assets-Liab 5-6'!E4&lt;-0.49, "ERROR!","OK")</f>
        <v>OK</v>
      </c>
    </row>
    <row r="37" spans="1:12">
      <c r="A37" s="1088"/>
      <c r="B37" s="1111"/>
      <c r="C37" s="1089" t="s">
        <v>325</v>
      </c>
      <c r="D37" s="1074" t="str">
        <f>IF('Assets-Liab 5-6'!F4&lt;-0.49, "ERROR!","OK")</f>
        <v>OK</v>
      </c>
    </row>
    <row r="38" spans="1:12">
      <c r="A38" s="1088"/>
      <c r="B38" s="1111"/>
      <c r="C38" s="1089" t="s">
        <v>326</v>
      </c>
      <c r="D38" s="1074" t="str">
        <f>IF('Assets-Liab 5-6'!G4&lt;-0.49, "ERROR!","OK")</f>
        <v>OK</v>
      </c>
    </row>
    <row r="39" spans="1:12">
      <c r="A39" s="1088"/>
      <c r="B39" s="1111"/>
      <c r="C39" s="1089" t="s">
        <v>815</v>
      </c>
      <c r="D39" s="1074" t="str">
        <f>IF('Assets-Liab 5-6'!H4&lt;-0.49, "ERROR!","OK")</f>
        <v>OK</v>
      </c>
    </row>
    <row r="40" spans="1:12">
      <c r="A40" s="1088"/>
      <c r="B40" s="1111"/>
      <c r="C40" s="1089" t="s">
        <v>327</v>
      </c>
      <c r="D40" s="1074" t="str">
        <f>IF('Assets-Liab 5-6'!I4&lt;-0.49, "ERROR!","OK")</f>
        <v>OK</v>
      </c>
    </row>
    <row r="41" spans="1:12">
      <c r="A41" s="1088"/>
      <c r="B41" s="1111"/>
      <c r="C41" s="1089" t="s">
        <v>816</v>
      </c>
      <c r="D41" s="1074" t="str">
        <f>IF('Assets-Liab 5-6'!J4&lt;-0.49, "ERROR!","OK")</f>
        <v>OK</v>
      </c>
    </row>
    <row r="42" spans="1:12">
      <c r="A42" s="1088"/>
      <c r="B42" s="1111"/>
      <c r="C42" s="1089" t="s">
        <v>328</v>
      </c>
      <c r="D42" s="1074" t="str">
        <f>IF('Assets-Liab 5-6'!K4&lt;-0.49, "ERROR!","OK")</f>
        <v>OK</v>
      </c>
    </row>
    <row r="43" spans="1:12">
      <c r="A43" s="1090"/>
      <c r="B43" s="1091">
        <f>B33+1</f>
        <v>5</v>
      </c>
      <c r="C43" s="2412" t="s">
        <v>557</v>
      </c>
      <c r="D43" s="2413"/>
    </row>
    <row r="44" spans="1:12">
      <c r="A44" s="1090"/>
      <c r="B44" s="1092"/>
      <c r="C44" s="1093" t="s">
        <v>1402</v>
      </c>
      <c r="D44" s="1094" t="str">
        <f>IF(SUM('Assets-Liab 5-6'!C13)&lt;&gt;SUM('Assets-Liab 5-6'!C41),"ERROR!","OK")</f>
        <v>OK</v>
      </c>
    </row>
    <row r="45" spans="1:12">
      <c r="A45" s="1090"/>
      <c r="B45" s="1092"/>
      <c r="C45" s="1093" t="s">
        <v>1403</v>
      </c>
      <c r="D45" s="1094" t="str">
        <f>IF(SUM('Assets-Liab 5-6'!D13)&lt;&gt;SUM('Assets-Liab 5-6'!D41),"ERROR!","OK")</f>
        <v>OK</v>
      </c>
    </row>
    <row r="46" spans="1:12">
      <c r="A46" s="1090"/>
      <c r="B46" s="1092"/>
      <c r="C46" s="1093" t="s">
        <v>1404</v>
      </c>
      <c r="D46" s="1094" t="str">
        <f>IF(SUM('Assets-Liab 5-6'!E13)&lt;&gt;SUM('Assets-Liab 5-6'!E41),"ERROR!","OK")</f>
        <v>OK</v>
      </c>
    </row>
    <row r="47" spans="1:12">
      <c r="A47" s="1090"/>
      <c r="B47" s="1092"/>
      <c r="C47" s="1093" t="s">
        <v>1405</v>
      </c>
      <c r="D47" s="1094" t="str">
        <f>IF(SUM('Assets-Liab 5-6'!F13)&lt;&gt;SUM('Assets-Liab 5-6'!F41),"ERROR!","OK")</f>
        <v>OK</v>
      </c>
    </row>
    <row r="48" spans="1:12">
      <c r="A48" s="1090"/>
      <c r="B48" s="1092"/>
      <c r="C48" s="1093" t="s">
        <v>1406</v>
      </c>
      <c r="D48" s="1094" t="str">
        <f>IF(SUM('Assets-Liab 5-6'!G13)&lt;&gt;SUM('Assets-Liab 5-6'!G41),"ERROR!","OK")</f>
        <v>OK</v>
      </c>
    </row>
    <row r="49" spans="1:4">
      <c r="A49" s="1090"/>
      <c r="B49" s="1092"/>
      <c r="C49" s="1093" t="s">
        <v>1407</v>
      </c>
      <c r="D49" s="1094" t="str">
        <f>IF(SUM('Assets-Liab 5-6'!H13)&lt;&gt;SUM('Assets-Liab 5-6'!H41),"ERROR!","OK")</f>
        <v>OK</v>
      </c>
    </row>
    <row r="50" spans="1:4">
      <c r="A50" s="1090"/>
      <c r="B50" s="1092"/>
      <c r="C50" s="1093" t="s">
        <v>1408</v>
      </c>
      <c r="D50" s="1094" t="str">
        <f>IF(SUM('Assets-Liab 5-6'!I13)&lt;&gt;SUM('Assets-Liab 5-6'!I41),"ERROR!","OK")</f>
        <v>OK</v>
      </c>
    </row>
    <row r="51" spans="1:4">
      <c r="A51" s="1090"/>
      <c r="B51" s="1092"/>
      <c r="C51" s="1093" t="s">
        <v>1409</v>
      </c>
      <c r="D51" s="1094" t="str">
        <f>IF(SUM('Assets-Liab 5-6'!J13)&lt;&gt;SUM('Assets-Liab 5-6'!J41),"ERROR!","OK")</f>
        <v>OK</v>
      </c>
    </row>
    <row r="52" spans="1:4">
      <c r="A52" s="1090"/>
      <c r="B52" s="1092"/>
      <c r="C52" s="1093" t="s">
        <v>1410</v>
      </c>
      <c r="D52" s="1094" t="str">
        <f>IF(SUM('Assets-Liab 5-6'!K13)&lt;&gt;SUM('Assets-Liab 5-6'!K41),"ERROR!","OK")</f>
        <v>OK</v>
      </c>
    </row>
    <row r="53" spans="1:4">
      <c r="A53" s="1090"/>
      <c r="B53" s="1092"/>
      <c r="C53" s="1093" t="s">
        <v>1411</v>
      </c>
      <c r="D53" s="1094" t="str">
        <f>IF(SUM('Assets-Liab 5-6'!L13)&lt;&gt;('Assets-Liab 5-6'!L41),"ERROR!","OK")</f>
        <v>OK</v>
      </c>
    </row>
    <row r="54" spans="1:4">
      <c r="A54" s="1090"/>
      <c r="B54" s="1092"/>
      <c r="C54" s="1093" t="s">
        <v>1412</v>
      </c>
      <c r="D54" s="1094" t="str">
        <f>IF(SUM('Assets-Liab 5-6'!M23)&lt;&gt;('Assets-Liab 5-6'!M41),"ERROR!","OK")</f>
        <v>OK</v>
      </c>
    </row>
    <row r="55" spans="1:4">
      <c r="A55" s="1090"/>
      <c r="B55" s="1092"/>
      <c r="C55" s="1093" t="s">
        <v>1413</v>
      </c>
      <c r="D55" s="1094" t="str">
        <f>IF(SUM('Assets-Liab 5-6'!N23)&lt;&gt;('Assets-Liab 5-6'!N41),"ERROR!","OK")</f>
        <v>OK</v>
      </c>
    </row>
    <row r="56" spans="1:4">
      <c r="A56" s="1071"/>
      <c r="B56" s="1091">
        <f>B43+1</f>
        <v>6</v>
      </c>
      <c r="C56" s="2404" t="s">
        <v>817</v>
      </c>
      <c r="D56" s="2405"/>
    </row>
    <row r="57" spans="1:4" s="1087" customFormat="1">
      <c r="A57" s="1071"/>
      <c r="B57" s="1081"/>
      <c r="C57" s="1089" t="s">
        <v>1414</v>
      </c>
      <c r="D57" s="1095" t="str">
        <f>IF('Assets-Liab 5-6'!C38+'Assets-Liab 5-6'!C39='Acct Summary 7-8'!C81,"OK","ERROR!")</f>
        <v>OK</v>
      </c>
    </row>
    <row r="58" spans="1:4">
      <c r="A58" s="1071"/>
      <c r="B58" s="1081"/>
      <c r="C58" s="1089" t="s">
        <v>1415</v>
      </c>
      <c r="D58" s="1095" t="str">
        <f>IF((('Assets-Liab 5-6'!D38+'Assets-Liab 5-6'!D39) ='Acct Summary 7-8'!D81), "OK", "ERROR!" )</f>
        <v>OK</v>
      </c>
    </row>
    <row r="59" spans="1:4" s="1087" customFormat="1">
      <c r="A59" s="1071"/>
      <c r="B59" s="1081"/>
      <c r="C59" s="1089" t="s">
        <v>1416</v>
      </c>
      <c r="D59" s="1095" t="str">
        <f>IF((('Assets-Liab 5-6'!E38 + 'Assets-Liab 5-6'!E39) ='Acct Summary 7-8'!E81), "OK", "ERROR!" )</f>
        <v>OK</v>
      </c>
    </row>
    <row r="60" spans="1:4">
      <c r="A60" s="1071"/>
      <c r="B60" s="1081"/>
      <c r="C60" s="1089" t="s">
        <v>1417</v>
      </c>
      <c r="D60" s="1095" t="str">
        <f>IF((('Assets-Liab 5-6'!F38 + 'Assets-Liab 5-6'!F39) ='Acct Summary 7-8'!F81), "OK", "ERROR!" )</f>
        <v>OK</v>
      </c>
    </row>
    <row r="61" spans="1:4" ht="12.75" customHeight="1">
      <c r="A61" s="1071"/>
      <c r="B61" s="1081"/>
      <c r="C61" s="1089" t="s">
        <v>1430</v>
      </c>
      <c r="D61" s="1095" t="str">
        <f>IF((('Assets-Liab 5-6'!G38 + 'Assets-Liab 5-6'!G39) ='Acct Summary 7-8'!G81), "OK", "ERROR!" )</f>
        <v>OK</v>
      </c>
    </row>
    <row r="62" spans="1:4">
      <c r="A62" s="1071"/>
      <c r="B62" s="1081"/>
      <c r="C62" s="1089" t="s">
        <v>1418</v>
      </c>
      <c r="D62" s="1095" t="str">
        <f>IF((('Assets-Liab 5-6'!H38 + 'Assets-Liab 5-6'!H39) ='Acct Summary 7-8'!H81), "OK", "ERROR!" )</f>
        <v>OK</v>
      </c>
    </row>
    <row r="63" spans="1:4" ht="12.75" customHeight="1">
      <c r="A63" s="1071"/>
      <c r="B63" s="1081"/>
      <c r="C63" s="1089" t="s">
        <v>1419</v>
      </c>
      <c r="D63" s="1095" t="str">
        <f>IF((('Assets-Liab 5-6'!I38 + 'Assets-Liab 5-6'!I39) ='Acct Summary 7-8'!I81), "OK", "ERROR!" )</f>
        <v>OK</v>
      </c>
    </row>
    <row r="64" spans="1:4">
      <c r="A64" s="1071"/>
      <c r="B64" s="1081"/>
      <c r="C64" s="1089" t="s">
        <v>1420</v>
      </c>
      <c r="D64" s="1095" t="str">
        <f>IF((('Assets-Liab 5-6'!J38 + 'Assets-Liab 5-6'!J39) ='Acct Summary 7-8'!J81), "OK", "ERROR!" )</f>
        <v>OK</v>
      </c>
    </row>
    <row r="65" spans="1:4">
      <c r="A65" s="1088"/>
      <c r="B65" s="1081"/>
      <c r="C65" s="1089" t="s">
        <v>1431</v>
      </c>
      <c r="D65" s="1095" t="str">
        <f>IF((('Assets-Liab 5-6'!K38 + 'Assets-Liab 5-6'!K39) ='Acct Summary 7-8'!K81), "OK", "ERROR!" )</f>
        <v>OK</v>
      </c>
    </row>
    <row r="66" spans="1:4">
      <c r="A66" s="1069"/>
      <c r="B66" s="1111">
        <f>B56+1+1</f>
        <v>8</v>
      </c>
      <c r="C66" s="1117" t="s">
        <v>2048</v>
      </c>
      <c r="D66" s="1096"/>
    </row>
    <row r="67" spans="1:4">
      <c r="A67" s="1090"/>
      <c r="B67" s="1111"/>
      <c r="C67" s="1118" t="s">
        <v>1079</v>
      </c>
      <c r="D67" s="1096"/>
    </row>
    <row r="68" spans="1:4">
      <c r="A68" s="1071"/>
      <c r="B68" s="1081"/>
      <c r="C68" s="1073" t="s">
        <v>2049</v>
      </c>
      <c r="D68" s="1095" t="str">
        <f>IF('Short-Term Long-Term Debt 24'!F49=SUM(,'Acct Summary 7-8'!C33:K33),"OK","ERROR!")</f>
        <v>OK</v>
      </c>
    </row>
    <row r="69" spans="1:4">
      <c r="A69" s="1071"/>
      <c r="B69" s="1081"/>
      <c r="C69" s="1073" t="s">
        <v>2050</v>
      </c>
      <c r="D69" s="1095" t="str">
        <f>IF('Expenditures 15-22'!H170&lt;&gt;'Short-Term Long-Term Debt 24'!H49,"ERROR!","OK")</f>
        <v>ERROR!</v>
      </c>
    </row>
    <row r="70" spans="1:4">
      <c r="A70" s="1069"/>
      <c r="B70" s="1091">
        <f>B66+1</f>
        <v>9</v>
      </c>
      <c r="C70" s="2404" t="s">
        <v>1797</v>
      </c>
      <c r="D70" s="2405"/>
    </row>
    <row r="71" spans="1:4">
      <c r="A71" s="1069"/>
      <c r="B71" s="1091"/>
      <c r="C71" s="1073" t="s">
        <v>1421</v>
      </c>
      <c r="D71" s="1097" t="str">
        <f>IF(SUM('Acct Summary 7-8'!C27:K27) =SUM( 'Acct Summary 7-8'!C49:K49),"OK", "ERROR")</f>
        <v>OK</v>
      </c>
    </row>
    <row r="72" spans="1:4">
      <c r="A72" s="1071"/>
      <c r="B72" s="1081"/>
      <c r="C72" s="1089" t="s">
        <v>1422</v>
      </c>
      <c r="D72" s="1095" t="str">
        <f>IF(SUM('Acct Summary 7-8'!C28:K28)=SUM('Acct Summary 7-8'!C50:K50),"OK","ERROR!")</f>
        <v>OK</v>
      </c>
    </row>
    <row r="73" spans="1:4" ht="24">
      <c r="A73" s="1098"/>
      <c r="B73" s="1081"/>
      <c r="C73" s="1089" t="s">
        <v>1798</v>
      </c>
      <c r="D73" s="1097" t="str">
        <f>IF(SUM('Acct Summary 7-8'!C42:K42)&gt;=SUM( 'Acct Summary 7-8'!C74:K74),"OK", "ERROR")</f>
        <v>OK</v>
      </c>
    </row>
    <row r="74" spans="1:4">
      <c r="A74" s="1069"/>
      <c r="B74" s="1091">
        <f>B70+1</f>
        <v>10</v>
      </c>
      <c r="C74" s="1085" t="s">
        <v>2051</v>
      </c>
      <c r="D74" s="1099"/>
    </row>
    <row r="75" spans="1:4">
      <c r="A75" s="1071"/>
      <c r="B75" s="1081"/>
      <c r="C75" s="1089" t="s">
        <v>1444</v>
      </c>
      <c r="D75" s="1095" t="str">
        <f>IF(SUM('Assets-Liab 5-6'!C38:H38)&gt;=SUM('Rest Tax Levies-Tort Im 25'!G25:K25),"OK","ERROR")</f>
        <v>OK</v>
      </c>
    </row>
    <row r="76" spans="1:4">
      <c r="A76" s="1071"/>
      <c r="B76" s="1081"/>
      <c r="C76" s="1089" t="s">
        <v>1490</v>
      </c>
      <c r="D76" s="1095" t="str">
        <f>IF(SUM('Assets-Liab 5-6'!C39:K39)&gt;0,"OK","ENTRY IS REQUIRED!")</f>
        <v>OK</v>
      </c>
    </row>
    <row r="77" spans="1:4">
      <c r="A77" s="1071"/>
      <c r="B77" s="1100">
        <f>B74+1</f>
        <v>11</v>
      </c>
      <c r="C77" s="1145" t="s">
        <v>1445</v>
      </c>
      <c r="D77" s="1095"/>
    </row>
    <row r="78" spans="1:4">
      <c r="A78" s="1071"/>
      <c r="B78" s="1081"/>
      <c r="C78" s="1089" t="s">
        <v>2052</v>
      </c>
      <c r="D78" s="1095" t="str">
        <f>IF(ISNUMBER('Acct Summary 7-8'!C9),"OK","ENTRY IS REQUIRED!")</f>
        <v>OK</v>
      </c>
    </row>
    <row r="79" spans="1:4">
      <c r="A79" s="1090"/>
      <c r="B79" s="1091">
        <f>B74+1+1</f>
        <v>12</v>
      </c>
      <c r="C79" s="1101" t="s">
        <v>2017</v>
      </c>
      <c r="D79" s="1102" t="str">
        <f>IF(OR(COVER!$B$6="X",'PCTC-OEPP 27-28'!F78&gt;0),"OK","PLEASE ENTER 9 MO ADA.")</f>
        <v>OK</v>
      </c>
    </row>
    <row r="80" spans="1:4">
      <c r="A80" s="1069"/>
      <c r="B80" s="1091">
        <v>13</v>
      </c>
      <c r="C80" s="1101" t="s">
        <v>2053</v>
      </c>
      <c r="D80" s="1102" t="str">
        <f>IF('Contracts Paid in CY 29'!D141&gt;0,"OK","PLEASE ENTER CONTRACTS PAID IN CURRENT YEAR.")</f>
        <v>OK</v>
      </c>
    </row>
    <row r="81" spans="1:4">
      <c r="A81" s="1069"/>
      <c r="B81" s="1091">
        <v>14</v>
      </c>
      <c r="C81" s="1101" t="s">
        <v>1496</v>
      </c>
      <c r="D81" s="1094" t="str">
        <f>IF('Shared Outsourced Services 31'!B8="X","OK",IF('Shared Outsourced Services 31'!K34&gt;0,"OK","ENTRY REQUIRED!"))</f>
        <v>OK</v>
      </c>
    </row>
    <row r="82" spans="1:4">
      <c r="A82" s="1090"/>
      <c r="B82" s="1091">
        <v>15</v>
      </c>
      <c r="C82" s="1101" t="s">
        <v>1495</v>
      </c>
      <c r="D82" s="110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576</v>
      </c>
      <c r="B1" s="137" t="s">
        <v>279</v>
      </c>
    </row>
    <row r="2" spans="1:2">
      <c r="A2" t="s">
        <v>280</v>
      </c>
      <c r="B2" s="137" t="str">
        <f>COVER!A13</f>
        <v>07-016-2270-17</v>
      </c>
    </row>
    <row r="3" spans="1:2">
      <c r="A3" t="s">
        <v>1013</v>
      </c>
      <c r="B3" s="137" t="str">
        <f>COVER!A15</f>
        <v xml:space="preserve">Cook </v>
      </c>
    </row>
    <row r="4" spans="1:2">
      <c r="A4" t="s">
        <v>1064</v>
      </c>
      <c r="B4" s="137" t="str">
        <f>COVER!A17</f>
        <v>Rich Township High School District 227</v>
      </c>
    </row>
    <row r="5" spans="1:2">
      <c r="A5" t="s">
        <v>728</v>
      </c>
      <c r="B5" s="137" t="str">
        <f>COVER!A38</f>
        <v>Dr. Johnnie Thomas</v>
      </c>
    </row>
    <row r="6" spans="1:2">
      <c r="A6" t="s">
        <v>733</v>
      </c>
      <c r="B6" s="137" t="str">
        <f>COVER!P35</f>
        <v>Bloom</v>
      </c>
    </row>
    <row r="7" spans="1:2">
      <c r="A7" t="s">
        <v>729</v>
      </c>
      <c r="B7" s="137" t="str">
        <f>COVER!I38</f>
        <v>Dr. Robert G. Grossi</v>
      </c>
    </row>
    <row r="8" spans="1:2">
      <c r="A8" t="s">
        <v>730</v>
      </c>
      <c r="B8" s="137" t="str">
        <f>COVER!T38</f>
        <v>Dr. Vanessa Kinder (ISC#4)</v>
      </c>
    </row>
    <row r="9" spans="1:2">
      <c r="A9" s="3" t="s">
        <v>1014</v>
      </c>
      <c r="B9" s="157" t="str">
        <f>AUDITCHECK!D23</f>
        <v>CASH</v>
      </c>
    </row>
    <row r="10" spans="1:2">
      <c r="A10" t="s">
        <v>1033</v>
      </c>
      <c r="B10" s="137" t="str">
        <f>COVER!B5</f>
        <v>X</v>
      </c>
    </row>
    <row r="11" spans="1:2">
      <c r="A11" t="s">
        <v>1034</v>
      </c>
      <c r="B11" s="137">
        <f>COVER!B6</f>
        <v>0</v>
      </c>
    </row>
    <row r="12" spans="1:2">
      <c r="A12" s="1" t="s">
        <v>1624</v>
      </c>
      <c r="B12" s="137" t="str">
        <f>IF(COVER!J29="x","Yes",IF(COVER!L29="X","No",0))</f>
        <v>Yes</v>
      </c>
    </row>
    <row r="13" spans="1:2">
      <c r="A13" s="1" t="s">
        <v>1625</v>
      </c>
      <c r="B13" s="137" t="str">
        <f>IF(COVER!J30="x","Yes",IF(COVER!L30="x","No",0))</f>
        <v>Yes</v>
      </c>
    </row>
    <row r="14" spans="1:2">
      <c r="A14" t="s">
        <v>497</v>
      </c>
      <c r="B14" s="137" t="str">
        <f>IF(COVER!J31="x","Yes",IF(COVER!L31="x","No",0))</f>
        <v>Yes</v>
      </c>
    </row>
    <row r="15" spans="1:2">
      <c r="A15" t="s">
        <v>598</v>
      </c>
      <c r="B15" s="137" t="str">
        <f>COVER!T23</f>
        <v>065-046525</v>
      </c>
    </row>
    <row r="16" spans="1:2">
      <c r="A16" t="s">
        <v>442</v>
      </c>
      <c r="B16" s="137" t="str">
        <f>COVER!T13</f>
        <v>Miller, Cooper &amp; Co., Ltd.</v>
      </c>
    </row>
    <row r="17" spans="1:2">
      <c r="A17" t="s">
        <v>939</v>
      </c>
      <c r="B17" s="137" t="str">
        <f>COVER!T15</f>
        <v xml:space="preserve">Betsy Allen </v>
      </c>
    </row>
    <row r="18" spans="1:2">
      <c r="A18" t="s">
        <v>1212</v>
      </c>
      <c r="B18" s="137" t="str">
        <f>COVER!T17</f>
        <v>1751 Lake Cook Road</v>
      </c>
    </row>
    <row r="19" spans="1:2">
      <c r="A19" t="s">
        <v>941</v>
      </c>
      <c r="B19" s="137" t="str">
        <f>COVER!T25</f>
        <v>ballen@millercooper.com</v>
      </c>
    </row>
    <row r="20" spans="1:2">
      <c r="A20" t="s">
        <v>942</v>
      </c>
      <c r="B20" s="137" t="str">
        <f>COVER!T19</f>
        <v>Deerfield</v>
      </c>
    </row>
    <row r="21" spans="1:2">
      <c r="A21" t="s">
        <v>500</v>
      </c>
      <c r="B21" s="137" t="str">
        <f>COVER!X19</f>
        <v>IL</v>
      </c>
    </row>
    <row r="22" spans="1:2">
      <c r="A22" t="s">
        <v>943</v>
      </c>
      <c r="B22" s="137">
        <f>COVER!Z19</f>
        <v>60015</v>
      </c>
    </row>
    <row r="23" spans="1:2">
      <c r="A23" t="s">
        <v>1214</v>
      </c>
      <c r="B23" s="137" t="str">
        <f>COVER!T21</f>
        <v>847-205-5000</v>
      </c>
    </row>
    <row r="24" spans="1:2">
      <c r="A24" t="s">
        <v>1213</v>
      </c>
      <c r="B24" s="137">
        <f>COVER!Y21</f>
        <v>0</v>
      </c>
    </row>
    <row r="25" spans="1:2">
      <c r="A25" t="s">
        <v>785</v>
      </c>
      <c r="B25" s="137" t="str">
        <f>COVER!B34</f>
        <v>X</v>
      </c>
    </row>
    <row r="26" spans="1:2">
      <c r="A26" t="s">
        <v>1215</v>
      </c>
      <c r="B26" s="137" t="str">
        <f>COVER!L34</f>
        <v>X</v>
      </c>
    </row>
    <row r="27" spans="1:2">
      <c r="A27" t="s">
        <v>286</v>
      </c>
      <c r="B27" s="137">
        <f>COVER!U34</f>
        <v>0</v>
      </c>
    </row>
    <row r="28" spans="1:2">
      <c r="A28" t="s">
        <v>334</v>
      </c>
      <c r="B28" s="137" t="str">
        <f>IF('Aud Quest 2'!B9="x","Yes",IF('Aud Quest 2'!B9&lt;&gt;"x","0"))</f>
        <v>0</v>
      </c>
    </row>
    <row r="29" spans="1:2">
      <c r="A29" t="s">
        <v>335</v>
      </c>
      <c r="B29" s="137" t="str">
        <f>IF('Aud Quest 2'!B11="x","Yes",IF('Aud Quest 2'!B11&lt;&gt;"x","0"))</f>
        <v>0</v>
      </c>
    </row>
    <row r="30" spans="1:2">
      <c r="A30" t="s">
        <v>336</v>
      </c>
      <c r="B30" s="137" t="str">
        <f>IF('Aud Quest 2'!B13="x","Yes",IF('Aud Quest 2'!B13&lt;&gt;"x","0"))</f>
        <v>0</v>
      </c>
    </row>
    <row r="31" spans="1:2">
      <c r="A31" t="s">
        <v>680</v>
      </c>
      <c r="B31" s="137" t="str">
        <f>IF('Aud Quest 2'!B14="x","Yes",IF('Aud Quest 2'!B14&lt;&gt;"x","0"))</f>
        <v>0</v>
      </c>
    </row>
    <row r="32" spans="1:2">
      <c r="A32" t="s">
        <v>679</v>
      </c>
      <c r="B32" s="137" t="str">
        <f>IF('Aud Quest 2'!B15="x","Yes",IF('Aud Quest 2'!B15&lt;&gt;"x","0"))</f>
        <v>0</v>
      </c>
    </row>
    <row r="33" spans="1:2">
      <c r="A33" t="s">
        <v>681</v>
      </c>
      <c r="B33" s="137" t="str">
        <f>IF('Aud Quest 2'!B16="x","Yes",IF('Aud Quest 2'!B16&lt;&gt;"x","0"))</f>
        <v>0</v>
      </c>
    </row>
    <row r="34" spans="1:2">
      <c r="A34" t="s">
        <v>682</v>
      </c>
      <c r="B34" s="137" t="str">
        <f>IF('Aud Quest 2'!B18="x","Yes",IF('Aud Quest 2'!B18&lt;&gt;"x","0"))</f>
        <v>0</v>
      </c>
    </row>
    <row r="35" spans="1:2">
      <c r="A35" t="s">
        <v>683</v>
      </c>
      <c r="B35" s="137" t="str">
        <f>IF('Aud Quest 2'!B20="x","Yes",IF('Aud Quest 2'!B20&lt;&gt;"x","0"))</f>
        <v>0</v>
      </c>
    </row>
    <row r="36" spans="1:2">
      <c r="A36" t="s">
        <v>677</v>
      </c>
      <c r="B36" s="137" t="str">
        <f>IF('Aud Quest 2'!B22="x","Yes",IF('Aud Quest 2'!B22&lt;&gt;"x","0"))</f>
        <v>0</v>
      </c>
    </row>
    <row r="37" spans="1:2">
      <c r="A37" t="s">
        <v>784</v>
      </c>
      <c r="B37" s="137" t="str">
        <f>IF('Aud Quest 2'!B24="x","Yes",IF('Aud Quest 2'!B24&lt;&gt;"x","0"))</f>
        <v>0</v>
      </c>
    </row>
    <row r="38" spans="1:2">
      <c r="A38" t="s">
        <v>345</v>
      </c>
      <c r="B38" s="137" t="str">
        <f>IF('Aud Quest 2'!B25="x","Yes",IF('Aud Quest 2'!B25&lt;&gt;"x","0"))</f>
        <v>0</v>
      </c>
    </row>
    <row r="39" spans="1:2">
      <c r="A39" t="s">
        <v>346</v>
      </c>
      <c r="B39" s="137" t="str">
        <f>IF('Aud Quest 2'!B27="x","Yes",IF('Aud Quest 2'!B27&lt;&gt;"x","0"))</f>
        <v>0</v>
      </c>
    </row>
    <row r="40" spans="1:2">
      <c r="A40" t="s">
        <v>337</v>
      </c>
      <c r="B40" s="137" t="str">
        <f>IF('Aud Quest 2'!B29="x","Yes",IF('Aud Quest 2'!B29&lt;&gt;"x","0"))</f>
        <v>0</v>
      </c>
    </row>
    <row r="41" spans="1:2">
      <c r="A41" t="s">
        <v>338</v>
      </c>
      <c r="B41" s="137" t="str">
        <f>IF('Aud Quest 2'!B31="x","Yes",IF('Aud Quest 2'!B31&lt;&gt;"x","0"))</f>
        <v>0</v>
      </c>
    </row>
    <row r="42" spans="1:2">
      <c r="A42" t="s">
        <v>339</v>
      </c>
      <c r="B42" s="137" t="str">
        <f>IF('Aud Quest 2'!B37="x","Yes",IF('Aud Quest 2'!B37&lt;&gt;"x","0"))</f>
        <v>0</v>
      </c>
    </row>
    <row r="43" spans="1:2">
      <c r="A43" t="s">
        <v>340</v>
      </c>
      <c r="B43" s="137" t="str">
        <f>IF('Aud Quest 2'!B40="x","Yes",IF('Aud Quest 2'!B40&lt;&gt;"x","0"))</f>
        <v>0</v>
      </c>
    </row>
    <row r="44" spans="1:2">
      <c r="A44" s="1" t="s">
        <v>341</v>
      </c>
      <c r="B44" s="137" t="str">
        <f>IF('Aud Quest 2'!B42="x","Yes",IF('Aud Quest 2'!B42&lt;&gt;"x","0"))</f>
        <v>0</v>
      </c>
    </row>
    <row r="45" spans="1:2">
      <c r="A45" t="s">
        <v>342</v>
      </c>
      <c r="B45" s="137" t="str">
        <f>IF('Aud Quest 2'!B44="x","Yes",IF('Aud Quest 2'!B44&lt;&gt;"x","0"))</f>
        <v>0</v>
      </c>
    </row>
    <row r="46" spans="1:2">
      <c r="A46" t="s">
        <v>343</v>
      </c>
      <c r="B46" s="137" t="str">
        <f>IF('Aud Quest 2'!B49="x","Yes",IF('Aud Quest 2'!B49&lt;&gt;"x","0"))</f>
        <v>0</v>
      </c>
    </row>
    <row r="47" spans="1:2">
      <c r="A47" t="s">
        <v>344</v>
      </c>
      <c r="B47" s="137" t="str">
        <f>IF('Aud Quest 2'!B50="x","Yes",IF('Aud Quest 2'!B50&lt;&gt;"x","0"))</f>
        <v>0</v>
      </c>
    </row>
    <row r="48" spans="1:2">
      <c r="A48" t="s">
        <v>504</v>
      </c>
      <c r="B48" s="137" t="str">
        <f>IF('Aud Quest 2'!B51="x","Yes",IF('Aud Quest 2'!B51&lt;&gt;"x","0"))</f>
        <v>0</v>
      </c>
    </row>
    <row r="49" spans="1:4">
      <c r="A49" s="1" t="s">
        <v>1560</v>
      </c>
      <c r="B49" s="137" t="str">
        <f>IF('Aud Quest 2'!B53="x","Yes",IF('Aud Quest 2'!B53&lt;&gt;"x","0"))</f>
        <v>Yes</v>
      </c>
    </row>
    <row r="50" spans="1:4">
      <c r="A50" s="1" t="s">
        <v>1559</v>
      </c>
      <c r="B50" s="149">
        <f>'Aud Quest 2'!H53</f>
        <v>34742</v>
      </c>
    </row>
    <row r="51" spans="1:4">
      <c r="A51" s="1" t="s">
        <v>1561</v>
      </c>
      <c r="B51" s="137" t="str">
        <f>IF('Aud Quest 2'!B54="x","Yes",IF('Aud Quest 2'!B54&lt;&gt;"x","0"))</f>
        <v>0</v>
      </c>
    </row>
    <row r="52" spans="1:4">
      <c r="A52" t="s">
        <v>347</v>
      </c>
      <c r="B52" s="137">
        <f>('Aud Quest 2'!D56)</f>
        <v>0</v>
      </c>
    </row>
    <row r="53" spans="1:4">
      <c r="A53" s="1" t="s">
        <v>348</v>
      </c>
      <c r="B53" s="137">
        <f>IF('FP Info 3'!B44="X","Yes",0)</f>
        <v>0</v>
      </c>
    </row>
    <row r="54" spans="1:4">
      <c r="A54" t="s">
        <v>349</v>
      </c>
      <c r="B54" s="137">
        <f>IF('FP Info 3'!B45="X","Yes",0)</f>
        <v>0</v>
      </c>
    </row>
    <row r="55" spans="1:4">
      <c r="A55" t="s">
        <v>350</v>
      </c>
      <c r="B55" s="137">
        <f>IF('FP Info 3'!B46="X","Yes",0)</f>
        <v>0</v>
      </c>
    </row>
    <row r="56" spans="1:4">
      <c r="A56" t="s">
        <v>351</v>
      </c>
      <c r="B56" s="137">
        <f>IF('FP Info 3'!B47="X","Yes",0)</f>
        <v>0</v>
      </c>
    </row>
    <row r="57" spans="1:4">
      <c r="A57" t="s">
        <v>352</v>
      </c>
      <c r="B57" s="137">
        <f>IF('FP Info 3'!B48="X","Yes",0)</f>
        <v>0</v>
      </c>
    </row>
    <row r="58" spans="1:4">
      <c r="A58" t="s">
        <v>353</v>
      </c>
      <c r="B58" s="137">
        <f>IF('FP Info 3'!B49="X","Yes",0)</f>
        <v>0</v>
      </c>
    </row>
    <row r="59" spans="1:4">
      <c r="A59" t="s">
        <v>354</v>
      </c>
      <c r="B59" s="137">
        <f>IF('FP Info 3'!B50="X","Yes",0)</f>
        <v>0</v>
      </c>
    </row>
    <row r="60" spans="1:4">
      <c r="A60" t="s">
        <v>355</v>
      </c>
      <c r="B60" s="137">
        <f>IF('FP Info 3'!B51="X","Yes",0)</f>
        <v>0</v>
      </c>
    </row>
    <row r="61" spans="1:4">
      <c r="A61" t="s">
        <v>356</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21249725</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594</v>
      </c>
      <c r="D91" s="2" t="str">
        <f t="shared" si="0"/>
        <v>Error?</v>
      </c>
    </row>
    <row r="92" spans="1:4">
      <c r="A92" s="5">
        <v>31</v>
      </c>
      <c r="B92" s="137">
        <f>'Assets-Liab 5-6'!C39</f>
        <v>21249725</v>
      </c>
      <c r="D92" s="2" t="str">
        <f t="shared" si="0"/>
        <v>Error?</v>
      </c>
    </row>
    <row r="93" spans="1:4">
      <c r="A93" s="5">
        <v>32</v>
      </c>
      <c r="B93" s="137">
        <f>'Assets-Liab 5-6'!C41</f>
        <v>21249725</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3684278</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594</v>
      </c>
      <c r="D122" s="2" t="str">
        <f t="shared" si="0"/>
        <v>Error?</v>
      </c>
    </row>
    <row r="123" spans="1:4">
      <c r="A123" s="5">
        <v>62</v>
      </c>
      <c r="B123" s="137">
        <f>'Assets-Liab 5-6'!D39</f>
        <v>3684278</v>
      </c>
      <c r="D123" s="2" t="str">
        <f t="shared" si="0"/>
        <v>Error?</v>
      </c>
    </row>
    <row r="124" spans="1:4">
      <c r="A124" s="5">
        <v>63</v>
      </c>
      <c r="B124" s="137">
        <f>'Assets-Liab 5-6'!D41</f>
        <v>3684278</v>
      </c>
      <c r="C124" s="2" t="s">
        <v>594</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3554796</v>
      </c>
      <c r="C131" s="2" t="s">
        <v>594</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594</v>
      </c>
      <c r="D139" s="2" t="str">
        <f t="shared" si="1"/>
        <v>Error?</v>
      </c>
    </row>
    <row r="140" spans="1:4">
      <c r="A140" s="5">
        <v>79</v>
      </c>
      <c r="B140" s="137">
        <f>'Assets-Liab 5-6'!E39</f>
        <v>3554796</v>
      </c>
      <c r="D140" s="2" t="str">
        <f t="shared" si="1"/>
        <v>Error?</v>
      </c>
    </row>
    <row r="141" spans="1:4">
      <c r="A141" s="5">
        <v>80</v>
      </c>
      <c r="B141" s="137">
        <f>'Assets-Liab 5-6'!E41</f>
        <v>3554796</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4201800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594</v>
      </c>
      <c r="D169" s="2" t="str">
        <f t="shared" si="1"/>
        <v>Error?</v>
      </c>
    </row>
    <row r="170" spans="1:4">
      <c r="A170" s="5">
        <v>109</v>
      </c>
      <c r="B170" s="137">
        <f>'Assets-Liab 5-6'!F39</f>
        <v>4201800</v>
      </c>
      <c r="D170" s="2" t="str">
        <f t="shared" si="1"/>
        <v>Error?</v>
      </c>
    </row>
    <row r="171" spans="1:4">
      <c r="A171" s="5">
        <v>110</v>
      </c>
      <c r="B171" s="137">
        <f>'Assets-Liab 5-6'!F41</f>
        <v>4201800</v>
      </c>
      <c r="C171" s="2" t="s">
        <v>594</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347060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594</v>
      </c>
      <c r="D188" s="2" t="str">
        <f t="shared" si="1"/>
        <v>Error?</v>
      </c>
    </row>
    <row r="189" spans="1:4">
      <c r="A189" s="5">
        <v>128</v>
      </c>
      <c r="B189" s="137">
        <f>'Assets-Liab 5-6'!G39</f>
        <v>347060</v>
      </c>
      <c r="D189" s="2" t="str">
        <f t="shared" si="1"/>
        <v>Error?</v>
      </c>
    </row>
    <row r="190" spans="1:4">
      <c r="A190" s="5">
        <v>129</v>
      </c>
      <c r="B190" s="137">
        <f>'Assets-Liab 5-6'!G41</f>
        <v>347060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2393735</v>
      </c>
      <c r="C203" s="2" t="s">
        <v>594</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594</v>
      </c>
      <c r="D211" s="2" t="str">
        <f t="shared" si="2"/>
        <v>Error?</v>
      </c>
    </row>
    <row r="212" spans="1:4">
      <c r="A212" s="5">
        <v>151</v>
      </c>
      <c r="B212" s="137">
        <f>'Assets-Liab 5-6'!H39</f>
        <v>2393735</v>
      </c>
      <c r="D212" s="2" t="str">
        <f t="shared" si="2"/>
        <v>Error?</v>
      </c>
    </row>
    <row r="213" spans="1:4">
      <c r="A213" s="12">
        <v>152</v>
      </c>
      <c r="B213" s="137">
        <f>'Assets-Liab 5-6'!H41</f>
        <v>2393735</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1334210</v>
      </c>
      <c r="D273" s="2" t="str">
        <f t="shared" si="3"/>
        <v>Error?</v>
      </c>
    </row>
    <row r="274" spans="1:4">
      <c r="A274" s="5">
        <v>213</v>
      </c>
      <c r="B274" s="137">
        <f>'Assets-Liab 5-6'!M17</f>
        <v>102398031</v>
      </c>
      <c r="D274" s="2" t="str">
        <f t="shared" si="3"/>
        <v>Error?</v>
      </c>
    </row>
    <row r="275" spans="1:4">
      <c r="A275" s="5">
        <v>214</v>
      </c>
      <c r="B275" s="137">
        <f>'Assets-Liab 5-6'!M18</f>
        <v>5190388</v>
      </c>
      <c r="D275" s="2" t="str">
        <f t="shared" si="3"/>
        <v>Error?</v>
      </c>
    </row>
    <row r="276" spans="1:4">
      <c r="A276" s="5">
        <v>215</v>
      </c>
      <c r="B276" s="137">
        <f>'Assets-Liab 5-6'!M19</f>
        <v>8679126</v>
      </c>
      <c r="D276" s="2" t="str">
        <f t="shared" si="3"/>
        <v>Error?</v>
      </c>
    </row>
    <row r="277" spans="1:4">
      <c r="A277" s="10">
        <v>216</v>
      </c>
      <c r="D277" s="2" t="str">
        <f t="shared" si="3"/>
        <v>OK</v>
      </c>
    </row>
    <row r="278" spans="1:4">
      <c r="A278" s="10">
        <v>217</v>
      </c>
      <c r="D278" s="2" t="str">
        <f t="shared" si="3"/>
        <v>OK</v>
      </c>
    </row>
    <row r="279" spans="1:4">
      <c r="A279" s="5">
        <v>218</v>
      </c>
      <c r="B279" s="137">
        <f>'Assets-Liab 5-6'!M23</f>
        <v>117601755</v>
      </c>
      <c r="C279" s="2" t="s">
        <v>594</v>
      </c>
      <c r="D279" s="2" t="str">
        <f t="shared" si="3"/>
        <v>Error?</v>
      </c>
    </row>
    <row r="280" spans="1:4">
      <c r="A280" s="5">
        <v>219</v>
      </c>
      <c r="B280" s="137">
        <f>'Assets-Liab 5-6'!M40</f>
        <v>117601755</v>
      </c>
      <c r="D280" s="2" t="str">
        <f t="shared" si="3"/>
        <v>Error?</v>
      </c>
    </row>
    <row r="281" spans="1:4">
      <c r="A281" s="5">
        <v>220</v>
      </c>
      <c r="B281" s="137">
        <f>'Assets-Liab 5-6'!M41</f>
        <v>117601755</v>
      </c>
      <c r="C281" s="2" t="s">
        <v>594</v>
      </c>
      <c r="D281" s="2" t="str">
        <f t="shared" si="3"/>
        <v>Error?</v>
      </c>
    </row>
    <row r="282" spans="1:4">
      <c r="A282" s="5">
        <v>221</v>
      </c>
      <c r="B282" s="137">
        <f>'Assets-Liab 5-6'!N21</f>
        <v>3554796</v>
      </c>
      <c r="D282" s="2" t="str">
        <f t="shared" si="3"/>
        <v>Error?</v>
      </c>
    </row>
    <row r="283" spans="1:4">
      <c r="A283" s="5">
        <v>222</v>
      </c>
      <c r="B283" s="137">
        <f>'Assets-Liab 5-6'!N22</f>
        <v>25068437</v>
      </c>
      <c r="D283" s="2" t="str">
        <f t="shared" si="3"/>
        <v>Error?</v>
      </c>
    </row>
    <row r="284" spans="1:4">
      <c r="A284" s="5">
        <v>223</v>
      </c>
      <c r="B284" s="137">
        <f>'Assets-Liab 5-6'!N23</f>
        <v>28623233</v>
      </c>
      <c r="C284" s="2" t="s">
        <v>594</v>
      </c>
      <c r="D284" s="2" t="str">
        <f t="shared" si="3"/>
        <v>Error?</v>
      </c>
    </row>
    <row r="285" spans="1:4">
      <c r="A285" s="5">
        <v>224</v>
      </c>
      <c r="B285" s="137">
        <f>'Assets-Liab 5-6'!N36</f>
        <v>28623233</v>
      </c>
      <c r="D285" s="2" t="str">
        <f t="shared" si="3"/>
        <v>Error?</v>
      </c>
    </row>
    <row r="286" spans="1:4">
      <c r="A286" s="10">
        <v>225</v>
      </c>
      <c r="D286" s="2" t="str">
        <f t="shared" si="3"/>
        <v>OK</v>
      </c>
    </row>
    <row r="287" spans="1:4">
      <c r="A287" s="5">
        <v>226</v>
      </c>
      <c r="B287" s="137">
        <f>'Assets-Liab 5-6'!N37</f>
        <v>28623233</v>
      </c>
      <c r="C287" s="2" t="s">
        <v>594</v>
      </c>
      <c r="D287" s="2" t="str">
        <f t="shared" si="3"/>
        <v>Error?</v>
      </c>
    </row>
    <row r="288" spans="1:4">
      <c r="A288" s="5">
        <v>227</v>
      </c>
      <c r="B288" s="137">
        <f>'Assets-Liab 5-6'!N41</f>
        <v>28623233</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13447725</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640276</v>
      </c>
      <c r="D717" s="2" t="str">
        <f t="shared" si="10"/>
        <v>Error?</v>
      </c>
    </row>
    <row r="718" spans="1:4">
      <c r="A718" s="5">
        <v>657</v>
      </c>
      <c r="B718" s="137">
        <f>'Expenditures 15-22'!C14</f>
        <v>2467195</v>
      </c>
      <c r="D718" s="2" t="str">
        <f t="shared" si="10"/>
        <v>Error?</v>
      </c>
    </row>
    <row r="719" spans="1:4">
      <c r="A719" s="5">
        <v>658</v>
      </c>
      <c r="B719" s="137">
        <f>'Expenditures 15-22'!C15</f>
        <v>117022</v>
      </c>
      <c r="D719" s="2" t="str">
        <f t="shared" si="10"/>
        <v>Error?</v>
      </c>
    </row>
    <row r="720" spans="1:4">
      <c r="A720" s="5">
        <v>659</v>
      </c>
      <c r="B720" s="137">
        <f>'Expenditures 15-22'!C33</f>
        <v>22104213</v>
      </c>
      <c r="C720" s="2" t="s">
        <v>594</v>
      </c>
      <c r="D720" s="2" t="str">
        <f t="shared" si="10"/>
        <v>Error?</v>
      </c>
    </row>
    <row r="721" spans="1:4">
      <c r="A721" s="5">
        <v>660</v>
      </c>
      <c r="B721" s="137">
        <f>'Expenditures 15-22'!C36</f>
        <v>284767</v>
      </c>
      <c r="D721" s="2" t="str">
        <f t="shared" si="10"/>
        <v>Error?</v>
      </c>
    </row>
    <row r="722" spans="1:4">
      <c r="A722" s="5">
        <v>661</v>
      </c>
      <c r="B722" s="137">
        <f>'Expenditures 15-22'!C37</f>
        <v>774479</v>
      </c>
      <c r="D722" s="2" t="str">
        <f t="shared" si="10"/>
        <v>Error?</v>
      </c>
    </row>
    <row r="723" spans="1:4">
      <c r="A723" s="5">
        <v>662</v>
      </c>
      <c r="B723" s="137">
        <f>'Expenditures 15-22'!C38</f>
        <v>202840</v>
      </c>
      <c r="D723" s="2" t="str">
        <f t="shared" si="10"/>
        <v>Error?</v>
      </c>
    </row>
    <row r="724" spans="1:4">
      <c r="A724" s="5">
        <v>663</v>
      </c>
      <c r="B724" s="137">
        <f>'Expenditures 15-22'!C39</f>
        <v>78698</v>
      </c>
      <c r="D724" s="2" t="str">
        <f t="shared" si="10"/>
        <v>Error?</v>
      </c>
    </row>
    <row r="725" spans="1:4">
      <c r="A725" s="5">
        <v>664</v>
      </c>
      <c r="B725" s="137">
        <f>'Expenditures 15-22'!C40</f>
        <v>96825</v>
      </c>
      <c r="D725" s="2" t="str">
        <f t="shared" si="10"/>
        <v>Error?</v>
      </c>
    </row>
    <row r="726" spans="1:4">
      <c r="A726" s="5">
        <v>665</v>
      </c>
      <c r="B726" s="137">
        <f>'Expenditures 15-22'!C41</f>
        <v>378059</v>
      </c>
      <c r="D726" s="2" t="str">
        <f t="shared" si="10"/>
        <v>Error?</v>
      </c>
    </row>
    <row r="727" spans="1:4">
      <c r="A727" s="5">
        <v>666</v>
      </c>
      <c r="B727" s="137">
        <f>'Expenditures 15-22'!C42</f>
        <v>1815668</v>
      </c>
      <c r="C727" s="2" t="s">
        <v>594</v>
      </c>
      <c r="D727" s="2" t="str">
        <f t="shared" si="10"/>
        <v>Error?</v>
      </c>
    </row>
    <row r="728" spans="1:4">
      <c r="A728" s="5">
        <v>667</v>
      </c>
      <c r="B728" s="137">
        <f>'Expenditures 15-22'!C44</f>
        <v>829887</v>
      </c>
      <c r="D728" s="2" t="str">
        <f t="shared" si="10"/>
        <v>Error?</v>
      </c>
    </row>
    <row r="729" spans="1:4">
      <c r="A729" s="5">
        <v>668</v>
      </c>
      <c r="B729" s="137">
        <f>'Expenditures 15-22'!C45</f>
        <v>158281</v>
      </c>
      <c r="D729" s="2" t="str">
        <f t="shared" si="10"/>
        <v>Error?</v>
      </c>
    </row>
    <row r="730" spans="1:4">
      <c r="A730" s="5">
        <v>669</v>
      </c>
      <c r="B730" s="137">
        <f>'Expenditures 15-22'!C46</f>
        <v>336</v>
      </c>
      <c r="D730" s="2" t="str">
        <f t="shared" si="10"/>
        <v>Error?</v>
      </c>
    </row>
    <row r="731" spans="1:4">
      <c r="A731" s="5">
        <v>670</v>
      </c>
      <c r="B731" s="137">
        <f>'Expenditures 15-22'!C47</f>
        <v>988504</v>
      </c>
      <c r="C731" s="2" t="s">
        <v>594</v>
      </c>
      <c r="D731" s="2" t="str">
        <f t="shared" si="10"/>
        <v>Error?</v>
      </c>
    </row>
    <row r="732" spans="1:4">
      <c r="A732" s="5">
        <v>671</v>
      </c>
      <c r="B732" s="137">
        <f>'Expenditures 15-22'!C49</f>
        <v>532</v>
      </c>
      <c r="D732" s="2" t="str">
        <f t="shared" si="10"/>
        <v>Error?</v>
      </c>
    </row>
    <row r="733" spans="1:4">
      <c r="A733" s="5">
        <v>672</v>
      </c>
      <c r="B733" s="137">
        <f>'Expenditures 15-22'!C50</f>
        <v>289247</v>
      </c>
      <c r="D733" s="2" t="str">
        <f t="shared" si="10"/>
        <v>Error?</v>
      </c>
    </row>
    <row r="734" spans="1:4">
      <c r="A734" s="5">
        <v>673</v>
      </c>
      <c r="B734" s="137">
        <f>'Expenditures 15-22'!C53</f>
        <v>884408</v>
      </c>
      <c r="C734" s="2" t="s">
        <v>594</v>
      </c>
      <c r="D734" s="2" t="str">
        <f t="shared" si="10"/>
        <v>Error?</v>
      </c>
    </row>
    <row r="735" spans="1:4">
      <c r="A735" s="5">
        <v>674</v>
      </c>
      <c r="B735" s="137">
        <f>'Expenditures 15-22'!C55</f>
        <v>2083025</v>
      </c>
      <c r="D735" s="2" t="str">
        <f t="shared" si="10"/>
        <v>Error?</v>
      </c>
    </row>
    <row r="736" spans="1:4">
      <c r="A736" s="5">
        <v>675</v>
      </c>
      <c r="B736" s="137">
        <f>'Expenditures 15-22'!C56</f>
        <v>1042390</v>
      </c>
      <c r="D736" s="2" t="str">
        <f t="shared" si="10"/>
        <v>Error?</v>
      </c>
    </row>
    <row r="737" spans="1:4">
      <c r="A737" s="5">
        <v>676</v>
      </c>
      <c r="B737" s="137">
        <f>'Expenditures 15-22'!C57</f>
        <v>3125415</v>
      </c>
      <c r="C737" s="2" t="s">
        <v>594</v>
      </c>
      <c r="D737" s="2" t="str">
        <f t="shared" si="10"/>
        <v>Error?</v>
      </c>
    </row>
    <row r="738" spans="1:4">
      <c r="A738" s="5">
        <v>677</v>
      </c>
      <c r="B738" s="137">
        <f>'Expenditures 15-22'!C59</f>
        <v>113595</v>
      </c>
      <c r="D738" s="2" t="str">
        <f t="shared" si="10"/>
        <v>Error?</v>
      </c>
    </row>
    <row r="739" spans="1:4">
      <c r="A739" s="5">
        <v>678</v>
      </c>
      <c r="B739" s="137">
        <f>'Expenditures 15-22'!C60</f>
        <v>196907</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971226</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1281728</v>
      </c>
      <c r="C745" s="2" t="s">
        <v>594</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2520</v>
      </c>
      <c r="D748" s="2" t="str">
        <f t="shared" si="10"/>
        <v>Error?</v>
      </c>
    </row>
    <row r="749" spans="1:4">
      <c r="A749" s="5">
        <v>688</v>
      </c>
      <c r="B749" s="137">
        <f>'Expenditures 15-22'!C70</f>
        <v>276585</v>
      </c>
      <c r="D749" s="2" t="str">
        <f t="shared" si="10"/>
        <v>Error?</v>
      </c>
    </row>
    <row r="750" spans="1:4">
      <c r="A750" s="10">
        <v>689</v>
      </c>
      <c r="D750" s="2" t="str">
        <f t="shared" si="10"/>
        <v>OK</v>
      </c>
    </row>
    <row r="751" spans="1:4">
      <c r="A751" s="5">
        <v>690</v>
      </c>
      <c r="B751" s="137">
        <f>'Expenditures 15-22'!C71</f>
        <v>439850</v>
      </c>
      <c r="D751" s="2" t="str">
        <f t="shared" si="10"/>
        <v>Error?</v>
      </c>
    </row>
    <row r="752" spans="1:4">
      <c r="A752" s="10">
        <v>691</v>
      </c>
      <c r="D752" s="2" t="str">
        <f t="shared" si="10"/>
        <v>OK</v>
      </c>
    </row>
    <row r="753" spans="1:4">
      <c r="A753" s="5">
        <v>692</v>
      </c>
      <c r="B753" s="137">
        <f>'Expenditures 15-22'!C72</f>
        <v>718955</v>
      </c>
      <c r="C753" s="2" t="s">
        <v>594</v>
      </c>
      <c r="D753" s="2" t="str">
        <f t="shared" si="10"/>
        <v>Error?</v>
      </c>
    </row>
    <row r="754" spans="1:4">
      <c r="A754" s="5">
        <v>693</v>
      </c>
      <c r="B754" s="137">
        <f>'Expenditures 15-22'!C73</f>
        <v>37523</v>
      </c>
      <c r="D754" s="2" t="str">
        <f t="shared" si="10"/>
        <v>Error?</v>
      </c>
    </row>
    <row r="755" spans="1:4">
      <c r="A755" s="5">
        <v>694</v>
      </c>
      <c r="B755" s="137">
        <f>'Expenditures 15-22'!C74</f>
        <v>8852201</v>
      </c>
      <c r="C755" s="2" t="s">
        <v>594</v>
      </c>
      <c r="D755" s="2" t="str">
        <f t="shared" si="10"/>
        <v>Error?</v>
      </c>
    </row>
    <row r="756" spans="1:4">
      <c r="A756" s="5">
        <v>695</v>
      </c>
      <c r="B756" s="137">
        <f>'Expenditures 15-22'!C75</f>
        <v>0</v>
      </c>
      <c r="D756" s="2" t="str">
        <f t="shared" si="10"/>
        <v>Error?</v>
      </c>
    </row>
    <row r="757" spans="1:4">
      <c r="A757" s="5">
        <v>696</v>
      </c>
      <c r="B757" s="137">
        <f>'Expenditures 15-22'!C114</f>
        <v>30956414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2893515</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137945</v>
      </c>
      <c r="D775" s="2" t="str">
        <f t="shared" si="11"/>
        <v>Error?</v>
      </c>
    </row>
    <row r="776" spans="1:4">
      <c r="A776" s="5">
        <v>715</v>
      </c>
      <c r="B776" s="137">
        <f>'Expenditures 15-22'!D14</f>
        <v>144763</v>
      </c>
      <c r="D776" s="2" t="str">
        <f t="shared" si="11"/>
        <v>Error?</v>
      </c>
    </row>
    <row r="777" spans="1:4">
      <c r="A777" s="5">
        <v>716</v>
      </c>
      <c r="B777" s="137">
        <f>'Expenditures 15-22'!D15</f>
        <v>1588</v>
      </c>
      <c r="D777" s="2" t="str">
        <f t="shared" si="11"/>
        <v>Error?</v>
      </c>
    </row>
    <row r="778" spans="1:4">
      <c r="A778" s="5">
        <v>717</v>
      </c>
      <c r="B778" s="137">
        <f>'Expenditures 15-22'!D33</f>
        <v>4240648</v>
      </c>
      <c r="C778" s="2" t="s">
        <v>594</v>
      </c>
      <c r="D778" s="2" t="str">
        <f t="shared" si="11"/>
        <v>Error?</v>
      </c>
    </row>
    <row r="779" spans="1:4">
      <c r="A779" s="5">
        <v>718</v>
      </c>
      <c r="B779" s="137">
        <f>'Expenditures 15-22'!D36</f>
        <v>68719</v>
      </c>
      <c r="D779" s="2" t="str">
        <f t="shared" si="11"/>
        <v>Error?</v>
      </c>
    </row>
    <row r="780" spans="1:4">
      <c r="A780" s="5">
        <v>719</v>
      </c>
      <c r="B780" s="137">
        <f>'Expenditures 15-22'!D37</f>
        <v>160969</v>
      </c>
      <c r="D780" s="2" t="str">
        <f t="shared" si="11"/>
        <v>Error?</v>
      </c>
    </row>
    <row r="781" spans="1:4">
      <c r="A781" s="5">
        <v>720</v>
      </c>
      <c r="B781" s="137">
        <f>'Expenditures 15-22'!D38</f>
        <v>25808</v>
      </c>
      <c r="D781" s="2" t="str">
        <f t="shared" si="11"/>
        <v>Error?</v>
      </c>
    </row>
    <row r="782" spans="1:4">
      <c r="A782" s="5">
        <v>721</v>
      </c>
      <c r="B782" s="137">
        <f>'Expenditures 15-22'!D39</f>
        <v>8292</v>
      </c>
      <c r="D782" s="2" t="str">
        <f t="shared" si="11"/>
        <v>Error?</v>
      </c>
    </row>
    <row r="783" spans="1:4">
      <c r="A783" s="5">
        <v>722</v>
      </c>
      <c r="B783" s="137">
        <f>'Expenditures 15-22'!D40</f>
        <v>24923</v>
      </c>
      <c r="D783" s="2" t="str">
        <f t="shared" si="11"/>
        <v>Error?</v>
      </c>
    </row>
    <row r="784" spans="1:4">
      <c r="A784" s="5">
        <v>723</v>
      </c>
      <c r="B784" s="137">
        <f>'Expenditures 15-22'!D41</f>
        <v>88304</v>
      </c>
      <c r="D784" s="2" t="str">
        <f t="shared" si="11"/>
        <v>Error?</v>
      </c>
    </row>
    <row r="785" spans="1:4">
      <c r="A785" s="5">
        <v>724</v>
      </c>
      <c r="B785" s="137">
        <f>'Expenditures 15-22'!D42</f>
        <v>377015</v>
      </c>
      <c r="C785" s="2" t="s">
        <v>594</v>
      </c>
      <c r="D785" s="2" t="str">
        <f t="shared" si="11"/>
        <v>Error?</v>
      </c>
    </row>
    <row r="786" spans="1:4">
      <c r="A786" s="5">
        <v>725</v>
      </c>
      <c r="B786" s="137">
        <f>'Expenditures 15-22'!D44</f>
        <v>134774</v>
      </c>
      <c r="D786" s="2" t="str">
        <f t="shared" si="11"/>
        <v>Error?</v>
      </c>
    </row>
    <row r="787" spans="1:4">
      <c r="A787" s="5">
        <v>726</v>
      </c>
      <c r="B787" s="137">
        <f>'Expenditures 15-22'!D45</f>
        <v>28090</v>
      </c>
      <c r="D787" s="2" t="str">
        <f t="shared" si="11"/>
        <v>Error?</v>
      </c>
    </row>
    <row r="788" spans="1:4">
      <c r="A788" s="5">
        <v>727</v>
      </c>
      <c r="B788" s="137">
        <f>'Expenditures 15-22'!D46</f>
        <v>5</v>
      </c>
      <c r="D788" s="2" t="str">
        <f t="shared" si="11"/>
        <v>Error?</v>
      </c>
    </row>
    <row r="789" spans="1:4">
      <c r="A789" s="5">
        <v>728</v>
      </c>
      <c r="B789" s="137">
        <f>'Expenditures 15-22'!D47</f>
        <v>162869</v>
      </c>
      <c r="C789" s="2" t="s">
        <v>594</v>
      </c>
      <c r="D789" s="2" t="str">
        <f t="shared" si="11"/>
        <v>Error?</v>
      </c>
    </row>
    <row r="790" spans="1:4">
      <c r="A790" s="5">
        <v>729</v>
      </c>
      <c r="B790" s="137">
        <f>'Expenditures 15-22'!D49</f>
        <v>54</v>
      </c>
      <c r="D790" s="2" t="str">
        <f t="shared" si="11"/>
        <v>Error?</v>
      </c>
    </row>
    <row r="791" spans="1:4">
      <c r="A791" s="5">
        <v>730</v>
      </c>
      <c r="B791" s="137">
        <f>'Expenditures 15-22'!D50</f>
        <v>67169</v>
      </c>
      <c r="D791" s="2" t="str">
        <f t="shared" si="11"/>
        <v>Error?</v>
      </c>
    </row>
    <row r="792" spans="1:4">
      <c r="A792" s="5">
        <v>731</v>
      </c>
      <c r="B792" s="137">
        <f>'Expenditures 15-22'!D53</f>
        <v>210118</v>
      </c>
      <c r="C792" s="2" t="s">
        <v>594</v>
      </c>
      <c r="D792" s="2" t="str">
        <f t="shared" si="11"/>
        <v>Error?</v>
      </c>
    </row>
    <row r="793" spans="1:4">
      <c r="A793" s="5">
        <v>732</v>
      </c>
      <c r="B793" s="137">
        <f>'Expenditures 15-22'!D55</f>
        <v>470434</v>
      </c>
      <c r="D793" s="2" t="str">
        <f t="shared" si="11"/>
        <v>Error?</v>
      </c>
    </row>
    <row r="794" spans="1:4">
      <c r="A794" s="5">
        <v>733</v>
      </c>
      <c r="B794" s="137">
        <f>'Expenditures 15-22'!D56</f>
        <v>203704</v>
      </c>
      <c r="D794" s="2" t="str">
        <f t="shared" si="11"/>
        <v>Error?</v>
      </c>
    </row>
    <row r="795" spans="1:4">
      <c r="A795" s="5">
        <v>734</v>
      </c>
      <c r="B795" s="137">
        <f>'Expenditures 15-22'!D57</f>
        <v>674138</v>
      </c>
      <c r="C795" s="2" t="s">
        <v>594</v>
      </c>
      <c r="D795" s="2" t="str">
        <f t="shared" si="11"/>
        <v>Error?</v>
      </c>
    </row>
    <row r="796" spans="1:4">
      <c r="A796" s="5">
        <v>735</v>
      </c>
      <c r="B796" s="137">
        <f>'Expenditures 15-22'!D59</f>
        <v>3149</v>
      </c>
      <c r="D796" s="2" t="str">
        <f t="shared" si="11"/>
        <v>Error?</v>
      </c>
    </row>
    <row r="797" spans="1:4">
      <c r="A797" s="5">
        <v>736</v>
      </c>
      <c r="B797" s="137">
        <f>'Expenditures 15-22'!D60</f>
        <v>54420</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144164</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201733</v>
      </c>
      <c r="C803" s="2" t="s">
        <v>594</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185866</v>
      </c>
      <c r="D807" s="2" t="str">
        <f t="shared" si="11"/>
        <v>Error?</v>
      </c>
    </row>
    <row r="808" spans="1:4">
      <c r="A808" s="10">
        <v>747</v>
      </c>
      <c r="D808" s="2" t="str">
        <f t="shared" si="11"/>
        <v>OK</v>
      </c>
    </row>
    <row r="809" spans="1:4">
      <c r="A809" s="5">
        <v>748</v>
      </c>
      <c r="B809" s="137">
        <f>'Expenditures 15-22'!D71</f>
        <v>114263</v>
      </c>
      <c r="D809" s="2" t="str">
        <f t="shared" si="11"/>
        <v>Error?</v>
      </c>
    </row>
    <row r="810" spans="1:4">
      <c r="A810" s="10">
        <v>749</v>
      </c>
      <c r="D810" s="2" t="str">
        <f t="shared" si="11"/>
        <v>OK</v>
      </c>
    </row>
    <row r="811" spans="1:4">
      <c r="A811" s="5">
        <v>750</v>
      </c>
      <c r="B811" s="137">
        <f>'Expenditures 15-22'!D72</f>
        <v>300129</v>
      </c>
      <c r="C811" s="2" t="s">
        <v>594</v>
      </c>
      <c r="D811" s="2" t="str">
        <f t="shared" si="11"/>
        <v>Error?</v>
      </c>
    </row>
    <row r="812" spans="1:4">
      <c r="A812" s="5">
        <v>751</v>
      </c>
      <c r="B812" s="137">
        <f>'Expenditures 15-22'!D73</f>
        <v>6413</v>
      </c>
      <c r="D812" s="2" t="str">
        <f t="shared" si="11"/>
        <v>Error?</v>
      </c>
    </row>
    <row r="813" spans="1:4">
      <c r="A813" s="5">
        <v>752</v>
      </c>
      <c r="B813" s="137">
        <f>'Expenditures 15-22'!D74</f>
        <v>1932415</v>
      </c>
      <c r="C813" s="2" t="s">
        <v>594</v>
      </c>
      <c r="D813" s="2" t="str">
        <f t="shared" si="11"/>
        <v>Error?</v>
      </c>
    </row>
    <row r="814" spans="1:4">
      <c r="A814" s="5">
        <v>753</v>
      </c>
      <c r="B814" s="137">
        <f>'Expenditures 15-22'!D75</f>
        <v>0</v>
      </c>
      <c r="D814" s="2" t="str">
        <f t="shared" si="11"/>
        <v>Error?</v>
      </c>
    </row>
    <row r="815" spans="1:4">
      <c r="A815" s="5">
        <v>754</v>
      </c>
      <c r="B815" s="137">
        <f>'Expenditures 15-22'!D114</f>
        <v>6173063</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118197</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77310</v>
      </c>
      <c r="D833" s="2" t="str">
        <f t="shared" si="12"/>
        <v>Error?</v>
      </c>
    </row>
    <row r="834" spans="1:4">
      <c r="A834" s="5">
        <v>773</v>
      </c>
      <c r="B834" s="137">
        <f>'Expenditures 15-22'!E14</f>
        <v>235329</v>
      </c>
      <c r="D834" s="2" t="str">
        <f t="shared" si="12"/>
        <v>Error?</v>
      </c>
    </row>
    <row r="835" spans="1:4">
      <c r="A835" s="5">
        <v>774</v>
      </c>
      <c r="B835" s="137">
        <f>'Expenditures 15-22'!E15</f>
        <v>0</v>
      </c>
      <c r="D835" s="2" t="str">
        <f t="shared" si="12"/>
        <v>Error?</v>
      </c>
    </row>
    <row r="836" spans="1:4">
      <c r="A836" s="5">
        <v>775</v>
      </c>
      <c r="B836" s="137">
        <f>'Expenditures 15-22'!E33</f>
        <v>585236</v>
      </c>
      <c r="C836" s="2" t="s">
        <v>594</v>
      </c>
      <c r="D836" s="2" t="str">
        <f t="shared" si="12"/>
        <v>Error?</v>
      </c>
    </row>
    <row r="837" spans="1:4">
      <c r="A837" s="5">
        <v>776</v>
      </c>
      <c r="B837" s="137">
        <f>'Expenditures 15-22'!E36</f>
        <v>-634</v>
      </c>
      <c r="D837" s="2" t="str">
        <f t="shared" si="12"/>
        <v>Error?</v>
      </c>
    </row>
    <row r="838" spans="1:4">
      <c r="A838" s="5">
        <v>777</v>
      </c>
      <c r="B838" s="137">
        <f>'Expenditures 15-22'!E37</f>
        <v>182369</v>
      </c>
      <c r="D838" s="2" t="str">
        <f t="shared" si="12"/>
        <v>Error?</v>
      </c>
    </row>
    <row r="839" spans="1:4">
      <c r="A839" s="5">
        <v>778</v>
      </c>
      <c r="B839" s="137">
        <f>'Expenditures 15-22'!E38</f>
        <v>29933</v>
      </c>
      <c r="D839" s="2" t="str">
        <f t="shared" si="12"/>
        <v>Error?</v>
      </c>
    </row>
    <row r="840" spans="1:4">
      <c r="A840" s="5">
        <v>779</v>
      </c>
      <c r="B840" s="137">
        <f>'Expenditures 15-22'!E39</f>
        <v>235</v>
      </c>
      <c r="D840" s="2" t="str">
        <f t="shared" si="12"/>
        <v>Error?</v>
      </c>
    </row>
    <row r="841" spans="1:4">
      <c r="A841" s="5">
        <v>780</v>
      </c>
      <c r="B841" s="137">
        <f>'Expenditures 15-22'!E40</f>
        <v>94900</v>
      </c>
      <c r="D841" s="2" t="str">
        <f t="shared" si="12"/>
        <v>Error?</v>
      </c>
    </row>
    <row r="842" spans="1:4">
      <c r="A842" s="5">
        <v>781</v>
      </c>
      <c r="B842" s="137">
        <f>'Expenditures 15-22'!E41</f>
        <v>6999</v>
      </c>
      <c r="D842" s="2" t="str">
        <f t="shared" si="12"/>
        <v>Error?</v>
      </c>
    </row>
    <row r="843" spans="1:4">
      <c r="A843" s="5">
        <v>782</v>
      </c>
      <c r="B843" s="137">
        <f>'Expenditures 15-22'!E42</f>
        <v>313802</v>
      </c>
      <c r="C843" s="2" t="s">
        <v>594</v>
      </c>
      <c r="D843" s="2" t="str">
        <f t="shared" si="12"/>
        <v>Error?</v>
      </c>
    </row>
    <row r="844" spans="1:4">
      <c r="A844" s="5">
        <v>783</v>
      </c>
      <c r="B844" s="137">
        <f>'Expenditures 15-22'!E44</f>
        <v>440401</v>
      </c>
      <c r="D844" s="2" t="str">
        <f t="shared" si="12"/>
        <v>Error?</v>
      </c>
    </row>
    <row r="845" spans="1:4">
      <c r="A845" s="5">
        <v>784</v>
      </c>
      <c r="B845" s="137">
        <f>'Expenditures 15-22'!E45</f>
        <v>0</v>
      </c>
      <c r="D845" s="2" t="str">
        <f t="shared" si="12"/>
        <v>Error?</v>
      </c>
    </row>
    <row r="846" spans="1:4">
      <c r="A846" s="5">
        <v>785</v>
      </c>
      <c r="B846" s="137">
        <f>'Expenditures 15-22'!E46</f>
        <v>397915</v>
      </c>
      <c r="D846" s="2" t="str">
        <f t="shared" si="12"/>
        <v>Error?</v>
      </c>
    </row>
    <row r="847" spans="1:4">
      <c r="A847" s="5">
        <v>786</v>
      </c>
      <c r="B847" s="137">
        <f>'Expenditures 15-22'!E47</f>
        <v>838316</v>
      </c>
      <c r="C847" s="2" t="s">
        <v>594</v>
      </c>
      <c r="D847" s="2" t="str">
        <f t="shared" si="12"/>
        <v>Error?</v>
      </c>
    </row>
    <row r="848" spans="1:4">
      <c r="A848" s="5">
        <v>787</v>
      </c>
      <c r="B848" s="137">
        <f>'Expenditures 15-22'!E49</f>
        <v>357677</v>
      </c>
      <c r="D848" s="2" t="str">
        <f t="shared" si="12"/>
        <v>Error?</v>
      </c>
    </row>
    <row r="849" spans="1:4">
      <c r="A849" s="5">
        <v>788</v>
      </c>
      <c r="B849" s="137">
        <f>'Expenditures 15-22'!E50</f>
        <v>13360</v>
      </c>
      <c r="D849" s="2" t="str">
        <f t="shared" si="12"/>
        <v>Error?</v>
      </c>
    </row>
    <row r="850" spans="1:4">
      <c r="A850" s="5">
        <v>789</v>
      </c>
      <c r="B850" s="137">
        <f>'Expenditures 15-22'!E53</f>
        <v>372971</v>
      </c>
      <c r="C850" s="2" t="s">
        <v>594</v>
      </c>
      <c r="D850" s="2" t="str">
        <f t="shared" si="12"/>
        <v>Error?</v>
      </c>
    </row>
    <row r="851" spans="1:4">
      <c r="A851" s="5">
        <v>790</v>
      </c>
      <c r="B851" s="137">
        <f>'Expenditures 15-22'!E55</f>
        <v>2809</v>
      </c>
      <c r="D851" s="2" t="str">
        <f t="shared" si="12"/>
        <v>Error?</v>
      </c>
    </row>
    <row r="852" spans="1:4">
      <c r="A852" s="5">
        <v>791</v>
      </c>
      <c r="B852" s="137">
        <f>'Expenditures 15-22'!E56</f>
        <v>780</v>
      </c>
      <c r="D852" s="2" t="str">
        <f t="shared" si="12"/>
        <v>Error?</v>
      </c>
    </row>
    <row r="853" spans="1:4">
      <c r="A853" s="5">
        <v>792</v>
      </c>
      <c r="B853" s="137">
        <f>'Expenditures 15-22'!E57</f>
        <v>3589</v>
      </c>
      <c r="C853" s="2" t="s">
        <v>594</v>
      </c>
      <c r="D853" s="2" t="str">
        <f t="shared" si="12"/>
        <v>Error?</v>
      </c>
    </row>
    <row r="854" spans="1:4">
      <c r="A854" s="5">
        <v>793</v>
      </c>
      <c r="B854" s="137">
        <f>'Expenditures 15-22'!E59</f>
        <v>485</v>
      </c>
      <c r="D854" s="2" t="str">
        <f t="shared" si="12"/>
        <v>Error?</v>
      </c>
    </row>
    <row r="855" spans="1:4">
      <c r="A855" s="5">
        <v>794</v>
      </c>
      <c r="B855" s="137">
        <f>'Expenditures 15-22'!E60</f>
        <v>191377</v>
      </c>
      <c r="D855" s="2" t="str">
        <f t="shared" si="12"/>
        <v>Error?</v>
      </c>
    </row>
    <row r="856" spans="1:4">
      <c r="A856" s="5">
        <v>795</v>
      </c>
      <c r="B856" s="137">
        <f>'Expenditures 15-22'!E61</f>
        <v>0</v>
      </c>
      <c r="D856" s="2" t="str">
        <f t="shared" si="12"/>
        <v>Error?</v>
      </c>
    </row>
    <row r="857" spans="1:4">
      <c r="A857" s="5">
        <v>796</v>
      </c>
      <c r="B857" s="137">
        <f>'Expenditures 15-22'!E62</f>
        <v>34089</v>
      </c>
      <c r="D857" s="2" t="str">
        <f t="shared" si="12"/>
        <v>Error?</v>
      </c>
    </row>
    <row r="858" spans="1:4">
      <c r="A858" s="5">
        <v>797</v>
      </c>
      <c r="B858" s="137">
        <f>'Expenditures 15-22'!E63</f>
        <v>53780</v>
      </c>
      <c r="D858" s="2" t="str">
        <f t="shared" si="12"/>
        <v>Error?</v>
      </c>
    </row>
    <row r="859" spans="1:4">
      <c r="A859" s="5">
        <v>798</v>
      </c>
      <c r="B859" s="137">
        <f>'Expenditures 15-22'!E64</f>
        <v>132154</v>
      </c>
      <c r="D859" s="2" t="str">
        <f t="shared" si="12"/>
        <v>Error?</v>
      </c>
    </row>
    <row r="860" spans="1:4">
      <c r="A860" s="10">
        <v>799</v>
      </c>
      <c r="D860" s="2" t="str">
        <f t="shared" si="12"/>
        <v>OK</v>
      </c>
    </row>
    <row r="861" spans="1:4">
      <c r="A861" s="5">
        <v>800</v>
      </c>
      <c r="B861" s="137">
        <f>'Expenditures 15-22'!E65</f>
        <v>411885</v>
      </c>
      <c r="C861" s="2" t="s">
        <v>594</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96328</v>
      </c>
      <c r="D864" s="2" t="str">
        <f t="shared" si="12"/>
        <v>Error?</v>
      </c>
    </row>
    <row r="865" spans="1:4">
      <c r="A865" s="5">
        <v>804</v>
      </c>
      <c r="B865" s="137">
        <f>'Expenditures 15-22'!E70</f>
        <v>97291</v>
      </c>
      <c r="D865" s="2" t="str">
        <f t="shared" si="12"/>
        <v>Error?</v>
      </c>
    </row>
    <row r="866" spans="1:4">
      <c r="A866" s="10">
        <v>805</v>
      </c>
      <c r="D866" s="2" t="str">
        <f t="shared" si="12"/>
        <v>OK</v>
      </c>
    </row>
    <row r="867" spans="1:4">
      <c r="A867" s="5">
        <v>806</v>
      </c>
      <c r="B867" s="137">
        <f>'Expenditures 15-22'!E71</f>
        <v>262284</v>
      </c>
      <c r="D867" s="2" t="str">
        <f t="shared" si="12"/>
        <v>Error?</v>
      </c>
    </row>
    <row r="868" spans="1:4">
      <c r="A868" s="10">
        <v>807</v>
      </c>
      <c r="D868" s="2" t="str">
        <f t="shared" si="12"/>
        <v>OK</v>
      </c>
    </row>
    <row r="869" spans="1:4">
      <c r="A869" s="5">
        <v>808</v>
      </c>
      <c r="B869" s="137">
        <f>'Expenditures 15-22'!E72</f>
        <v>455903</v>
      </c>
      <c r="C869" s="2" t="s">
        <v>594</v>
      </c>
      <c r="D869" s="2" t="str">
        <f t="shared" si="12"/>
        <v>Error?</v>
      </c>
    </row>
    <row r="870" spans="1:4">
      <c r="A870" s="5">
        <v>809</v>
      </c>
      <c r="B870" s="137">
        <f>'Expenditures 15-22'!E73</f>
        <v>0</v>
      </c>
      <c r="D870" s="2" t="str">
        <f t="shared" si="12"/>
        <v>Error?</v>
      </c>
    </row>
    <row r="871" spans="1:4">
      <c r="A871" s="5">
        <v>810</v>
      </c>
      <c r="B871" s="137">
        <f>'Expenditures 15-22'!E74</f>
        <v>2396466</v>
      </c>
      <c r="C871" s="2" t="s">
        <v>594</v>
      </c>
      <c r="D871" s="2" t="str">
        <f t="shared" si="12"/>
        <v>Error?</v>
      </c>
    </row>
    <row r="872" spans="1:4">
      <c r="A872" s="5">
        <v>811</v>
      </c>
      <c r="B872" s="137">
        <f>'Expenditures 15-22'!E75</f>
        <v>30213</v>
      </c>
      <c r="D872" s="2" t="str">
        <f t="shared" si="12"/>
        <v>Error?</v>
      </c>
    </row>
    <row r="873" spans="1:4">
      <c r="A873" s="5">
        <v>812</v>
      </c>
      <c r="B873" s="137">
        <f>'Expenditures 15-22'!E114</f>
        <v>3011915</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648153</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118352</v>
      </c>
      <c r="D891" s="2" t="str">
        <f t="shared" si="12"/>
        <v>Error?</v>
      </c>
    </row>
    <row r="892" spans="1:4">
      <c r="A892" s="5">
        <v>831</v>
      </c>
      <c r="B892" s="137">
        <f>'Expenditures 15-22'!F14</f>
        <v>207785</v>
      </c>
      <c r="D892" s="2" t="str">
        <f t="shared" si="12"/>
        <v>Error?</v>
      </c>
    </row>
    <row r="893" spans="1:4">
      <c r="A893" s="5">
        <v>832</v>
      </c>
      <c r="B893" s="137">
        <f>'Expenditures 15-22'!F15</f>
        <v>0</v>
      </c>
      <c r="D893" s="2" t="str">
        <f t="shared" si="12"/>
        <v>Error?</v>
      </c>
    </row>
    <row r="894" spans="1:4">
      <c r="A894" s="5">
        <v>833</v>
      </c>
      <c r="B894" s="137">
        <f>'Expenditures 15-22'!F33</f>
        <v>1341176</v>
      </c>
      <c r="C894" s="2" t="s">
        <v>594</v>
      </c>
      <c r="D894" s="2" t="str">
        <f t="shared" si="12"/>
        <v>Error?</v>
      </c>
    </row>
    <row r="895" spans="1:4">
      <c r="A895" s="5">
        <v>834</v>
      </c>
      <c r="B895" s="137">
        <f>'Expenditures 15-22'!F36</f>
        <v>921</v>
      </c>
      <c r="D895" s="2" t="str">
        <f t="shared" ref="D895:D958" si="13">IF(ISBLANK(B895),"OK",IF(A895-B895=0,"OK","Error?"))</f>
        <v>Error?</v>
      </c>
    </row>
    <row r="896" spans="1:4">
      <c r="A896" s="5">
        <v>835</v>
      </c>
      <c r="B896" s="137">
        <f>'Expenditures 15-22'!F37</f>
        <v>5883</v>
      </c>
      <c r="D896" s="2" t="str">
        <f t="shared" si="13"/>
        <v>Error?</v>
      </c>
    </row>
    <row r="897" spans="1:4">
      <c r="A897" s="5">
        <v>836</v>
      </c>
      <c r="B897" s="137">
        <f>'Expenditures 15-22'!F38</f>
        <v>3456</v>
      </c>
      <c r="D897" s="2" t="str">
        <f t="shared" si="13"/>
        <v>Error?</v>
      </c>
    </row>
    <row r="898" spans="1:4">
      <c r="A898" s="5">
        <v>837</v>
      </c>
      <c r="B898" s="137">
        <f>'Expenditures 15-22'!F39</f>
        <v>0</v>
      </c>
      <c r="D898" s="2" t="str">
        <f t="shared" si="13"/>
        <v>Error?</v>
      </c>
    </row>
    <row r="899" spans="1:4">
      <c r="A899" s="5">
        <v>838</v>
      </c>
      <c r="B899" s="137">
        <f>'Expenditures 15-22'!F40</f>
        <v>3646</v>
      </c>
      <c r="D899" s="2" t="str">
        <f t="shared" si="13"/>
        <v>Error?</v>
      </c>
    </row>
    <row r="900" spans="1:4">
      <c r="A900" s="5">
        <v>839</v>
      </c>
      <c r="B900" s="137">
        <f>'Expenditures 15-22'!F41</f>
        <v>36579</v>
      </c>
      <c r="D900" s="2" t="str">
        <f t="shared" si="13"/>
        <v>Error?</v>
      </c>
    </row>
    <row r="901" spans="1:4">
      <c r="A901" s="5">
        <v>840</v>
      </c>
      <c r="B901" s="137">
        <f>'Expenditures 15-22'!F42</f>
        <v>50485</v>
      </c>
      <c r="C901" s="2" t="s">
        <v>594</v>
      </c>
      <c r="D901" s="2" t="str">
        <f t="shared" si="13"/>
        <v>Error?</v>
      </c>
    </row>
    <row r="902" spans="1:4">
      <c r="A902" s="5">
        <v>841</v>
      </c>
      <c r="B902" s="137">
        <f>'Expenditures 15-22'!F44</f>
        <v>23484</v>
      </c>
      <c r="D902" s="2" t="str">
        <f t="shared" si="13"/>
        <v>Error?</v>
      </c>
    </row>
    <row r="903" spans="1:4">
      <c r="A903" s="5">
        <v>842</v>
      </c>
      <c r="B903" s="137">
        <f>'Expenditures 15-22'!F45</f>
        <v>10833</v>
      </c>
      <c r="D903" s="2" t="str">
        <f t="shared" si="13"/>
        <v>Error?</v>
      </c>
    </row>
    <row r="904" spans="1:4">
      <c r="A904" s="5">
        <v>843</v>
      </c>
      <c r="B904" s="137">
        <f>'Expenditures 15-22'!F46</f>
        <v>19653</v>
      </c>
      <c r="D904" s="2" t="str">
        <f t="shared" si="13"/>
        <v>Error?</v>
      </c>
    </row>
    <row r="905" spans="1:4">
      <c r="A905" s="5">
        <v>844</v>
      </c>
      <c r="B905" s="137">
        <f>'Expenditures 15-22'!F47</f>
        <v>53970</v>
      </c>
      <c r="C905" s="2" t="s">
        <v>594</v>
      </c>
      <c r="D905" s="2" t="str">
        <f t="shared" si="13"/>
        <v>Error?</v>
      </c>
    </row>
    <row r="906" spans="1:4">
      <c r="A906" s="5">
        <v>845</v>
      </c>
      <c r="B906" s="137">
        <f>'Expenditures 15-22'!F49</f>
        <v>12033</v>
      </c>
      <c r="D906" s="2" t="str">
        <f t="shared" si="13"/>
        <v>Error?</v>
      </c>
    </row>
    <row r="907" spans="1:4">
      <c r="A907" s="5">
        <v>846</v>
      </c>
      <c r="B907" s="137">
        <f>'Expenditures 15-22'!F50</f>
        <v>51606</v>
      </c>
      <c r="D907" s="2" t="str">
        <f t="shared" si="13"/>
        <v>Error?</v>
      </c>
    </row>
    <row r="908" spans="1:4">
      <c r="A908" s="5">
        <v>847</v>
      </c>
      <c r="B908" s="137">
        <f>'Expenditures 15-22'!F53</f>
        <v>66787</v>
      </c>
      <c r="C908" s="2" t="s">
        <v>594</v>
      </c>
      <c r="D908" s="2" t="str">
        <f t="shared" si="13"/>
        <v>Error?</v>
      </c>
    </row>
    <row r="909" spans="1:4">
      <c r="A909" s="5">
        <v>848</v>
      </c>
      <c r="B909" s="137">
        <f>'Expenditures 15-22'!F55</f>
        <v>13820</v>
      </c>
      <c r="D909" s="2" t="str">
        <f t="shared" si="13"/>
        <v>Error?</v>
      </c>
    </row>
    <row r="910" spans="1:4">
      <c r="A910" s="5">
        <v>849</v>
      </c>
      <c r="B910" s="137">
        <f>'Expenditures 15-22'!F56</f>
        <v>0</v>
      </c>
      <c r="D910" s="2" t="str">
        <f t="shared" si="13"/>
        <v>Error?</v>
      </c>
    </row>
    <row r="911" spans="1:4">
      <c r="A911" s="5">
        <v>850</v>
      </c>
      <c r="B911" s="137">
        <f>'Expenditures 15-22'!F57</f>
        <v>13820</v>
      </c>
      <c r="C911" s="2" t="s">
        <v>594</v>
      </c>
      <c r="D911" s="2" t="str">
        <f t="shared" si="13"/>
        <v>Error?</v>
      </c>
    </row>
    <row r="912" spans="1:4">
      <c r="A912" s="5">
        <v>851</v>
      </c>
      <c r="B912" s="137">
        <f>'Expenditures 15-22'!F59</f>
        <v>2833</v>
      </c>
      <c r="D912" s="2" t="str">
        <f t="shared" si="13"/>
        <v>Error?</v>
      </c>
    </row>
    <row r="913" spans="1:4">
      <c r="A913" s="5">
        <v>852</v>
      </c>
      <c r="B913" s="137">
        <f>'Expenditures 15-22'!F60</f>
        <v>22029</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914233</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939095</v>
      </c>
      <c r="C919" s="2" t="s">
        <v>594</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2057</v>
      </c>
      <c r="D922" s="2" t="str">
        <f t="shared" si="13"/>
        <v>Error?</v>
      </c>
    </row>
    <row r="923" spans="1:4">
      <c r="A923" s="5">
        <v>862</v>
      </c>
      <c r="B923" s="137">
        <f>'Expenditures 15-22'!F70</f>
        <v>8903</v>
      </c>
      <c r="D923" s="2" t="str">
        <f t="shared" si="13"/>
        <v>Error?</v>
      </c>
    </row>
    <row r="924" spans="1:4">
      <c r="A924" s="10">
        <v>863</v>
      </c>
      <c r="D924" s="2" t="str">
        <f t="shared" si="13"/>
        <v>OK</v>
      </c>
    </row>
    <row r="925" spans="1:4">
      <c r="A925" s="5">
        <v>864</v>
      </c>
      <c r="B925" s="137">
        <f>'Expenditures 15-22'!F71</f>
        <v>136739</v>
      </c>
      <c r="D925" s="2" t="str">
        <f t="shared" si="13"/>
        <v>Error?</v>
      </c>
    </row>
    <row r="926" spans="1:4">
      <c r="A926" s="10">
        <v>865</v>
      </c>
      <c r="D926" s="2" t="str">
        <f t="shared" si="13"/>
        <v>OK</v>
      </c>
    </row>
    <row r="927" spans="1:4">
      <c r="A927" s="5">
        <v>866</v>
      </c>
      <c r="B927" s="137">
        <f>'Expenditures 15-22'!F72</f>
        <v>147699</v>
      </c>
      <c r="C927" s="2" t="s">
        <v>594</v>
      </c>
      <c r="D927" s="2" t="str">
        <f t="shared" si="13"/>
        <v>Error?</v>
      </c>
    </row>
    <row r="928" spans="1:4">
      <c r="A928" s="5">
        <v>867</v>
      </c>
      <c r="B928" s="137">
        <f>'Expenditures 15-22'!F73</f>
        <v>0</v>
      </c>
      <c r="D928" s="2" t="str">
        <f t="shared" si="13"/>
        <v>Error?</v>
      </c>
    </row>
    <row r="929" spans="1:4">
      <c r="A929" s="5">
        <v>868</v>
      </c>
      <c r="B929" s="137">
        <f>'Expenditures 15-22'!F74</f>
        <v>1271856</v>
      </c>
      <c r="C929" s="2" t="s">
        <v>594</v>
      </c>
      <c r="D929" s="2" t="str">
        <f t="shared" si="13"/>
        <v>Error?</v>
      </c>
    </row>
    <row r="930" spans="1:4">
      <c r="A930" s="5">
        <v>869</v>
      </c>
      <c r="B930" s="137">
        <f>'Expenditures 15-22'!F75</f>
        <v>6065</v>
      </c>
      <c r="D930" s="2" t="str">
        <f t="shared" si="13"/>
        <v>Error?</v>
      </c>
    </row>
    <row r="931" spans="1:4">
      <c r="A931" s="5">
        <v>870</v>
      </c>
      <c r="B931" s="137">
        <f>'Expenditures 15-22'!F114</f>
        <v>2619097</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139661</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183824</v>
      </c>
      <c r="C952" s="2" t="s">
        <v>594</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594</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594</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594</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594</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9390</v>
      </c>
      <c r="D975" s="2" t="str">
        <f t="shared" si="14"/>
        <v>Error?</v>
      </c>
    </row>
    <row r="976" spans="1:4">
      <c r="A976" s="10">
        <v>915</v>
      </c>
      <c r="D976" s="2" t="str">
        <f t="shared" si="14"/>
        <v>OK</v>
      </c>
    </row>
    <row r="977" spans="1:4">
      <c r="A977" s="5">
        <v>916</v>
      </c>
      <c r="B977" s="137">
        <f>'Expenditures 15-22'!G65</f>
        <v>9390</v>
      </c>
      <c r="C977" s="2" t="s">
        <v>594</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594</v>
      </c>
      <c r="D985" s="2" t="str">
        <f t="shared" si="14"/>
        <v>Error?</v>
      </c>
    </row>
    <row r="986" spans="1:4">
      <c r="A986" s="5">
        <v>925</v>
      </c>
      <c r="B986" s="137">
        <f>'Expenditures 15-22'!G73</f>
        <v>0</v>
      </c>
      <c r="D986" s="2" t="str">
        <f t="shared" si="14"/>
        <v>Error?</v>
      </c>
    </row>
    <row r="987" spans="1:4">
      <c r="A987" s="5">
        <v>926</v>
      </c>
      <c r="B987" s="137">
        <f>'Expenditures 15-22'!G74</f>
        <v>9390</v>
      </c>
      <c r="C987" s="2" t="s">
        <v>594</v>
      </c>
      <c r="D987" s="2" t="str">
        <f t="shared" si="14"/>
        <v>Error?</v>
      </c>
    </row>
    <row r="988" spans="1:4">
      <c r="A988" s="5">
        <v>927</v>
      </c>
      <c r="B988" s="137">
        <f>'Expenditures 15-22'!G75</f>
        <v>0</v>
      </c>
      <c r="D988" s="2" t="str">
        <f t="shared" si="14"/>
        <v>Error?</v>
      </c>
    </row>
    <row r="989" spans="1:4">
      <c r="A989" s="5">
        <v>928</v>
      </c>
      <c r="B989" s="137">
        <f>'Expenditures 15-22'!G114</f>
        <v>193214</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102472</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135087</v>
      </c>
      <c r="D1008" s="2" t="str">
        <f t="shared" si="14"/>
        <v>Error?</v>
      </c>
    </row>
    <row r="1009" spans="1:4">
      <c r="A1009" s="5">
        <v>948</v>
      </c>
      <c r="B1009" s="137">
        <f>'Expenditures 15-22'!H15</f>
        <v>0</v>
      </c>
      <c r="D1009" s="2" t="str">
        <f t="shared" si="14"/>
        <v>Error?</v>
      </c>
    </row>
    <row r="1010" spans="1:4">
      <c r="A1010" s="5">
        <v>949</v>
      </c>
      <c r="B1010" s="137">
        <f>'Expenditures 15-22'!H33</f>
        <v>2097184</v>
      </c>
      <c r="C1010" s="2" t="s">
        <v>594</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594</v>
      </c>
      <c r="D1017" s="2" t="str">
        <f t="shared" si="14"/>
        <v>Error?</v>
      </c>
    </row>
    <row r="1018" spans="1:4">
      <c r="A1018" s="5">
        <v>957</v>
      </c>
      <c r="B1018" s="137">
        <f>'Expenditures 15-22'!H44</f>
        <v>2179</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2179</v>
      </c>
      <c r="C1021" s="2" t="s">
        <v>594</v>
      </c>
      <c r="D1021" s="2" t="str">
        <f t="shared" si="14"/>
        <v>Error?</v>
      </c>
    </row>
    <row r="1022" spans="1:4">
      <c r="A1022" s="5">
        <v>961</v>
      </c>
      <c r="B1022" s="137">
        <f>'Expenditures 15-22'!H49</f>
        <v>6260</v>
      </c>
      <c r="D1022" s="2" t="str">
        <f t="shared" si="14"/>
        <v>Error?</v>
      </c>
    </row>
    <row r="1023" spans="1:4">
      <c r="A1023" s="5">
        <v>962</v>
      </c>
      <c r="B1023" s="137">
        <f>'Expenditures 15-22'!H50</f>
        <v>12777</v>
      </c>
      <c r="D1023" s="2" t="str">
        <f t="shared" ref="D1023:D1086" si="15">IF(ISBLANK(B1023),"OK",IF(A1023-B1023=0,"OK","Error?"))</f>
        <v>Error?</v>
      </c>
    </row>
    <row r="1024" spans="1:4">
      <c r="A1024" s="5">
        <v>963</v>
      </c>
      <c r="B1024" s="137">
        <f>'Expenditures 15-22'!H53</f>
        <v>19037</v>
      </c>
      <c r="C1024" s="2" t="s">
        <v>594</v>
      </c>
      <c r="D1024" s="2" t="str">
        <f t="shared" si="15"/>
        <v>Error?</v>
      </c>
    </row>
    <row r="1025" spans="1:4">
      <c r="A1025" s="5">
        <v>964</v>
      </c>
      <c r="B1025" s="137">
        <f>'Expenditures 15-22'!H55</f>
        <v>994</v>
      </c>
      <c r="D1025" s="2" t="str">
        <f t="shared" si="15"/>
        <v>Error?</v>
      </c>
    </row>
    <row r="1026" spans="1:4">
      <c r="A1026" s="5">
        <v>965</v>
      </c>
      <c r="B1026" s="137">
        <f>'Expenditures 15-22'!H56</f>
        <v>0</v>
      </c>
      <c r="D1026" s="2" t="str">
        <f t="shared" si="15"/>
        <v>Error?</v>
      </c>
    </row>
    <row r="1027" spans="1:4">
      <c r="A1027" s="5">
        <v>966</v>
      </c>
      <c r="B1027" s="137">
        <f>'Expenditures 15-22'!H57</f>
        <v>994</v>
      </c>
      <c r="C1027" s="2" t="s">
        <v>594</v>
      </c>
      <c r="D1027" s="2" t="str">
        <f t="shared" si="15"/>
        <v>Error?</v>
      </c>
    </row>
    <row r="1028" spans="1:4">
      <c r="A1028" s="5">
        <v>967</v>
      </c>
      <c r="B1028" s="137">
        <f>'Expenditures 15-22'!H59</f>
        <v>10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960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970</v>
      </c>
      <c r="C1035" s="2" t="s">
        <v>594</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594</v>
      </c>
      <c r="D1043" s="2" t="str">
        <f t="shared" si="15"/>
        <v>Error?</v>
      </c>
    </row>
    <row r="1044" spans="1:4">
      <c r="A1044" s="5">
        <v>983</v>
      </c>
      <c r="B1044" s="137">
        <f>'Expenditures 15-22'!H73</f>
        <v>0</v>
      </c>
      <c r="D1044" s="2" t="str">
        <f t="shared" si="15"/>
        <v>Error?</v>
      </c>
    </row>
    <row r="1045" spans="1:4">
      <c r="A1045" s="5">
        <v>984</v>
      </c>
      <c r="B1045" s="137">
        <f>'Expenditures 15-22'!H74</f>
        <v>23180</v>
      </c>
      <c r="C1045" s="2" t="s">
        <v>594</v>
      </c>
      <c r="D1045" s="2" t="str">
        <f t="shared" si="15"/>
        <v>Error?</v>
      </c>
    </row>
    <row r="1046" spans="1:4">
      <c r="A1046" s="5">
        <v>985</v>
      </c>
      <c r="B1046" s="137">
        <f>'Expenditures 15-22'!H75</f>
        <v>0</v>
      </c>
      <c r="D1046" s="2" t="str">
        <f t="shared" si="15"/>
        <v>Error?</v>
      </c>
    </row>
    <row r="1047" spans="1:4">
      <c r="A1047" s="5">
        <v>986</v>
      </c>
      <c r="B1047" s="137">
        <f>'Expenditures 15-22'!H102</f>
        <v>1914893</v>
      </c>
      <c r="C1047" s="2" t="s">
        <v>594</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594</v>
      </c>
      <c r="D1053" s="2" t="str">
        <f t="shared" si="15"/>
        <v>Error?</v>
      </c>
    </row>
    <row r="1054" spans="1:4">
      <c r="A1054" s="5">
        <v>993</v>
      </c>
      <c r="B1054" s="137">
        <f>'Expenditures 15-22'!H114</f>
        <v>4035257</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17252458</v>
      </c>
      <c r="C1093" s="2" t="s">
        <v>594</v>
      </c>
      <c r="D1093" s="2" t="str">
        <f t="shared" si="16"/>
        <v>Error?</v>
      </c>
    </row>
    <row r="1094" spans="1:4">
      <c r="A1094" s="5">
        <v>1033</v>
      </c>
      <c r="B1094" s="137">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594</v>
      </c>
      <c r="D1104" s="2" t="str">
        <f t="shared" si="16"/>
        <v>Error?</v>
      </c>
    </row>
    <row r="1105" spans="1:4">
      <c r="A1105" s="5">
        <v>1044</v>
      </c>
      <c r="B1105" s="137">
        <f>'Expenditures 15-22'!K13</f>
        <v>1162061</v>
      </c>
      <c r="C1105" s="2" t="s">
        <v>594</v>
      </c>
      <c r="D1105" s="2" t="str">
        <f t="shared" si="16"/>
        <v>Error?</v>
      </c>
    </row>
    <row r="1106" spans="1:4">
      <c r="A1106" s="5">
        <v>1045</v>
      </c>
      <c r="B1106" s="137">
        <f>'Expenditures 15-22'!K14</f>
        <v>3190159</v>
      </c>
      <c r="C1106" s="2" t="s">
        <v>594</v>
      </c>
      <c r="D1106" s="2" t="str">
        <f t="shared" si="16"/>
        <v>Error?</v>
      </c>
    </row>
    <row r="1107" spans="1:4">
      <c r="A1107" s="5">
        <v>1046</v>
      </c>
      <c r="B1107" s="137">
        <f>'Expenditures 15-22'!K15</f>
        <v>118610</v>
      </c>
      <c r="C1107" s="2" t="s">
        <v>594</v>
      </c>
      <c r="D1107" s="2" t="str">
        <f t="shared" si="16"/>
        <v>Error?</v>
      </c>
    </row>
    <row r="1108" spans="1:4">
      <c r="A1108" s="5">
        <v>1047</v>
      </c>
      <c r="B1108" s="137">
        <f>'Expenditures 15-22'!K33</f>
        <v>30701530</v>
      </c>
      <c r="C1108" s="2" t="s">
        <v>594</v>
      </c>
      <c r="D1108" s="2" t="str">
        <f t="shared" si="16"/>
        <v>Error?</v>
      </c>
    </row>
    <row r="1109" spans="1:4">
      <c r="A1109" s="5">
        <v>1048</v>
      </c>
      <c r="B1109" s="137">
        <f>'Expenditures 15-22'!K36</f>
        <v>353773</v>
      </c>
      <c r="C1109" s="2" t="s">
        <v>594</v>
      </c>
      <c r="D1109" s="2" t="str">
        <f t="shared" si="16"/>
        <v>Error?</v>
      </c>
    </row>
    <row r="1110" spans="1:4">
      <c r="A1110" s="5">
        <v>1049</v>
      </c>
      <c r="B1110" s="137">
        <f>'Expenditures 15-22'!K37</f>
        <v>1128380</v>
      </c>
      <c r="C1110" s="2" t="s">
        <v>594</v>
      </c>
      <c r="D1110" s="2" t="str">
        <f t="shared" si="16"/>
        <v>Error?</v>
      </c>
    </row>
    <row r="1111" spans="1:4">
      <c r="A1111" s="5">
        <v>1050</v>
      </c>
      <c r="B1111" s="137">
        <f>'Expenditures 15-22'!K38</f>
        <v>262037</v>
      </c>
      <c r="C1111" s="2" t="s">
        <v>594</v>
      </c>
      <c r="D1111" s="2" t="str">
        <f t="shared" si="16"/>
        <v>Error?</v>
      </c>
    </row>
    <row r="1112" spans="1:4">
      <c r="A1112" s="5">
        <v>1051</v>
      </c>
      <c r="B1112" s="137">
        <f>'Expenditures 15-22'!K39</f>
        <v>87225</v>
      </c>
      <c r="C1112" s="2" t="s">
        <v>594</v>
      </c>
      <c r="D1112" s="2" t="str">
        <f t="shared" si="16"/>
        <v>Error?</v>
      </c>
    </row>
    <row r="1113" spans="1:4">
      <c r="A1113" s="5">
        <v>1052</v>
      </c>
      <c r="B1113" s="137">
        <f>'Expenditures 15-22'!K40</f>
        <v>220294</v>
      </c>
      <c r="C1113" s="2" t="s">
        <v>594</v>
      </c>
      <c r="D1113" s="2" t="str">
        <f t="shared" si="16"/>
        <v>Error?</v>
      </c>
    </row>
    <row r="1114" spans="1:4">
      <c r="A1114" s="5">
        <v>1053</v>
      </c>
      <c r="B1114" s="137">
        <f>'Expenditures 15-22'!K41</f>
        <v>509941</v>
      </c>
      <c r="C1114" s="2" t="s">
        <v>594</v>
      </c>
      <c r="D1114" s="2" t="str">
        <f t="shared" si="16"/>
        <v>Error?</v>
      </c>
    </row>
    <row r="1115" spans="1:4">
      <c r="A1115" s="5">
        <v>1054</v>
      </c>
      <c r="B1115" s="137">
        <f>'Expenditures 15-22'!K42</f>
        <v>2561650</v>
      </c>
      <c r="C1115" s="2" t="s">
        <v>594</v>
      </c>
      <c r="D1115" s="2" t="str">
        <f t="shared" si="16"/>
        <v>Error?</v>
      </c>
    </row>
    <row r="1116" spans="1:4">
      <c r="A1116" s="5">
        <v>1055</v>
      </c>
      <c r="B1116" s="137">
        <f>'Expenditures 15-22'!K44</f>
        <v>1430725</v>
      </c>
      <c r="C1116" s="2" t="s">
        <v>594</v>
      </c>
      <c r="D1116" s="2" t="str">
        <f t="shared" si="16"/>
        <v>Error?</v>
      </c>
    </row>
    <row r="1117" spans="1:4">
      <c r="A1117" s="5">
        <v>1056</v>
      </c>
      <c r="B1117" s="137">
        <f>'Expenditures 15-22'!K45</f>
        <v>197204</v>
      </c>
      <c r="C1117" s="2" t="s">
        <v>594</v>
      </c>
      <c r="D1117" s="2" t="str">
        <f t="shared" si="16"/>
        <v>Error?</v>
      </c>
    </row>
    <row r="1118" spans="1:4">
      <c r="A1118" s="5">
        <v>1057</v>
      </c>
      <c r="B1118" s="137">
        <f>'Expenditures 15-22'!K46</f>
        <v>417909</v>
      </c>
      <c r="C1118" s="2" t="s">
        <v>594</v>
      </c>
      <c r="D1118" s="2" t="str">
        <f t="shared" si="16"/>
        <v>Error?</v>
      </c>
    </row>
    <row r="1119" spans="1:4">
      <c r="A1119" s="5">
        <v>1058</v>
      </c>
      <c r="B1119" s="137">
        <f>'Expenditures 15-22'!K47</f>
        <v>2045838</v>
      </c>
      <c r="C1119" s="2" t="s">
        <v>594</v>
      </c>
      <c r="D1119" s="2" t="str">
        <f t="shared" si="16"/>
        <v>Error?</v>
      </c>
    </row>
    <row r="1120" spans="1:4">
      <c r="A1120" s="5">
        <v>1059</v>
      </c>
      <c r="B1120" s="137">
        <f>'Expenditures 15-22'!K49</f>
        <v>376556</v>
      </c>
      <c r="C1120" s="2" t="s">
        <v>594</v>
      </c>
      <c r="D1120" s="2" t="str">
        <f t="shared" si="16"/>
        <v>Error?</v>
      </c>
    </row>
    <row r="1121" spans="1:4">
      <c r="A1121" s="5">
        <v>1060</v>
      </c>
      <c r="B1121" s="137">
        <f>'Expenditures 15-22'!K50</f>
        <v>436443</v>
      </c>
      <c r="C1121" s="2" t="s">
        <v>594</v>
      </c>
      <c r="D1121" s="2" t="str">
        <f t="shared" si="16"/>
        <v>Error?</v>
      </c>
    </row>
    <row r="1122" spans="1:4">
      <c r="A1122" s="5">
        <v>1061</v>
      </c>
      <c r="B1122" s="137">
        <f>'Expenditures 15-22'!K53</f>
        <v>1555605</v>
      </c>
      <c r="C1122" s="2" t="s">
        <v>594</v>
      </c>
      <c r="D1122" s="2" t="str">
        <f t="shared" si="16"/>
        <v>Error?</v>
      </c>
    </row>
    <row r="1123" spans="1:4">
      <c r="A1123" s="5">
        <v>1062</v>
      </c>
      <c r="B1123" s="137">
        <f>'Expenditures 15-22'!K55</f>
        <v>2571082</v>
      </c>
      <c r="C1123" s="2" t="s">
        <v>594</v>
      </c>
      <c r="D1123" s="2" t="str">
        <f t="shared" si="16"/>
        <v>Error?</v>
      </c>
    </row>
    <row r="1124" spans="1:4">
      <c r="A1124" s="5">
        <v>1063</v>
      </c>
      <c r="B1124" s="137">
        <f>'Expenditures 15-22'!K56</f>
        <v>1246874</v>
      </c>
      <c r="C1124" s="2" t="s">
        <v>594</v>
      </c>
      <c r="D1124" s="2" t="str">
        <f t="shared" si="16"/>
        <v>Error?</v>
      </c>
    </row>
    <row r="1125" spans="1:4">
      <c r="A1125" s="5">
        <v>1064</v>
      </c>
      <c r="B1125" s="137">
        <f>'Expenditures 15-22'!K57</f>
        <v>3817956</v>
      </c>
      <c r="C1125" s="2" t="s">
        <v>594</v>
      </c>
      <c r="D1125" s="2" t="str">
        <f t="shared" si="16"/>
        <v>Error?</v>
      </c>
    </row>
    <row r="1126" spans="1:4">
      <c r="A1126" s="5">
        <v>1065</v>
      </c>
      <c r="B1126" s="137">
        <f>'Expenditures 15-22'!K59</f>
        <v>120072</v>
      </c>
      <c r="C1126" s="2" t="s">
        <v>594</v>
      </c>
      <c r="D1126" s="2" t="str">
        <f t="shared" si="16"/>
        <v>Error?</v>
      </c>
    </row>
    <row r="1127" spans="1:4">
      <c r="A1127" s="5">
        <v>1066</v>
      </c>
      <c r="B1127" s="137">
        <f>'Expenditures 15-22'!K60</f>
        <v>464733</v>
      </c>
      <c r="C1127" s="2" t="s">
        <v>594</v>
      </c>
      <c r="D1127" s="2" t="str">
        <f t="shared" si="16"/>
        <v>Error?</v>
      </c>
    </row>
    <row r="1128" spans="1:4">
      <c r="A1128" s="5">
        <v>1067</v>
      </c>
      <c r="B1128" s="137">
        <f>'Expenditures 15-22'!K61</f>
        <v>0</v>
      </c>
      <c r="C1128" s="2" t="s">
        <v>594</v>
      </c>
      <c r="D1128" s="2" t="str">
        <f t="shared" si="16"/>
        <v>Error?</v>
      </c>
    </row>
    <row r="1129" spans="1:4">
      <c r="A1129" s="5">
        <v>1068</v>
      </c>
      <c r="B1129" s="137">
        <f>'Expenditures 15-22'!K62</f>
        <v>34089</v>
      </c>
      <c r="C1129" s="2" t="s">
        <v>594</v>
      </c>
      <c r="D1129" s="2" t="str">
        <f t="shared" si="16"/>
        <v>Error?</v>
      </c>
    </row>
    <row r="1130" spans="1:4">
      <c r="A1130" s="5">
        <v>1069</v>
      </c>
      <c r="B1130" s="137">
        <f>'Expenditures 15-22'!K63</f>
        <v>2085419</v>
      </c>
      <c r="C1130" s="2" t="s">
        <v>594</v>
      </c>
      <c r="D1130" s="2" t="str">
        <f t="shared" si="16"/>
        <v>Error?</v>
      </c>
    </row>
    <row r="1131" spans="1:4">
      <c r="A1131" s="5">
        <v>1070</v>
      </c>
      <c r="B1131" s="137">
        <f>'Expenditures 15-22'!K64</f>
        <v>141544</v>
      </c>
      <c r="C1131" s="2" t="s">
        <v>594</v>
      </c>
      <c r="D1131" s="2" t="str">
        <f t="shared" si="16"/>
        <v>Error?</v>
      </c>
    </row>
    <row r="1132" spans="1:4">
      <c r="A1132" s="10">
        <v>1071</v>
      </c>
      <c r="D1132" s="2" t="str">
        <f t="shared" si="16"/>
        <v>OK</v>
      </c>
    </row>
    <row r="1133" spans="1:4">
      <c r="A1133" s="5">
        <v>1072</v>
      </c>
      <c r="B1133" s="137">
        <f>'Expenditures 15-22'!K65</f>
        <v>2845857</v>
      </c>
      <c r="C1133" s="2" t="s">
        <v>594</v>
      </c>
      <c r="D1133" s="2" t="str">
        <f t="shared" si="16"/>
        <v>Error?</v>
      </c>
    </row>
    <row r="1134" spans="1:4">
      <c r="A1134" s="5">
        <v>1073</v>
      </c>
      <c r="B1134" s="137">
        <f>'Expenditures 15-22'!K67</f>
        <v>0</v>
      </c>
      <c r="C1134" s="2" t="s">
        <v>594</v>
      </c>
      <c r="D1134" s="2" t="str">
        <f t="shared" si="16"/>
        <v>Error?</v>
      </c>
    </row>
    <row r="1135" spans="1:4">
      <c r="A1135" s="5">
        <v>1074</v>
      </c>
      <c r="B1135" s="137">
        <f>'Expenditures 15-22'!K68</f>
        <v>0</v>
      </c>
      <c r="C1135" s="2" t="s">
        <v>594</v>
      </c>
      <c r="D1135" s="2" t="str">
        <f t="shared" si="16"/>
        <v>Error?</v>
      </c>
    </row>
    <row r="1136" spans="1:4">
      <c r="A1136" s="5">
        <v>1075</v>
      </c>
      <c r="B1136" s="137">
        <f>'Expenditures 15-22'!K69</f>
        <v>100905</v>
      </c>
      <c r="C1136" s="2" t="s">
        <v>594</v>
      </c>
      <c r="D1136" s="2" t="str">
        <f t="shared" si="16"/>
        <v>Error?</v>
      </c>
    </row>
    <row r="1137" spans="1:4">
      <c r="A1137" s="5">
        <v>1076</v>
      </c>
      <c r="B1137" s="137">
        <f>'Expenditures 15-22'!K70</f>
        <v>568645</v>
      </c>
      <c r="C1137" s="2" t="s">
        <v>594</v>
      </c>
      <c r="D1137" s="2" t="str">
        <f t="shared" si="16"/>
        <v>Error?</v>
      </c>
    </row>
    <row r="1138" spans="1:4">
      <c r="A1138" s="10">
        <v>1077</v>
      </c>
      <c r="D1138" s="2" t="str">
        <f t="shared" si="16"/>
        <v>OK</v>
      </c>
    </row>
    <row r="1139" spans="1:4">
      <c r="A1139" s="5">
        <v>1078</v>
      </c>
      <c r="B1139" s="137">
        <f>'Expenditures 15-22'!K71</f>
        <v>1145970</v>
      </c>
      <c r="C1139" s="2" t="s">
        <v>594</v>
      </c>
      <c r="D1139" s="2" t="str">
        <f t="shared" si="16"/>
        <v>Error?</v>
      </c>
    </row>
    <row r="1140" spans="1:4">
      <c r="A1140" s="10">
        <v>1079</v>
      </c>
      <c r="D1140" s="2" t="str">
        <f t="shared" si="16"/>
        <v>OK</v>
      </c>
    </row>
    <row r="1141" spans="1:4">
      <c r="A1141" s="5">
        <v>1080</v>
      </c>
      <c r="B1141" s="137">
        <f>'Expenditures 15-22'!K72</f>
        <v>1815520</v>
      </c>
      <c r="C1141" s="2" t="s">
        <v>594</v>
      </c>
      <c r="D1141" s="2" t="str">
        <f t="shared" si="16"/>
        <v>Error?</v>
      </c>
    </row>
    <row r="1142" spans="1:4">
      <c r="A1142" s="5">
        <v>1081</v>
      </c>
      <c r="B1142" s="137">
        <f>'Expenditures 15-22'!K73</f>
        <v>43936</v>
      </c>
      <c r="C1142" s="2" t="s">
        <v>594</v>
      </c>
      <c r="D1142" s="2" t="str">
        <f t="shared" si="16"/>
        <v>Error?</v>
      </c>
    </row>
    <row r="1143" spans="1:4">
      <c r="A1143" s="5">
        <v>1082</v>
      </c>
      <c r="B1143" s="137">
        <f>'Expenditures 15-22'!K74</f>
        <v>14686362</v>
      </c>
      <c r="C1143" s="2" t="s">
        <v>594</v>
      </c>
      <c r="D1143" s="2" t="str">
        <f t="shared" si="16"/>
        <v>Error?</v>
      </c>
    </row>
    <row r="1144" spans="1:4">
      <c r="A1144" s="5">
        <v>1083</v>
      </c>
      <c r="B1144" s="137">
        <f>'Expenditures 15-22'!K75</f>
        <v>36278</v>
      </c>
      <c r="C1144" s="2" t="s">
        <v>594</v>
      </c>
      <c r="D1144" s="2" t="str">
        <f t="shared" si="16"/>
        <v>Error?</v>
      </c>
    </row>
    <row r="1145" spans="1:4">
      <c r="A1145" s="5">
        <v>1084</v>
      </c>
      <c r="B1145" s="137">
        <f>'Expenditures 15-22'!K102</f>
        <v>1914893</v>
      </c>
      <c r="C1145" s="2" t="s">
        <v>594</v>
      </c>
      <c r="D1145" s="2" t="str">
        <f t="shared" si="16"/>
        <v>Error?</v>
      </c>
    </row>
    <row r="1146" spans="1:4">
      <c r="A1146" s="5">
        <v>1085</v>
      </c>
      <c r="B1146" s="137">
        <f>'Expenditures 15-22'!K105</f>
        <v>0</v>
      </c>
      <c r="C1146" s="2" t="s">
        <v>594</v>
      </c>
      <c r="D1146" s="2" t="str">
        <f t="shared" si="16"/>
        <v>Error?</v>
      </c>
    </row>
    <row r="1147" spans="1:4">
      <c r="A1147" s="5">
        <v>1086</v>
      </c>
      <c r="B1147" s="137">
        <f>'Expenditures 15-22'!K106</f>
        <v>0</v>
      </c>
      <c r="C1147" s="2" t="s">
        <v>594</v>
      </c>
      <c r="D1147" s="2" t="str">
        <f t="shared" si="16"/>
        <v>Error?</v>
      </c>
    </row>
    <row r="1148" spans="1:4">
      <c r="A1148" s="10">
        <v>1087</v>
      </c>
      <c r="C1148" s="2" t="s">
        <v>594</v>
      </c>
      <c r="D1148" s="2" t="str">
        <f t="shared" si="16"/>
        <v>OK</v>
      </c>
    </row>
    <row r="1149" spans="1:4">
      <c r="A1149" s="5">
        <v>1088</v>
      </c>
      <c r="B1149" s="137">
        <f>'Expenditures 15-22'!K109</f>
        <v>0</v>
      </c>
      <c r="C1149" s="2" t="s">
        <v>594</v>
      </c>
      <c r="D1149" s="2" t="str">
        <f t="shared" si="16"/>
        <v>Error?</v>
      </c>
    </row>
    <row r="1150" spans="1:4">
      <c r="A1150" s="10">
        <v>1089</v>
      </c>
      <c r="D1150" s="2" t="str">
        <f t="shared" si="16"/>
        <v>OK</v>
      </c>
    </row>
    <row r="1151" spans="1:4">
      <c r="A1151" s="5">
        <v>1090</v>
      </c>
      <c r="B1151" s="137">
        <f>'Expenditures 15-22'!K110</f>
        <v>0</v>
      </c>
      <c r="C1151" s="2" t="s">
        <v>594</v>
      </c>
      <c r="D1151" s="2" t="str">
        <f t="shared" ref="D1151:D1214" si="17">IF(ISBLANK(B1151),"OK",IF(A1151-B1151=0,"OK","Error?"))</f>
        <v>Error?</v>
      </c>
    </row>
    <row r="1152" spans="1:4">
      <c r="A1152" s="5">
        <v>1091</v>
      </c>
      <c r="B1152" s="137">
        <f>'Expenditures 15-22'!K114</f>
        <v>47339063</v>
      </c>
      <c r="C1152" s="2" t="s">
        <v>594</v>
      </c>
      <c r="D1152" s="2" t="str">
        <f t="shared" si="17"/>
        <v>Error?</v>
      </c>
    </row>
    <row r="1153" spans="1:4">
      <c r="A1153" s="5">
        <v>1092</v>
      </c>
      <c r="B1153" s="137">
        <f>'Expenditures 15-22'!K115</f>
        <v>1328971</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2097398</v>
      </c>
      <c r="D1221" s="2" t="str">
        <f t="shared" si="18"/>
        <v>Error?</v>
      </c>
    </row>
    <row r="1222" spans="1:4">
      <c r="A1222" s="10">
        <v>1161</v>
      </c>
      <c r="D1222" s="2" t="str">
        <f t="shared" si="18"/>
        <v>OK</v>
      </c>
    </row>
    <row r="1223" spans="1:4">
      <c r="A1223" s="5">
        <v>1162</v>
      </c>
      <c r="B1223" s="137">
        <f>'Expenditures 15-22'!C127</f>
        <v>2097398</v>
      </c>
      <c r="C1223" s="2" t="s">
        <v>594</v>
      </c>
      <c r="D1223" s="2" t="str">
        <f t="shared" si="18"/>
        <v>Error?</v>
      </c>
    </row>
    <row r="1224" spans="1:4">
      <c r="A1224" s="5">
        <v>1163</v>
      </c>
      <c r="B1224" s="137">
        <f>'Expenditures 15-22'!C128</f>
        <v>0</v>
      </c>
      <c r="D1224" s="2" t="str">
        <f t="shared" si="18"/>
        <v>Error?</v>
      </c>
    </row>
    <row r="1225" spans="1:4">
      <c r="A1225" s="5">
        <v>1164</v>
      </c>
      <c r="B1225" s="137">
        <f>'Expenditures 15-22'!C129</f>
        <v>2097398</v>
      </c>
      <c r="C1225" s="2" t="s">
        <v>594</v>
      </c>
      <c r="D1225" s="2" t="str">
        <f t="shared" si="18"/>
        <v>Error?</v>
      </c>
    </row>
    <row r="1226" spans="1:4">
      <c r="A1226" s="5">
        <v>1165</v>
      </c>
      <c r="B1226" s="137">
        <f>'Expenditures 15-22'!C151</f>
        <v>2097398</v>
      </c>
      <c r="C1226" s="2" t="s">
        <v>594</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493705</v>
      </c>
      <c r="D1229" s="2" t="str">
        <f t="shared" si="18"/>
        <v>Error?</v>
      </c>
    </row>
    <row r="1230" spans="1:4">
      <c r="A1230" s="10">
        <v>1169</v>
      </c>
      <c r="D1230" s="2" t="str">
        <f t="shared" si="18"/>
        <v>OK</v>
      </c>
    </row>
    <row r="1231" spans="1:4">
      <c r="A1231" s="5">
        <v>1170</v>
      </c>
      <c r="B1231" s="137">
        <f>'Expenditures 15-22'!D127</f>
        <v>493705</v>
      </c>
      <c r="C1231" s="2" t="s">
        <v>594</v>
      </c>
      <c r="D1231" s="2" t="str">
        <f t="shared" si="18"/>
        <v>Error?</v>
      </c>
    </row>
    <row r="1232" spans="1:4">
      <c r="A1232" s="5">
        <v>1171</v>
      </c>
      <c r="B1232" s="137">
        <f>'Expenditures 15-22'!D128</f>
        <v>0</v>
      </c>
      <c r="D1232" s="2" t="str">
        <f t="shared" si="18"/>
        <v>Error?</v>
      </c>
    </row>
    <row r="1233" spans="1:4">
      <c r="A1233" s="5">
        <v>1172</v>
      </c>
      <c r="B1233" s="137">
        <f>'Expenditures 15-22'!D129</f>
        <v>493705</v>
      </c>
      <c r="C1233" s="2" t="s">
        <v>594</v>
      </c>
      <c r="D1233" s="2" t="str">
        <f t="shared" si="18"/>
        <v>Error?</v>
      </c>
    </row>
    <row r="1234" spans="1:4">
      <c r="A1234" s="5">
        <v>1173</v>
      </c>
      <c r="B1234" s="137">
        <f>'Expenditures 15-22'!D151</f>
        <v>493705</v>
      </c>
      <c r="C1234" s="2" t="s">
        <v>594</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731310</v>
      </c>
      <c r="D1237" s="2" t="str">
        <f t="shared" si="18"/>
        <v>Error?</v>
      </c>
    </row>
    <row r="1238" spans="1:4">
      <c r="A1238" s="10">
        <v>1177</v>
      </c>
      <c r="D1238" s="2" t="str">
        <f t="shared" si="18"/>
        <v>OK</v>
      </c>
    </row>
    <row r="1239" spans="1:4">
      <c r="A1239" s="5">
        <v>1178</v>
      </c>
      <c r="B1239" s="137">
        <f>'Expenditures 15-22'!E127</f>
        <v>731310</v>
      </c>
      <c r="C1239" s="2" t="s">
        <v>594</v>
      </c>
      <c r="D1239" s="2" t="str">
        <f t="shared" si="18"/>
        <v>Error?</v>
      </c>
    </row>
    <row r="1240" spans="1:4">
      <c r="A1240" s="5">
        <v>1179</v>
      </c>
      <c r="B1240" s="137">
        <f>'Expenditures 15-22'!E128</f>
        <v>0</v>
      </c>
      <c r="D1240" s="2" t="str">
        <f t="shared" si="18"/>
        <v>Error?</v>
      </c>
    </row>
    <row r="1241" spans="1:4">
      <c r="A1241" s="5">
        <v>1180</v>
      </c>
      <c r="B1241" s="137">
        <f>'Expenditures 15-22'!E129</f>
        <v>731310</v>
      </c>
      <c r="C1241" s="2" t="s">
        <v>594</v>
      </c>
      <c r="D1241" s="2" t="str">
        <f t="shared" si="18"/>
        <v>Error?</v>
      </c>
    </row>
    <row r="1242" spans="1:4">
      <c r="A1242" s="5">
        <v>1181</v>
      </c>
      <c r="B1242" s="137">
        <f>'Expenditures 15-22'!E151</f>
        <v>731310</v>
      </c>
      <c r="C1242" s="2" t="s">
        <v>594</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1196538</v>
      </c>
      <c r="D1245" s="2" t="str">
        <f t="shared" si="18"/>
        <v>Error?</v>
      </c>
    </row>
    <row r="1246" spans="1:4">
      <c r="A1246" s="10">
        <v>1185</v>
      </c>
      <c r="D1246" s="2" t="str">
        <f t="shared" si="18"/>
        <v>OK</v>
      </c>
    </row>
    <row r="1247" spans="1:4">
      <c r="A1247" s="5">
        <v>1186</v>
      </c>
      <c r="B1247" s="137">
        <f>'Expenditures 15-22'!F127</f>
        <v>1196538</v>
      </c>
      <c r="C1247" s="2" t="s">
        <v>594</v>
      </c>
      <c r="D1247" s="2" t="str">
        <f t="shared" si="18"/>
        <v>Error?</v>
      </c>
    </row>
    <row r="1248" spans="1:4">
      <c r="A1248" s="5">
        <v>1187</v>
      </c>
      <c r="B1248" s="137">
        <f>'Expenditures 15-22'!F128</f>
        <v>0</v>
      </c>
      <c r="D1248" s="2" t="str">
        <f t="shared" si="18"/>
        <v>Error?</v>
      </c>
    </row>
    <row r="1249" spans="1:4">
      <c r="A1249" s="5">
        <v>1188</v>
      </c>
      <c r="B1249" s="137">
        <f>'Expenditures 15-22'!F129</f>
        <v>1196538</v>
      </c>
      <c r="C1249" s="2" t="s">
        <v>594</v>
      </c>
      <c r="D1249" s="2" t="str">
        <f t="shared" si="18"/>
        <v>Error?</v>
      </c>
    </row>
    <row r="1250" spans="1:4">
      <c r="A1250" s="5">
        <v>1189</v>
      </c>
      <c r="B1250" s="137">
        <f>'Expenditures 15-22'!F151</f>
        <v>1196538</v>
      </c>
      <c r="C1250" s="2" t="s">
        <v>594</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426208</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426208</v>
      </c>
      <c r="C1256" s="2" t="s">
        <v>594</v>
      </c>
      <c r="D1256" s="2" t="str">
        <f t="shared" si="18"/>
        <v>Error?</v>
      </c>
    </row>
    <row r="1257" spans="1:4">
      <c r="A1257" s="5">
        <v>1196</v>
      </c>
      <c r="B1257" s="137">
        <f>'Expenditures 15-22'!G128</f>
        <v>0</v>
      </c>
      <c r="D1257" s="2" t="str">
        <f t="shared" si="18"/>
        <v>Error?</v>
      </c>
    </row>
    <row r="1258" spans="1:4">
      <c r="A1258" s="5">
        <v>1197</v>
      </c>
      <c r="B1258" s="137">
        <f>'Expenditures 15-22'!G129</f>
        <v>426208</v>
      </c>
      <c r="C1258" s="2" t="s">
        <v>594</v>
      </c>
      <c r="D1258" s="2" t="str">
        <f t="shared" si="18"/>
        <v>Error?</v>
      </c>
    </row>
    <row r="1259" spans="1:4">
      <c r="A1259" s="5">
        <v>1198</v>
      </c>
      <c r="B1259" s="137">
        <f>'Expenditures 15-22'!G151</f>
        <v>426208</v>
      </c>
      <c r="C1259" s="2" t="s">
        <v>594</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594</v>
      </c>
      <c r="D1264" s="2" t="str">
        <f t="shared" si="18"/>
        <v>Error?</v>
      </c>
    </row>
    <row r="1265" spans="1:4">
      <c r="A1265" s="5">
        <v>1204</v>
      </c>
      <c r="B1265" s="137">
        <f>'Expenditures 15-22'!H128</f>
        <v>0</v>
      </c>
      <c r="D1265" s="2" t="str">
        <f t="shared" si="18"/>
        <v>Error?</v>
      </c>
    </row>
    <row r="1266" spans="1:4">
      <c r="A1266" s="5">
        <v>1205</v>
      </c>
      <c r="B1266" s="137">
        <f>'Expenditures 15-22'!H129</f>
        <v>0</v>
      </c>
      <c r="C1266" s="2" t="s">
        <v>594</v>
      </c>
      <c r="D1266" s="2" t="str">
        <f t="shared" si="18"/>
        <v>Error?</v>
      </c>
    </row>
    <row r="1267" spans="1:4">
      <c r="A1267" s="5">
        <v>1206</v>
      </c>
      <c r="B1267" s="137">
        <f>'Expenditures 15-22'!H139</f>
        <v>0</v>
      </c>
      <c r="C1267" s="2" t="s">
        <v>594</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594</v>
      </c>
      <c r="D1272" s="2" t="str">
        <f t="shared" si="18"/>
        <v>Error?</v>
      </c>
    </row>
    <row r="1273" spans="1:4">
      <c r="A1273" s="5">
        <v>1212</v>
      </c>
      <c r="B1273" s="137">
        <f>'Expenditures 15-22'!H151</f>
        <v>0</v>
      </c>
      <c r="C1273" s="2" t="s">
        <v>594</v>
      </c>
      <c r="D1273" s="2" t="str">
        <f t="shared" si="18"/>
        <v>Error?</v>
      </c>
    </row>
    <row r="1274" spans="1:4">
      <c r="A1274" s="5">
        <v>1213</v>
      </c>
      <c r="B1274" s="137">
        <f>'Expenditures 15-22'!K122</f>
        <v>0</v>
      </c>
      <c r="C1274" s="2" t="s">
        <v>594</v>
      </c>
      <c r="D1274" s="2" t="str">
        <f t="shared" si="18"/>
        <v>Error?</v>
      </c>
    </row>
    <row r="1275" spans="1:4">
      <c r="A1275" s="5">
        <v>1214</v>
      </c>
      <c r="B1275" s="137">
        <f>'Expenditures 15-22'!K123</f>
        <v>0</v>
      </c>
      <c r="C1275" s="2" t="s">
        <v>594</v>
      </c>
      <c r="D1275" s="2" t="str">
        <f t="shared" si="18"/>
        <v>Error?</v>
      </c>
    </row>
    <row r="1276" spans="1:4">
      <c r="A1276" s="5">
        <v>1215</v>
      </c>
      <c r="B1276" s="137">
        <f>'Expenditures 15-22'!K124</f>
        <v>4973630</v>
      </c>
      <c r="C1276" s="2" t="s">
        <v>594</v>
      </c>
      <c r="D1276" s="2" t="str">
        <f t="shared" si="18"/>
        <v>Error?</v>
      </c>
    </row>
    <row r="1277" spans="1:4">
      <c r="A1277" s="5">
        <v>1216</v>
      </c>
      <c r="B1277" s="137">
        <f>'Expenditures 15-22'!K126</f>
        <v>0</v>
      </c>
      <c r="C1277" s="2" t="s">
        <v>594</v>
      </c>
      <c r="D1277" s="2" t="str">
        <f t="shared" si="18"/>
        <v>Error?</v>
      </c>
    </row>
    <row r="1278" spans="1:4">
      <c r="A1278" s="10">
        <v>1217</v>
      </c>
      <c r="D1278" s="2" t="str">
        <f t="shared" si="18"/>
        <v>OK</v>
      </c>
    </row>
    <row r="1279" spans="1:4">
      <c r="A1279" s="5">
        <v>1218</v>
      </c>
      <c r="B1279" s="137">
        <f>'Expenditures 15-22'!K127</f>
        <v>4973630</v>
      </c>
      <c r="C1279" s="2" t="s">
        <v>594</v>
      </c>
      <c r="D1279" s="2" t="str">
        <f t="shared" ref="D1279:D1342" si="19">IF(ISBLANK(B1279),"OK",IF(A1279-B1279=0,"OK","Error?"))</f>
        <v>Error?</v>
      </c>
    </row>
    <row r="1280" spans="1:4">
      <c r="A1280" s="5">
        <v>1219</v>
      </c>
      <c r="B1280" s="137">
        <f>'Expenditures 15-22'!K128</f>
        <v>0</v>
      </c>
      <c r="C1280" s="2" t="s">
        <v>594</v>
      </c>
      <c r="D1280" s="2" t="str">
        <f t="shared" si="19"/>
        <v>Error?</v>
      </c>
    </row>
    <row r="1281" spans="1:4">
      <c r="A1281" s="5">
        <v>1220</v>
      </c>
      <c r="B1281" s="137">
        <f>'Expenditures 15-22'!K129</f>
        <v>4973630</v>
      </c>
      <c r="C1281" s="2" t="s">
        <v>594</v>
      </c>
      <c r="D1281" s="2" t="str">
        <f t="shared" si="19"/>
        <v>Error?</v>
      </c>
    </row>
    <row r="1282" spans="1:4">
      <c r="A1282" s="5">
        <v>1221</v>
      </c>
      <c r="B1282" s="137">
        <f>'Expenditures 15-22'!K139</f>
        <v>0</v>
      </c>
      <c r="C1282" s="2" t="s">
        <v>594</v>
      </c>
      <c r="D1282" s="2" t="str">
        <f t="shared" si="19"/>
        <v>Error?</v>
      </c>
    </row>
    <row r="1283" spans="1:4">
      <c r="A1283" s="5">
        <v>1222</v>
      </c>
      <c r="B1283" s="137">
        <f>'Expenditures 15-22'!K142</f>
        <v>0</v>
      </c>
      <c r="C1283" s="2" t="s">
        <v>594</v>
      </c>
      <c r="D1283" s="2" t="str">
        <f t="shared" si="19"/>
        <v>Error?</v>
      </c>
    </row>
    <row r="1284" spans="1:4">
      <c r="A1284" s="5">
        <v>1223</v>
      </c>
      <c r="B1284" s="137">
        <f>'Expenditures 15-22'!K143</f>
        <v>0</v>
      </c>
      <c r="C1284" s="2" t="s">
        <v>594</v>
      </c>
      <c r="D1284" s="2" t="str">
        <f t="shared" si="19"/>
        <v>Error?</v>
      </c>
    </row>
    <row r="1285" spans="1:4">
      <c r="A1285" s="5">
        <v>1224</v>
      </c>
      <c r="B1285" s="137">
        <f>'Expenditures 15-22'!K146</f>
        <v>0</v>
      </c>
      <c r="C1285" s="2" t="s">
        <v>594</v>
      </c>
      <c r="D1285" s="2" t="str">
        <f t="shared" si="19"/>
        <v>Error?</v>
      </c>
    </row>
    <row r="1286" spans="1:4">
      <c r="A1286" s="10">
        <v>1225</v>
      </c>
      <c r="D1286" s="2" t="str">
        <f t="shared" si="19"/>
        <v>OK</v>
      </c>
    </row>
    <row r="1287" spans="1:4">
      <c r="A1287" s="12">
        <v>1226</v>
      </c>
      <c r="B1287" s="137">
        <f>'Expenditures 15-22'!K149</f>
        <v>0</v>
      </c>
      <c r="C1287" s="2" t="s">
        <v>594</v>
      </c>
      <c r="D1287" s="2" t="str">
        <f t="shared" si="19"/>
        <v>Error?</v>
      </c>
    </row>
    <row r="1288" spans="1:4">
      <c r="A1288" s="5">
        <v>1227</v>
      </c>
      <c r="B1288" s="137">
        <f>'Expenditures 15-22'!K151</f>
        <v>4973630</v>
      </c>
      <c r="C1288" s="2" t="s">
        <v>594</v>
      </c>
      <c r="D1288" s="2" t="str">
        <f t="shared" si="19"/>
        <v>Error?</v>
      </c>
    </row>
    <row r="1289" spans="1:4">
      <c r="A1289" s="5">
        <v>1228</v>
      </c>
      <c r="B1289" s="137">
        <f>'Expenditures 15-22'!K152</f>
        <v>-394120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594</v>
      </c>
      <c r="D1308" s="2" t="str">
        <f t="shared" si="19"/>
        <v>Error?</v>
      </c>
    </row>
    <row r="1309" spans="1:4">
      <c r="A1309" s="5">
        <v>1248</v>
      </c>
      <c r="B1309" s="137">
        <f>'Expenditures 15-22'!E174</f>
        <v>0</v>
      </c>
      <c r="C1309" s="2" t="s">
        <v>594</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1052692</v>
      </c>
      <c r="D1312" s="2" t="str">
        <f t="shared" si="19"/>
        <v>Error?</v>
      </c>
    </row>
    <row r="1313" spans="1:4">
      <c r="A1313" s="5">
        <v>1252</v>
      </c>
      <c r="B1313" s="137">
        <f>'Expenditures 15-22'!H167</f>
        <v>0</v>
      </c>
      <c r="D1313" s="2" t="str">
        <f t="shared" si="19"/>
        <v>Error?</v>
      </c>
    </row>
    <row r="1314" spans="1:4">
      <c r="A1314" s="5">
        <v>1253</v>
      </c>
      <c r="B1314" s="137">
        <f>'Expenditures 15-22'!H168</f>
        <v>0</v>
      </c>
      <c r="C1314" s="2" t="s">
        <v>594</v>
      </c>
      <c r="D1314" s="2" t="str">
        <f t="shared" si="19"/>
        <v>Error?</v>
      </c>
    </row>
    <row r="1315" spans="1:4">
      <c r="A1315" s="5">
        <v>1254</v>
      </c>
      <c r="B1315" s="137">
        <f>'Expenditures 15-22'!H170</f>
        <v>4079700</v>
      </c>
      <c r="D1315" s="2" t="str">
        <f t="shared" si="19"/>
        <v>Error?</v>
      </c>
    </row>
    <row r="1316" spans="1:4">
      <c r="A1316" s="5">
        <v>1255</v>
      </c>
      <c r="B1316" s="137">
        <f>'Expenditures 15-22'!H171</f>
        <v>1425</v>
      </c>
      <c r="D1316" s="2" t="str">
        <f t="shared" si="19"/>
        <v>Error?</v>
      </c>
    </row>
    <row r="1317" spans="1:4">
      <c r="A1317" s="5">
        <v>1256</v>
      </c>
      <c r="B1317" s="137">
        <f>'Expenditures 15-22'!H172</f>
        <v>5133817</v>
      </c>
      <c r="C1317" s="2" t="s">
        <v>594</v>
      </c>
      <c r="D1317" s="2" t="str">
        <f t="shared" si="19"/>
        <v>Error?</v>
      </c>
    </row>
    <row r="1318" spans="1:4">
      <c r="A1318" s="5">
        <v>1257</v>
      </c>
      <c r="B1318" s="137">
        <f>'Expenditures 15-22'!H174</f>
        <v>5133817</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7">
        <f>'Expenditures 15-22'!K155</f>
        <v>0</v>
      </c>
      <c r="C1323" s="2" t="s">
        <v>594</v>
      </c>
      <c r="D1323" s="2" t="str">
        <f t="shared" si="19"/>
        <v>Error?</v>
      </c>
    </row>
    <row r="1324" spans="1:4">
      <c r="A1324" s="5">
        <v>1263</v>
      </c>
      <c r="B1324" s="137">
        <f>'Expenditures 15-22'!K163</f>
        <v>0</v>
      </c>
      <c r="C1324" s="2" t="s">
        <v>594</v>
      </c>
      <c r="D1324" s="2" t="str">
        <f t="shared" si="19"/>
        <v>Error?</v>
      </c>
    </row>
    <row r="1325" spans="1:4">
      <c r="A1325" s="5">
        <v>1264</v>
      </c>
      <c r="B1325" s="137">
        <f>'Expenditures 15-22'!K164</f>
        <v>0</v>
      </c>
      <c r="C1325" s="2" t="s">
        <v>594</v>
      </c>
      <c r="D1325" s="2" t="str">
        <f t="shared" si="19"/>
        <v>Error?</v>
      </c>
    </row>
    <row r="1326" spans="1:4">
      <c r="A1326" s="5">
        <v>1265</v>
      </c>
      <c r="B1326" s="137">
        <f>'Expenditures 15-22'!K169</f>
        <v>1052692</v>
      </c>
      <c r="C1326" s="2" t="s">
        <v>594</v>
      </c>
      <c r="D1326" s="2" t="str">
        <f t="shared" si="19"/>
        <v>Error?</v>
      </c>
    </row>
    <row r="1327" spans="1:4">
      <c r="A1327" s="5">
        <v>1266</v>
      </c>
      <c r="B1327" s="137">
        <f>'Expenditures 15-22'!K167</f>
        <v>0</v>
      </c>
      <c r="C1327" s="2" t="s">
        <v>594</v>
      </c>
      <c r="D1327" s="2" t="str">
        <f t="shared" si="19"/>
        <v>Error?</v>
      </c>
    </row>
    <row r="1328" spans="1:4">
      <c r="A1328" s="5">
        <v>1267</v>
      </c>
      <c r="B1328" s="137">
        <f>'Expenditures 15-22'!K168</f>
        <v>0</v>
      </c>
      <c r="C1328" s="2" t="s">
        <v>594</v>
      </c>
      <c r="D1328" s="2" t="str">
        <f t="shared" si="19"/>
        <v>Error?</v>
      </c>
    </row>
    <row r="1329" spans="1:4">
      <c r="A1329" s="5">
        <v>1268</v>
      </c>
      <c r="B1329" s="137">
        <f>'Expenditures 15-22'!K170</f>
        <v>4079700</v>
      </c>
      <c r="C1329" s="2" t="s">
        <v>594</v>
      </c>
      <c r="D1329" s="2" t="str">
        <f t="shared" si="19"/>
        <v>Error?</v>
      </c>
    </row>
    <row r="1330" spans="1:4">
      <c r="A1330" s="5">
        <v>1269</v>
      </c>
      <c r="B1330" s="137">
        <f>'Expenditures 15-22'!K171</f>
        <v>1425</v>
      </c>
      <c r="C1330" s="2" t="s">
        <v>594</v>
      </c>
      <c r="D1330" s="2" t="str">
        <f t="shared" si="19"/>
        <v>Error?</v>
      </c>
    </row>
    <row r="1331" spans="1:4">
      <c r="A1331" s="5">
        <v>1270</v>
      </c>
      <c r="B1331" s="137">
        <f>'Expenditures 15-22'!K172</f>
        <v>5133817</v>
      </c>
      <c r="C1331" s="2" t="s">
        <v>594</v>
      </c>
      <c r="D1331" s="2" t="str">
        <f t="shared" si="19"/>
        <v>Error?</v>
      </c>
    </row>
    <row r="1332" spans="1:4">
      <c r="A1332" s="5">
        <v>1271</v>
      </c>
      <c r="B1332" s="137">
        <f>'Expenditures 15-22'!K174</f>
        <v>5133817</v>
      </c>
      <c r="C1332" s="2" t="s">
        <v>594</v>
      </c>
      <c r="D1332" s="2" t="str">
        <f t="shared" si="19"/>
        <v>Error?</v>
      </c>
    </row>
    <row r="1333" spans="1:4">
      <c r="A1333" s="5">
        <v>1272</v>
      </c>
      <c r="B1333" s="137">
        <f>'Expenditures 15-22'!K175</f>
        <v>-814649</v>
      </c>
      <c r="C1333" s="2" t="s">
        <v>594</v>
      </c>
      <c r="D1333" s="2" t="str">
        <f t="shared" si="19"/>
        <v>Error?</v>
      </c>
    </row>
    <row r="1334" spans="1:4">
      <c r="A1334" s="10">
        <v>1273</v>
      </c>
      <c r="D1334" s="2" t="str">
        <f t="shared" si="19"/>
        <v>OK</v>
      </c>
    </row>
    <row r="1335" spans="1:4">
      <c r="A1335" s="5">
        <v>1274</v>
      </c>
      <c r="B1335" s="137">
        <f>'Expenditures 15-22'!C182</f>
        <v>12500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12500</v>
      </c>
      <c r="C1339" s="2" t="s">
        <v>594</v>
      </c>
      <c r="D1339" s="2" t="str">
        <f t="shared" si="19"/>
        <v>Error?</v>
      </c>
    </row>
    <row r="1340" spans="1:4">
      <c r="A1340" s="5">
        <v>1279</v>
      </c>
      <c r="B1340" s="137">
        <f>'Expenditures 15-22'!C210</f>
        <v>12500</v>
      </c>
      <c r="C1340" s="2" t="s">
        <v>594</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594</v>
      </c>
      <c r="D1345" s="2" t="str">
        <f t="shared" si="20"/>
        <v>Error?</v>
      </c>
    </row>
    <row r="1346" spans="1:4">
      <c r="A1346" s="5">
        <v>1285</v>
      </c>
      <c r="B1346" s="137">
        <f>'Expenditures 15-22'!D210</f>
        <v>0</v>
      </c>
      <c r="C1346" s="2" t="s">
        <v>594</v>
      </c>
      <c r="D1346" s="2" t="str">
        <f t="shared" si="20"/>
        <v>Error?</v>
      </c>
    </row>
    <row r="1347" spans="1:4">
      <c r="A1347" s="5">
        <v>1286</v>
      </c>
      <c r="B1347" s="137">
        <f>'Expenditures 15-22'!E182</f>
        <v>4799250</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4799250</v>
      </c>
      <c r="C1351" s="2" t="s">
        <v>594</v>
      </c>
      <c r="D1351" s="2" t="str">
        <f t="shared" si="20"/>
        <v>Error?</v>
      </c>
    </row>
    <row r="1352" spans="1:4">
      <c r="A1352" s="5">
        <v>1291</v>
      </c>
      <c r="B1352" s="137">
        <f>'Expenditures 15-22'!E196</f>
        <v>0</v>
      </c>
      <c r="C1352" s="2" t="s">
        <v>594</v>
      </c>
      <c r="D1352" s="2" t="str">
        <f t="shared" si="20"/>
        <v>Error?</v>
      </c>
    </row>
    <row r="1353" spans="1:4">
      <c r="A1353" s="5">
        <v>1292</v>
      </c>
      <c r="B1353" s="137">
        <f>'Expenditures 15-22'!E210</f>
        <v>4799250</v>
      </c>
      <c r="C1353" s="2" t="s">
        <v>594</v>
      </c>
      <c r="D1353" s="2" t="str">
        <f t="shared" si="20"/>
        <v>Error?</v>
      </c>
    </row>
    <row r="1354" spans="1:4">
      <c r="A1354" s="5">
        <v>1293</v>
      </c>
      <c r="B1354" s="137">
        <f>'Expenditures 15-22'!F182</f>
        <v>11541</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11541</v>
      </c>
      <c r="C1358" s="2" t="s">
        <v>594</v>
      </c>
      <c r="D1358" s="2" t="str">
        <f t="shared" si="20"/>
        <v>Error?</v>
      </c>
    </row>
    <row r="1359" spans="1:4">
      <c r="A1359" s="5">
        <v>1298</v>
      </c>
      <c r="B1359" s="137">
        <f>'Expenditures 15-22'!F210</f>
        <v>11541</v>
      </c>
      <c r="C1359" s="2" t="s">
        <v>594</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594</v>
      </c>
      <c r="D1364" s="2" t="str">
        <f t="shared" si="20"/>
        <v>Error?</v>
      </c>
    </row>
    <row r="1365" spans="1:4">
      <c r="A1365" s="5">
        <v>1304</v>
      </c>
      <c r="B1365" s="137">
        <f>'Expenditures 15-22'!G210</f>
        <v>0</v>
      </c>
      <c r="C1365" s="2" t="s">
        <v>594</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594</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594</v>
      </c>
      <c r="D1375" s="2" t="str">
        <f t="shared" si="20"/>
        <v>Error?</v>
      </c>
    </row>
    <row r="1376" spans="1:4">
      <c r="A1376" s="5">
        <v>1315</v>
      </c>
      <c r="B1376" s="137">
        <f>'Expenditures 15-22'!H210</f>
        <v>0</v>
      </c>
      <c r="C1376" s="2" t="s">
        <v>594</v>
      </c>
      <c r="D1376" s="2" t="str">
        <f t="shared" si="20"/>
        <v>Error?</v>
      </c>
    </row>
    <row r="1377" spans="1:4">
      <c r="A1377" s="5">
        <v>1316</v>
      </c>
      <c r="B1377" s="137">
        <f>'Expenditures 15-22'!K182</f>
        <v>4823291</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594</v>
      </c>
      <c r="D1380" s="2" t="str">
        <f t="shared" si="20"/>
        <v>Error?</v>
      </c>
    </row>
    <row r="1381" spans="1:4">
      <c r="A1381" s="5">
        <v>1320</v>
      </c>
      <c r="B1381" s="137">
        <f>'Expenditures 15-22'!K184</f>
        <v>4823291</v>
      </c>
      <c r="C1381" s="2" t="s">
        <v>594</v>
      </c>
      <c r="D1381" s="2" t="str">
        <f t="shared" si="20"/>
        <v>Error?</v>
      </c>
    </row>
    <row r="1382" spans="1:4">
      <c r="A1382" s="5">
        <v>1321</v>
      </c>
      <c r="B1382" s="137">
        <f>'Expenditures 15-22'!K196</f>
        <v>0</v>
      </c>
      <c r="C1382" s="2" t="s">
        <v>594</v>
      </c>
      <c r="D1382" s="2" t="str">
        <f t="shared" si="20"/>
        <v>Error?</v>
      </c>
    </row>
    <row r="1383" spans="1:4">
      <c r="A1383" s="5">
        <v>1322</v>
      </c>
      <c r="B1383" s="137">
        <f>'Expenditures 15-22'!K199</f>
        <v>0</v>
      </c>
      <c r="C1383" s="2" t="s">
        <v>594</v>
      </c>
      <c r="D1383" s="2" t="str">
        <f t="shared" si="20"/>
        <v>Error?</v>
      </c>
    </row>
    <row r="1384" spans="1:4">
      <c r="A1384" s="5">
        <v>1323</v>
      </c>
      <c r="B1384" s="137">
        <f>'Expenditures 15-22'!K200</f>
        <v>0</v>
      </c>
      <c r="C1384" s="2" t="s">
        <v>594</v>
      </c>
      <c r="D1384" s="2" t="str">
        <f t="shared" si="20"/>
        <v>Error?</v>
      </c>
    </row>
    <row r="1385" spans="1:4">
      <c r="A1385" s="5">
        <v>1324</v>
      </c>
      <c r="B1385" s="137">
        <f>'Expenditures 15-22'!K203</f>
        <v>0</v>
      </c>
      <c r="C1385" s="2" t="s">
        <v>594</v>
      </c>
      <c r="D1385" s="2" t="str">
        <f t="shared" si="20"/>
        <v>Error?</v>
      </c>
    </row>
    <row r="1386" spans="1:4">
      <c r="A1386" s="10">
        <v>1325</v>
      </c>
      <c r="D1386" s="2" t="str">
        <f t="shared" si="20"/>
        <v>OK</v>
      </c>
    </row>
    <row r="1387" spans="1:4">
      <c r="A1387" s="5">
        <v>1326</v>
      </c>
      <c r="B1387" s="137">
        <f>'Expenditures 15-22'!K208</f>
        <v>0</v>
      </c>
      <c r="C1387" s="2" t="s">
        <v>594</v>
      </c>
      <c r="D1387" s="2" t="str">
        <f t="shared" si="20"/>
        <v>Error?</v>
      </c>
    </row>
    <row r="1388" spans="1:4">
      <c r="A1388" s="5">
        <v>1327</v>
      </c>
      <c r="B1388" s="137">
        <f>'Expenditures 15-22'!K210</f>
        <v>4823291</v>
      </c>
      <c r="C1388" s="2" t="s">
        <v>594</v>
      </c>
      <c r="D1388" s="2" t="str">
        <f t="shared" si="20"/>
        <v>Error?</v>
      </c>
    </row>
    <row r="1389" spans="1:4">
      <c r="A1389" s="5">
        <v>1328</v>
      </c>
      <c r="B1389" s="137">
        <f>'Expenditures 15-22'!K211</f>
        <v>1694407</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9010</v>
      </c>
      <c r="D1407" s="2" t="str">
        <f t="shared" ref="D1407:D1470" si="21">IF(ISBLANK(B1407),"OK",IF(A1407-B1407=0,"OK","Error?"))</f>
        <v>Error?</v>
      </c>
    </row>
    <row r="1408" spans="1:4">
      <c r="A1408" s="5">
        <v>1347</v>
      </c>
      <c r="B1408" s="137">
        <f>'Expenditures 15-22'!D223</f>
        <v>164623</v>
      </c>
      <c r="D1408" s="2" t="str">
        <f t="shared" si="21"/>
        <v>Error?</v>
      </c>
    </row>
    <row r="1409" spans="1:4">
      <c r="A1409" s="5">
        <v>1348</v>
      </c>
      <c r="B1409" s="137">
        <f>'Expenditures 15-22'!D224</f>
        <v>6009</v>
      </c>
      <c r="D1409" s="2" t="str">
        <f t="shared" si="21"/>
        <v>Error?</v>
      </c>
    </row>
    <row r="1410" spans="1:4">
      <c r="A1410" s="5">
        <v>1349</v>
      </c>
      <c r="B1410" s="137">
        <f>'Expenditures 15-22'!D229</f>
        <v>664555</v>
      </c>
      <c r="C1410" s="2" t="s">
        <v>594</v>
      </c>
      <c r="D1410" s="2" t="str">
        <f t="shared" si="21"/>
        <v>Error?</v>
      </c>
    </row>
    <row r="1411" spans="1:4">
      <c r="A1411" s="5">
        <v>1350</v>
      </c>
      <c r="B1411" s="137">
        <f>'Expenditures 15-22'!D232</f>
        <v>26376</v>
      </c>
      <c r="D1411" s="2" t="str">
        <f t="shared" si="21"/>
        <v>Error?</v>
      </c>
    </row>
    <row r="1412" spans="1:4">
      <c r="A1412" s="5">
        <v>1351</v>
      </c>
      <c r="B1412" s="137">
        <f>'Expenditures 15-22'!D233</f>
        <v>10832</v>
      </c>
      <c r="D1412" s="2" t="str">
        <f t="shared" si="21"/>
        <v>Error?</v>
      </c>
    </row>
    <row r="1413" spans="1:4">
      <c r="A1413" s="5">
        <v>1352</v>
      </c>
      <c r="B1413" s="137">
        <f>'Expenditures 15-22'!D234</f>
        <v>2873</v>
      </c>
      <c r="D1413" s="2" t="str">
        <f t="shared" si="21"/>
        <v>Error?</v>
      </c>
    </row>
    <row r="1414" spans="1:4">
      <c r="A1414" s="5">
        <v>1353</v>
      </c>
      <c r="B1414" s="137">
        <f>'Expenditures 15-22'!D235</f>
        <v>3544</v>
      </c>
      <c r="D1414" s="2" t="str">
        <f t="shared" si="21"/>
        <v>Error?</v>
      </c>
    </row>
    <row r="1415" spans="1:4">
      <c r="A1415" s="5">
        <v>1354</v>
      </c>
      <c r="B1415" s="137">
        <f>'Expenditures 15-22'!D236</f>
        <v>1347</v>
      </c>
      <c r="D1415" s="2" t="str">
        <f t="shared" si="21"/>
        <v>Error?</v>
      </c>
    </row>
    <row r="1416" spans="1:4">
      <c r="A1416" s="5">
        <v>1355</v>
      </c>
      <c r="B1416" s="137">
        <f>'Expenditures 15-22'!D237</f>
        <v>192337</v>
      </c>
      <c r="D1416" s="2" t="str">
        <f t="shared" si="21"/>
        <v>Error?</v>
      </c>
    </row>
    <row r="1417" spans="1:4">
      <c r="A1417" s="5">
        <v>1356</v>
      </c>
      <c r="B1417" s="137">
        <f>'Expenditures 15-22'!D238</f>
        <v>237309</v>
      </c>
      <c r="C1417" s="2" t="s">
        <v>594</v>
      </c>
      <c r="D1417" s="2" t="str">
        <f t="shared" si="21"/>
        <v>Error?</v>
      </c>
    </row>
    <row r="1418" spans="1:4">
      <c r="A1418" s="5">
        <v>1357</v>
      </c>
      <c r="B1418" s="137">
        <f>'Expenditures 15-22'!D240</f>
        <v>31946</v>
      </c>
      <c r="D1418" s="2" t="str">
        <f t="shared" si="21"/>
        <v>Error?</v>
      </c>
    </row>
    <row r="1419" spans="1:4">
      <c r="A1419" s="5">
        <v>1358</v>
      </c>
      <c r="B1419" s="137">
        <f>'Expenditures 15-22'!D241</f>
        <v>15271</v>
      </c>
      <c r="D1419" s="2" t="str">
        <f t="shared" si="21"/>
        <v>Error?</v>
      </c>
    </row>
    <row r="1420" spans="1:4">
      <c r="A1420" s="5">
        <v>1359</v>
      </c>
      <c r="B1420" s="137">
        <f>'Expenditures 15-22'!D242</f>
        <v>5</v>
      </c>
      <c r="D1420" s="2" t="str">
        <f t="shared" si="21"/>
        <v>Error?</v>
      </c>
    </row>
    <row r="1421" spans="1:4">
      <c r="A1421" s="5">
        <v>1360</v>
      </c>
      <c r="B1421" s="137">
        <f>'Expenditures 15-22'!D243</f>
        <v>47222</v>
      </c>
      <c r="C1421" s="2" t="s">
        <v>594</v>
      </c>
      <c r="D1421" s="2" t="str">
        <f t="shared" si="21"/>
        <v>Error?</v>
      </c>
    </row>
    <row r="1422" spans="1:4">
      <c r="A1422" s="5">
        <v>1361</v>
      </c>
      <c r="B1422" s="137">
        <f>'Expenditures 15-22'!D245</f>
        <v>0</v>
      </c>
      <c r="D1422" s="2" t="str">
        <f t="shared" si="21"/>
        <v>Error?</v>
      </c>
    </row>
    <row r="1423" spans="1:4">
      <c r="A1423" s="5">
        <v>1362</v>
      </c>
      <c r="B1423" s="137">
        <f>'Expenditures 15-22'!D246</f>
        <v>17906</v>
      </c>
      <c r="D1423" s="2" t="str">
        <f t="shared" si="21"/>
        <v>Error?</v>
      </c>
    </row>
    <row r="1424" spans="1:4">
      <c r="A1424" s="5">
        <v>1363</v>
      </c>
      <c r="B1424" s="137">
        <f>'Expenditures 15-22'!D257</f>
        <v>40176</v>
      </c>
      <c r="C1424" s="2" t="s">
        <v>594</v>
      </c>
      <c r="D1424" s="2" t="str">
        <f t="shared" si="21"/>
        <v>Error?</v>
      </c>
    </row>
    <row r="1425" spans="1:4">
      <c r="A1425" s="5">
        <v>1364</v>
      </c>
      <c r="B1425" s="137">
        <f>'Expenditures 15-22'!D259</f>
        <v>223168</v>
      </c>
      <c r="D1425" s="2" t="str">
        <f t="shared" si="21"/>
        <v>Error?</v>
      </c>
    </row>
    <row r="1426" spans="1:4">
      <c r="A1426" s="5">
        <v>1365</v>
      </c>
      <c r="B1426" s="137">
        <f>'Expenditures 15-22'!D260</f>
        <v>14300</v>
      </c>
      <c r="D1426" s="2" t="str">
        <f t="shared" si="21"/>
        <v>Error?</v>
      </c>
    </row>
    <row r="1427" spans="1:4">
      <c r="A1427" s="5">
        <v>1366</v>
      </c>
      <c r="B1427" s="137">
        <f>'Expenditures 15-22'!D261</f>
        <v>237468</v>
      </c>
      <c r="C1427" s="2" t="s">
        <v>594</v>
      </c>
      <c r="D1427" s="2" t="str">
        <f t="shared" si="21"/>
        <v>Error?</v>
      </c>
    </row>
    <row r="1428" spans="1:4">
      <c r="A1428" s="5">
        <v>1367</v>
      </c>
      <c r="B1428" s="137">
        <f>'Expenditures 15-22'!D263</f>
        <v>1705</v>
      </c>
      <c r="D1428" s="2" t="str">
        <f t="shared" si="21"/>
        <v>Error?</v>
      </c>
    </row>
    <row r="1429" spans="1:4">
      <c r="A1429" s="5">
        <v>1368</v>
      </c>
      <c r="B1429" s="137">
        <f>'Expenditures 15-22'!D264</f>
        <v>36012</v>
      </c>
      <c r="D1429" s="2" t="str">
        <f t="shared" si="21"/>
        <v>Error?</v>
      </c>
    </row>
    <row r="1430" spans="1:4">
      <c r="A1430" s="5">
        <v>1369</v>
      </c>
      <c r="B1430" s="137">
        <f>'Expenditures 15-22'!D265</f>
        <v>0</v>
      </c>
      <c r="D1430" s="2" t="str">
        <f t="shared" si="21"/>
        <v>Error?</v>
      </c>
    </row>
    <row r="1431" spans="1:4">
      <c r="A1431" s="5">
        <v>1370</v>
      </c>
      <c r="B1431" s="137">
        <f>'Expenditures 15-22'!D266</f>
        <v>385587</v>
      </c>
      <c r="D1431" s="2" t="str">
        <f t="shared" si="21"/>
        <v>Error?</v>
      </c>
    </row>
    <row r="1432" spans="1:4">
      <c r="A1432" s="5">
        <v>1371</v>
      </c>
      <c r="B1432" s="137">
        <f>'Expenditures 15-22'!D267</f>
        <v>0</v>
      </c>
      <c r="D1432" s="2" t="str">
        <f t="shared" si="21"/>
        <v>Error?</v>
      </c>
    </row>
    <row r="1433" spans="1:4">
      <c r="A1433" s="5">
        <v>1372</v>
      </c>
      <c r="B1433" s="137">
        <f>'Expenditures 15-22'!D268</f>
        <v>176030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599334</v>
      </c>
      <c r="C1436" s="2" t="s">
        <v>594</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468</v>
      </c>
      <c r="D1439" s="2" t="str">
        <f t="shared" si="21"/>
        <v>Error?</v>
      </c>
    </row>
    <row r="1440" spans="1:4">
      <c r="A1440" s="5">
        <v>1379</v>
      </c>
      <c r="B1440" s="137">
        <f>'Expenditures 15-22'!D275</f>
        <v>24682</v>
      </c>
      <c r="D1440" s="2" t="str">
        <f t="shared" si="21"/>
        <v>Error?</v>
      </c>
    </row>
    <row r="1441" spans="1:4">
      <c r="A1441" s="10">
        <v>1380</v>
      </c>
      <c r="D1441" s="2" t="str">
        <f t="shared" si="21"/>
        <v>OK</v>
      </c>
    </row>
    <row r="1442" spans="1:4">
      <c r="A1442" s="5">
        <v>1381</v>
      </c>
      <c r="B1442" s="137">
        <f>'Expenditures 15-22'!D276</f>
        <v>79312</v>
      </c>
      <c r="D1442" s="2" t="str">
        <f t="shared" si="21"/>
        <v>Error?</v>
      </c>
    </row>
    <row r="1443" spans="1:4">
      <c r="A1443" s="10">
        <v>1382</v>
      </c>
      <c r="D1443" s="2" t="str">
        <f t="shared" si="21"/>
        <v>OK</v>
      </c>
    </row>
    <row r="1444" spans="1:4">
      <c r="A1444" s="5">
        <v>1383</v>
      </c>
      <c r="B1444" s="137">
        <f>'Expenditures 15-22'!D277</f>
        <v>104462</v>
      </c>
      <c r="C1444" s="2" t="s">
        <v>594</v>
      </c>
      <c r="D1444" s="2" t="str">
        <f t="shared" si="21"/>
        <v>Error?</v>
      </c>
    </row>
    <row r="1445" spans="1:4">
      <c r="A1445" s="5">
        <v>1384</v>
      </c>
      <c r="B1445" s="137">
        <f>'Expenditures 15-22'!D278</f>
        <v>6939</v>
      </c>
      <c r="D1445" s="2" t="str">
        <f t="shared" si="21"/>
        <v>Error?</v>
      </c>
    </row>
    <row r="1446" spans="1:4">
      <c r="A1446" s="5">
        <v>1385</v>
      </c>
      <c r="B1446" s="137">
        <f>'Expenditures 15-22'!D279</f>
        <v>1272910</v>
      </c>
      <c r="C1446" s="2" t="s">
        <v>594</v>
      </c>
      <c r="D1446" s="2" t="str">
        <f t="shared" si="21"/>
        <v>Error?</v>
      </c>
    </row>
    <row r="1447" spans="1:4">
      <c r="A1447" s="5">
        <v>1386</v>
      </c>
      <c r="B1447" s="137">
        <f>'Expenditures 15-22'!D280</f>
        <v>0</v>
      </c>
      <c r="D1447" s="2" t="str">
        <f t="shared" si="21"/>
        <v>Error?</v>
      </c>
    </row>
    <row r="1448" spans="1:4">
      <c r="A1448" s="5">
        <v>1387</v>
      </c>
      <c r="B1448" s="137">
        <f>'Expenditures 15-22'!D295</f>
        <v>1937465</v>
      </c>
      <c r="C1448" s="2" t="s">
        <v>594</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594</v>
      </c>
      <c r="D1452" s="2" t="str">
        <f t="shared" si="21"/>
        <v>Error?</v>
      </c>
    </row>
    <row r="1453" spans="1:4">
      <c r="A1453" s="10">
        <v>1392</v>
      </c>
      <c r="D1453" s="2" t="str">
        <f t="shared" si="21"/>
        <v>OK</v>
      </c>
    </row>
    <row r="1454" spans="1:4">
      <c r="A1454" s="5">
        <v>1393</v>
      </c>
      <c r="B1454" s="137">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594</v>
      </c>
      <c r="D1470" s="2" t="str">
        <f t="shared" si="21"/>
        <v>Error?</v>
      </c>
    </row>
    <row r="1471" spans="1:4">
      <c r="A1471" s="5">
        <v>1410</v>
      </c>
      <c r="B1471" s="137">
        <f>'Expenditures 15-22'!K222</f>
        <v>9010</v>
      </c>
      <c r="C1471" s="2" t="s">
        <v>594</v>
      </c>
      <c r="D1471" s="2" t="str">
        <f t="shared" ref="D1471:D1534" si="22">IF(ISBLANK(B1471),"OK",IF(A1471-B1471=0,"OK","Error?"))</f>
        <v>Error?</v>
      </c>
    </row>
    <row r="1472" spans="1:4">
      <c r="A1472" s="5">
        <v>1411</v>
      </c>
      <c r="B1472" s="137">
        <f>'Expenditures 15-22'!K223</f>
        <v>164623</v>
      </c>
      <c r="C1472" s="2" t="s">
        <v>594</v>
      </c>
      <c r="D1472" s="2" t="str">
        <f t="shared" si="22"/>
        <v>Error?</v>
      </c>
    </row>
    <row r="1473" spans="1:4">
      <c r="A1473" s="5">
        <v>1412</v>
      </c>
      <c r="B1473" s="137">
        <f>'Expenditures 15-22'!K224</f>
        <v>6009</v>
      </c>
      <c r="C1473" s="2" t="s">
        <v>594</v>
      </c>
      <c r="D1473" s="2" t="str">
        <f t="shared" si="22"/>
        <v>Error?</v>
      </c>
    </row>
    <row r="1474" spans="1:4">
      <c r="A1474" s="5">
        <v>1413</v>
      </c>
      <c r="B1474" s="137">
        <f>'Expenditures 15-22'!K229</f>
        <v>664555</v>
      </c>
      <c r="C1474" s="2" t="s">
        <v>594</v>
      </c>
      <c r="D1474" s="2" t="str">
        <f t="shared" si="22"/>
        <v>Error?</v>
      </c>
    </row>
    <row r="1475" spans="1:4">
      <c r="A1475" s="5">
        <v>1414</v>
      </c>
      <c r="B1475" s="137">
        <f>'Expenditures 15-22'!K232</f>
        <v>26376</v>
      </c>
      <c r="C1475" s="2" t="s">
        <v>594</v>
      </c>
      <c r="D1475" s="2" t="str">
        <f t="shared" si="22"/>
        <v>Error?</v>
      </c>
    </row>
    <row r="1476" spans="1:4">
      <c r="A1476" s="5">
        <v>1415</v>
      </c>
      <c r="B1476" s="137">
        <f>'Expenditures 15-22'!K233</f>
        <v>10832</v>
      </c>
      <c r="C1476" s="2" t="s">
        <v>594</v>
      </c>
      <c r="D1476" s="2" t="str">
        <f t="shared" si="22"/>
        <v>Error?</v>
      </c>
    </row>
    <row r="1477" spans="1:4">
      <c r="A1477" s="5">
        <v>1416</v>
      </c>
      <c r="B1477" s="137">
        <f>'Expenditures 15-22'!K234</f>
        <v>2873</v>
      </c>
      <c r="C1477" s="2" t="s">
        <v>594</v>
      </c>
      <c r="D1477" s="2" t="str">
        <f t="shared" si="22"/>
        <v>Error?</v>
      </c>
    </row>
    <row r="1478" spans="1:4">
      <c r="A1478" s="5">
        <v>1417</v>
      </c>
      <c r="B1478" s="137">
        <f>'Expenditures 15-22'!K235</f>
        <v>3544</v>
      </c>
      <c r="C1478" s="2" t="s">
        <v>594</v>
      </c>
      <c r="D1478" s="2" t="str">
        <f t="shared" si="22"/>
        <v>Error?</v>
      </c>
    </row>
    <row r="1479" spans="1:4">
      <c r="A1479" s="5">
        <v>1418</v>
      </c>
      <c r="B1479" s="137">
        <f>'Expenditures 15-22'!K236</f>
        <v>1347</v>
      </c>
      <c r="C1479" s="2" t="s">
        <v>594</v>
      </c>
      <c r="D1479" s="2" t="str">
        <f t="shared" si="22"/>
        <v>Error?</v>
      </c>
    </row>
    <row r="1480" spans="1:4">
      <c r="A1480" s="5">
        <v>1419</v>
      </c>
      <c r="B1480" s="137">
        <f>'Expenditures 15-22'!K237</f>
        <v>192337</v>
      </c>
      <c r="C1480" s="2" t="s">
        <v>594</v>
      </c>
      <c r="D1480" s="2" t="str">
        <f t="shared" si="22"/>
        <v>Error?</v>
      </c>
    </row>
    <row r="1481" spans="1:4">
      <c r="A1481" s="5">
        <v>1420</v>
      </c>
      <c r="B1481" s="137">
        <f>'Expenditures 15-22'!K238</f>
        <v>237309</v>
      </c>
      <c r="C1481" s="2" t="s">
        <v>594</v>
      </c>
      <c r="D1481" s="2" t="str">
        <f t="shared" si="22"/>
        <v>Error?</v>
      </c>
    </row>
    <row r="1482" spans="1:4">
      <c r="A1482" s="5">
        <v>1421</v>
      </c>
      <c r="B1482" s="137">
        <f>'Expenditures 15-22'!K240</f>
        <v>31946</v>
      </c>
      <c r="C1482" s="2" t="s">
        <v>594</v>
      </c>
      <c r="D1482" s="2" t="str">
        <f t="shared" si="22"/>
        <v>Error?</v>
      </c>
    </row>
    <row r="1483" spans="1:4">
      <c r="A1483" s="5">
        <v>1422</v>
      </c>
      <c r="B1483" s="137">
        <f>'Expenditures 15-22'!K241</f>
        <v>15271</v>
      </c>
      <c r="C1483" s="2" t="s">
        <v>594</v>
      </c>
      <c r="D1483" s="2" t="str">
        <f t="shared" si="22"/>
        <v>Error?</v>
      </c>
    </row>
    <row r="1484" spans="1:4">
      <c r="A1484" s="5">
        <v>1423</v>
      </c>
      <c r="B1484" s="137">
        <f>'Expenditures 15-22'!K242</f>
        <v>5</v>
      </c>
      <c r="C1484" s="2" t="s">
        <v>594</v>
      </c>
      <c r="D1484" s="2" t="str">
        <f t="shared" si="22"/>
        <v>Error?</v>
      </c>
    </row>
    <row r="1485" spans="1:4">
      <c r="A1485" s="5">
        <v>1424</v>
      </c>
      <c r="B1485" s="137">
        <f>'Expenditures 15-22'!K243</f>
        <v>47222</v>
      </c>
      <c r="C1485" s="2" t="s">
        <v>594</v>
      </c>
      <c r="D1485" s="2" t="str">
        <f t="shared" si="22"/>
        <v>Error?</v>
      </c>
    </row>
    <row r="1486" spans="1:4">
      <c r="A1486" s="5">
        <v>1425</v>
      </c>
      <c r="B1486" s="137">
        <f>'Expenditures 15-22'!K245</f>
        <v>0</v>
      </c>
      <c r="C1486" s="2" t="s">
        <v>594</v>
      </c>
      <c r="D1486" s="2" t="str">
        <f t="shared" si="22"/>
        <v>Error?</v>
      </c>
    </row>
    <row r="1487" spans="1:4">
      <c r="A1487" s="5">
        <v>1426</v>
      </c>
      <c r="B1487" s="137">
        <f>'Expenditures 15-22'!K246</f>
        <v>17906</v>
      </c>
      <c r="C1487" s="2" t="s">
        <v>594</v>
      </c>
      <c r="D1487" s="2" t="str">
        <f t="shared" si="22"/>
        <v>Error?</v>
      </c>
    </row>
    <row r="1488" spans="1:4">
      <c r="A1488" s="5">
        <v>1427</v>
      </c>
      <c r="B1488" s="137">
        <f>'Expenditures 15-22'!K257</f>
        <v>40176</v>
      </c>
      <c r="C1488" s="2" t="s">
        <v>594</v>
      </c>
      <c r="D1488" s="2" t="str">
        <f t="shared" si="22"/>
        <v>Error?</v>
      </c>
    </row>
    <row r="1489" spans="1:4">
      <c r="A1489" s="5">
        <v>1428</v>
      </c>
      <c r="B1489" s="137">
        <f>'Expenditures 15-22'!K259</f>
        <v>223168</v>
      </c>
      <c r="C1489" s="2" t="s">
        <v>594</v>
      </c>
      <c r="D1489" s="2" t="str">
        <f t="shared" si="22"/>
        <v>Error?</v>
      </c>
    </row>
    <row r="1490" spans="1:4">
      <c r="A1490" s="5">
        <v>1429</v>
      </c>
      <c r="B1490" s="137">
        <f>'Expenditures 15-22'!K260</f>
        <v>14300</v>
      </c>
      <c r="C1490" s="2" t="s">
        <v>594</v>
      </c>
      <c r="D1490" s="2" t="str">
        <f t="shared" si="22"/>
        <v>Error?</v>
      </c>
    </row>
    <row r="1491" spans="1:4">
      <c r="A1491" s="5">
        <v>1430</v>
      </c>
      <c r="B1491" s="137">
        <f>'Expenditures 15-22'!K261</f>
        <v>237468</v>
      </c>
      <c r="C1491" s="2" t="s">
        <v>594</v>
      </c>
      <c r="D1491" s="2" t="str">
        <f t="shared" si="22"/>
        <v>Error?</v>
      </c>
    </row>
    <row r="1492" spans="1:4">
      <c r="A1492" s="5">
        <v>1431</v>
      </c>
      <c r="B1492" s="137">
        <f>'Expenditures 15-22'!K263</f>
        <v>1705</v>
      </c>
      <c r="C1492" s="2" t="s">
        <v>594</v>
      </c>
      <c r="D1492" s="2" t="str">
        <f t="shared" si="22"/>
        <v>Error?</v>
      </c>
    </row>
    <row r="1493" spans="1:4">
      <c r="A1493" s="5">
        <v>1432</v>
      </c>
      <c r="B1493" s="137">
        <f>'Expenditures 15-22'!K264</f>
        <v>36012</v>
      </c>
      <c r="C1493" s="2" t="s">
        <v>594</v>
      </c>
      <c r="D1493" s="2" t="str">
        <f t="shared" si="22"/>
        <v>Error?</v>
      </c>
    </row>
    <row r="1494" spans="1:4">
      <c r="A1494" s="5">
        <v>1433</v>
      </c>
      <c r="B1494" s="137">
        <f>'Expenditures 15-22'!K265</f>
        <v>0</v>
      </c>
      <c r="C1494" s="2" t="s">
        <v>594</v>
      </c>
      <c r="D1494" s="2" t="str">
        <f t="shared" si="22"/>
        <v>Error?</v>
      </c>
    </row>
    <row r="1495" spans="1:4">
      <c r="A1495" s="5">
        <v>1434</v>
      </c>
      <c r="B1495" s="137">
        <f>'Expenditures 15-22'!K266</f>
        <v>385587</v>
      </c>
      <c r="C1495" s="2" t="s">
        <v>594</v>
      </c>
      <c r="D1495" s="2" t="str">
        <f t="shared" si="22"/>
        <v>Error?</v>
      </c>
    </row>
    <row r="1496" spans="1:4">
      <c r="A1496" s="5">
        <v>1435</v>
      </c>
      <c r="B1496" s="137">
        <f>'Expenditures 15-22'!K267</f>
        <v>0</v>
      </c>
      <c r="C1496" s="2" t="s">
        <v>594</v>
      </c>
      <c r="D1496" s="2" t="str">
        <f t="shared" si="22"/>
        <v>Error?</v>
      </c>
    </row>
    <row r="1497" spans="1:4">
      <c r="A1497" s="5">
        <v>1436</v>
      </c>
      <c r="B1497" s="137">
        <f>'Expenditures 15-22'!K268</f>
        <v>176030</v>
      </c>
      <c r="C1497" s="2" t="s">
        <v>594</v>
      </c>
      <c r="D1497" s="2" t="str">
        <f t="shared" si="22"/>
        <v>Error?</v>
      </c>
    </row>
    <row r="1498" spans="1:4">
      <c r="A1498" s="5">
        <v>1437</v>
      </c>
      <c r="B1498" s="137">
        <f>'Expenditures 15-22'!K269</f>
        <v>0</v>
      </c>
      <c r="C1498" s="2" t="s">
        <v>594</v>
      </c>
      <c r="D1498" s="2" t="str">
        <f t="shared" si="22"/>
        <v>Error?</v>
      </c>
    </row>
    <row r="1499" spans="1:4">
      <c r="A1499" s="10">
        <v>1438</v>
      </c>
      <c r="D1499" s="2" t="str">
        <f t="shared" si="22"/>
        <v>OK</v>
      </c>
    </row>
    <row r="1500" spans="1:4">
      <c r="A1500" s="5">
        <v>1439</v>
      </c>
      <c r="B1500" s="137">
        <f>'Expenditures 15-22'!K270</f>
        <v>599334</v>
      </c>
      <c r="C1500" s="2" t="s">
        <v>594</v>
      </c>
      <c r="D1500" s="2" t="str">
        <f t="shared" si="22"/>
        <v>Error?</v>
      </c>
    </row>
    <row r="1501" spans="1:4">
      <c r="A1501" s="5">
        <v>1440</v>
      </c>
      <c r="B1501" s="137">
        <f>'Expenditures 15-22'!K272</f>
        <v>0</v>
      </c>
      <c r="C1501" s="2" t="s">
        <v>594</v>
      </c>
      <c r="D1501" s="2" t="str">
        <f t="shared" si="22"/>
        <v>Error?</v>
      </c>
    </row>
    <row r="1502" spans="1:4">
      <c r="A1502" s="5">
        <v>1441</v>
      </c>
      <c r="B1502" s="137">
        <f>'Expenditures 15-22'!K273</f>
        <v>0</v>
      </c>
      <c r="C1502" s="2" t="s">
        <v>594</v>
      </c>
      <c r="D1502" s="2" t="str">
        <f t="shared" si="22"/>
        <v>Error?</v>
      </c>
    </row>
    <row r="1503" spans="1:4">
      <c r="A1503" s="5">
        <v>1442</v>
      </c>
      <c r="B1503" s="137">
        <f>'Expenditures 15-22'!K274</f>
        <v>468</v>
      </c>
      <c r="C1503" s="2" t="s">
        <v>594</v>
      </c>
      <c r="D1503" s="2" t="str">
        <f t="shared" si="22"/>
        <v>Error?</v>
      </c>
    </row>
    <row r="1504" spans="1:4">
      <c r="A1504" s="5">
        <v>1443</v>
      </c>
      <c r="B1504" s="137">
        <f>'Expenditures 15-22'!K275</f>
        <v>24682</v>
      </c>
      <c r="C1504" s="2" t="s">
        <v>594</v>
      </c>
      <c r="D1504" s="2" t="str">
        <f t="shared" si="22"/>
        <v>Error?</v>
      </c>
    </row>
    <row r="1505" spans="1:4">
      <c r="A1505" s="10">
        <v>1444</v>
      </c>
      <c r="D1505" s="2" t="str">
        <f t="shared" si="22"/>
        <v>OK</v>
      </c>
    </row>
    <row r="1506" spans="1:4">
      <c r="A1506" s="5">
        <v>1445</v>
      </c>
      <c r="B1506" s="137">
        <f>'Expenditures 15-22'!K276</f>
        <v>79312</v>
      </c>
      <c r="C1506" s="2" t="s">
        <v>594</v>
      </c>
      <c r="D1506" s="2" t="str">
        <f t="shared" si="22"/>
        <v>Error?</v>
      </c>
    </row>
    <row r="1507" spans="1:4">
      <c r="A1507" s="10">
        <v>1446</v>
      </c>
      <c r="D1507" s="2" t="str">
        <f t="shared" si="22"/>
        <v>OK</v>
      </c>
    </row>
    <row r="1508" spans="1:4">
      <c r="A1508" s="5">
        <v>1447</v>
      </c>
      <c r="B1508" s="137">
        <f>'Expenditures 15-22'!K277</f>
        <v>104462</v>
      </c>
      <c r="C1508" s="2" t="s">
        <v>594</v>
      </c>
      <c r="D1508" s="2" t="str">
        <f t="shared" si="22"/>
        <v>Error?</v>
      </c>
    </row>
    <row r="1509" spans="1:4">
      <c r="A1509" s="5">
        <v>1448</v>
      </c>
      <c r="B1509" s="137">
        <f>'Expenditures 15-22'!K278</f>
        <v>6939</v>
      </c>
      <c r="C1509" s="2" t="s">
        <v>594</v>
      </c>
      <c r="D1509" s="2" t="str">
        <f t="shared" si="22"/>
        <v>Error?</v>
      </c>
    </row>
    <row r="1510" spans="1:4">
      <c r="A1510" s="5">
        <v>1449</v>
      </c>
      <c r="B1510" s="137">
        <f>'Expenditures 15-22'!K279</f>
        <v>1272910</v>
      </c>
      <c r="C1510" s="2" t="s">
        <v>594</v>
      </c>
      <c r="D1510" s="2" t="str">
        <f t="shared" si="22"/>
        <v>Error?</v>
      </c>
    </row>
    <row r="1511" spans="1:4">
      <c r="A1511" s="5">
        <v>1450</v>
      </c>
      <c r="B1511" s="137">
        <f>'Expenditures 15-22'!K280</f>
        <v>0</v>
      </c>
      <c r="C1511" s="2" t="s">
        <v>594</v>
      </c>
      <c r="D1511" s="2" t="str">
        <f t="shared" si="22"/>
        <v>Error?</v>
      </c>
    </row>
    <row r="1512" spans="1:4">
      <c r="A1512" s="5">
        <v>1451</v>
      </c>
      <c r="B1512" s="137">
        <f>'Expenditures 15-22'!K288</f>
        <v>0</v>
      </c>
      <c r="C1512" s="2" t="s">
        <v>594</v>
      </c>
      <c r="D1512" s="2" t="str">
        <f t="shared" si="22"/>
        <v>Error?</v>
      </c>
    </row>
    <row r="1513" spans="1:4">
      <c r="A1513" s="5">
        <v>1452</v>
      </c>
      <c r="B1513" s="137">
        <f>'Expenditures 15-22'!K289</f>
        <v>0</v>
      </c>
      <c r="C1513" s="2" t="s">
        <v>594</v>
      </c>
      <c r="D1513" s="2" t="str">
        <f t="shared" si="22"/>
        <v>Error?</v>
      </c>
    </row>
    <row r="1514" spans="1:4">
      <c r="A1514" s="5">
        <v>1453</v>
      </c>
      <c r="B1514" s="137">
        <f>'Expenditures 15-22'!K292</f>
        <v>0</v>
      </c>
      <c r="C1514" s="2" t="s">
        <v>594</v>
      </c>
      <c r="D1514" s="2" t="str">
        <f t="shared" si="22"/>
        <v>Error?</v>
      </c>
    </row>
    <row r="1515" spans="1:4">
      <c r="A1515" s="5">
        <v>1454</v>
      </c>
      <c r="B1515" s="137">
        <f>'Expenditures 15-22'!K293</f>
        <v>0</v>
      </c>
      <c r="C1515" s="2" t="s">
        <v>594</v>
      </c>
      <c r="D1515" s="2" t="str">
        <f t="shared" si="22"/>
        <v>Error?</v>
      </c>
    </row>
    <row r="1516" spans="1:4">
      <c r="A1516" s="10">
        <v>1455</v>
      </c>
      <c r="D1516" s="2" t="str">
        <f t="shared" si="22"/>
        <v>OK</v>
      </c>
    </row>
    <row r="1517" spans="1:4">
      <c r="A1517" s="5">
        <v>1456</v>
      </c>
      <c r="B1517" s="137">
        <f>'Expenditures 15-22'!K295</f>
        <v>1937465</v>
      </c>
      <c r="C1517" s="2" t="s">
        <v>594</v>
      </c>
      <c r="D1517" s="2" t="str">
        <f t="shared" si="22"/>
        <v>Error?</v>
      </c>
    </row>
    <row r="1518" spans="1:4">
      <c r="A1518" s="5">
        <v>1457</v>
      </c>
      <c r="B1518" s="137">
        <f>'Expenditures 15-22'!K296</f>
        <v>-879939</v>
      </c>
      <c r="C1518" s="2" t="s">
        <v>594</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594</v>
      </c>
      <c r="D1523" s="2" t="str">
        <f t="shared" si="22"/>
        <v>Error?</v>
      </c>
    </row>
    <row r="1524" spans="1:4">
      <c r="A1524" s="5">
        <v>1463</v>
      </c>
      <c r="B1524" s="137">
        <f>'Expenditures 15-22'!C312</f>
        <v>0</v>
      </c>
      <c r="C1524" s="2" t="s">
        <v>594</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594</v>
      </c>
      <c r="D1529" s="2" t="str">
        <f t="shared" si="22"/>
        <v>Error?</v>
      </c>
    </row>
    <row r="1530" spans="1:4">
      <c r="A1530" s="5">
        <v>1469</v>
      </c>
      <c r="B1530" s="137">
        <f>'Expenditures 15-22'!D312</f>
        <v>0</v>
      </c>
      <c r="C1530" s="2" t="s">
        <v>594</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594</v>
      </c>
      <c r="D1535" s="2" t="str">
        <f t="shared" ref="D1535:D1598" si="23">IF(ISBLANK(B1535),"OK",IF(A1535-B1535=0,"OK","Error?"))</f>
        <v>Error?</v>
      </c>
    </row>
    <row r="1536" spans="1:4">
      <c r="A1536" s="5">
        <v>1475</v>
      </c>
      <c r="B1536" s="137">
        <f>'Expenditures 15-22'!E312</f>
        <v>0</v>
      </c>
      <c r="C1536" s="2" t="s">
        <v>594</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594</v>
      </c>
      <c r="D1541" s="2" t="str">
        <f t="shared" si="23"/>
        <v>Error?</v>
      </c>
    </row>
    <row r="1542" spans="1:4">
      <c r="A1542" s="5">
        <v>1481</v>
      </c>
      <c r="B1542" s="137">
        <f>'Expenditures 15-22'!F312</f>
        <v>0</v>
      </c>
      <c r="C1542" s="2" t="s">
        <v>594</v>
      </c>
      <c r="D1542" s="2" t="str">
        <f t="shared" si="23"/>
        <v>Error?</v>
      </c>
    </row>
    <row r="1543" spans="1:4">
      <c r="A1543" s="5">
        <v>1482</v>
      </c>
      <c r="B1543" s="137">
        <f>'Expenditures 15-22'!G301</f>
        <v>2636</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2636</v>
      </c>
      <c r="C1547" s="2" t="s">
        <v>594</v>
      </c>
      <c r="D1547" s="2" t="str">
        <f t="shared" si="23"/>
        <v>Error?</v>
      </c>
    </row>
    <row r="1548" spans="1:4">
      <c r="A1548" s="5">
        <v>1487</v>
      </c>
      <c r="B1548" s="137">
        <f>'Expenditures 15-22'!G312</f>
        <v>2636</v>
      </c>
      <c r="C1548" s="2" t="s">
        <v>594</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594</v>
      </c>
      <c r="D1553" s="2" t="str">
        <f t="shared" si="23"/>
        <v>Error?</v>
      </c>
    </row>
    <row r="1554" spans="1:4">
      <c r="A1554" s="5">
        <v>1493</v>
      </c>
      <c r="B1554" s="137">
        <f>'Expenditures 15-22'!H312</f>
        <v>0</v>
      </c>
      <c r="C1554" s="2" t="s">
        <v>594</v>
      </c>
      <c r="D1554" s="2" t="str">
        <f t="shared" si="23"/>
        <v>Error?</v>
      </c>
    </row>
    <row r="1555" spans="1:4">
      <c r="A1555" s="5">
        <v>1494</v>
      </c>
      <c r="B1555" s="137">
        <f>'Expenditures 15-22'!K301</f>
        <v>2636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594</v>
      </c>
      <c r="D1558" s="2" t="str">
        <f t="shared" si="23"/>
        <v>Error?</v>
      </c>
    </row>
    <row r="1559" spans="1:4">
      <c r="A1559" s="5">
        <v>1498</v>
      </c>
      <c r="B1559" s="137">
        <f>'Expenditures 15-22'!K303</f>
        <v>2636</v>
      </c>
      <c r="C1559" s="2" t="s">
        <v>594</v>
      </c>
      <c r="D1559" s="2" t="str">
        <f t="shared" si="23"/>
        <v>Error?</v>
      </c>
    </row>
    <row r="1560" spans="1:4">
      <c r="A1560" s="5">
        <v>1499</v>
      </c>
      <c r="B1560" s="137">
        <f>'Expenditures 15-22'!K312</f>
        <v>2636</v>
      </c>
      <c r="C1560" s="2" t="s">
        <v>594</v>
      </c>
      <c r="D1560" s="2" t="str">
        <f t="shared" si="23"/>
        <v>Error?</v>
      </c>
    </row>
    <row r="1561" spans="1:4">
      <c r="A1561" s="5">
        <v>1500</v>
      </c>
      <c r="B1561" s="137">
        <f>'Expenditures 15-22'!K313</f>
        <v>33387</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17100068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21249725</v>
      </c>
      <c r="C1630" s="2" t="s">
        <v>594</v>
      </c>
      <c r="D1630" s="2" t="str">
        <f t="shared" si="24"/>
        <v>Error?</v>
      </c>
    </row>
    <row r="1631" spans="1:4">
      <c r="A1631" s="5">
        <v>1570</v>
      </c>
      <c r="B1631" s="137">
        <f>'Acct Summary 7-8'!D79</f>
        <v>4390534</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3684278</v>
      </c>
      <c r="C1644" s="2" t="s">
        <v>594</v>
      </c>
      <c r="D1644" s="2" t="str">
        <f t="shared" si="24"/>
        <v>Error?</v>
      </c>
    </row>
    <row r="1645" spans="1:4">
      <c r="A1645" s="5">
        <v>1584</v>
      </c>
      <c r="B1645" s="137">
        <f>'Acct Summary 7-8'!E79</f>
        <v>3877995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3554796</v>
      </c>
      <c r="C1658" s="2" t="s">
        <v>594</v>
      </c>
      <c r="D1658" s="2" t="str">
        <f t="shared" si="24"/>
        <v>Error?</v>
      </c>
    </row>
    <row r="1659" spans="1:4">
      <c r="A1659" s="5">
        <v>1598</v>
      </c>
      <c r="B1659" s="137">
        <f>'Acct Summary 7-8'!F79</f>
        <v>5507393</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4201800</v>
      </c>
      <c r="C1672" s="2" t="s">
        <v>594</v>
      </c>
      <c r="D1672" s="2" t="str">
        <f t="shared" si="25"/>
        <v>Error?</v>
      </c>
    </row>
    <row r="1673" spans="1:4">
      <c r="A1673" s="5">
        <v>1612</v>
      </c>
      <c r="B1673" s="137">
        <f>'Acct Summary 7-8'!G79</f>
        <v>1226999</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347060</v>
      </c>
      <c r="C1686" s="2" t="s">
        <v>594</v>
      </c>
      <c r="D1686" s="2" t="str">
        <f t="shared" si="25"/>
        <v>Error?</v>
      </c>
    </row>
    <row r="1687" spans="1:4">
      <c r="A1687" s="5">
        <v>1626</v>
      </c>
      <c r="B1687" s="137">
        <f>'Acct Summary 7-8'!H79</f>
        <v>2360348</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2393735</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31605552</v>
      </c>
      <c r="C1744" s="2" t="s">
        <v>594</v>
      </c>
      <c r="D1744" s="2" t="str">
        <f t="shared" si="26"/>
        <v>Error?</v>
      </c>
    </row>
    <row r="1745" spans="1:5">
      <c r="A1745" s="5">
        <v>1684</v>
      </c>
      <c r="B1745" s="137">
        <f>'Tax Sched 23'!B5</f>
        <v>4344147</v>
      </c>
      <c r="C1745" s="2" t="s">
        <v>594</v>
      </c>
      <c r="D1745" s="2" t="str">
        <f t="shared" si="26"/>
        <v>Error?</v>
      </c>
    </row>
    <row r="1746" spans="1:5">
      <c r="A1746" s="5">
        <v>1685</v>
      </c>
      <c r="B1746" s="137">
        <f>'Tax Sched 23'!B6</f>
        <v>4319168</v>
      </c>
      <c r="C1746" s="2" t="s">
        <v>594</v>
      </c>
      <c r="D1746" s="2" t="str">
        <f t="shared" si="26"/>
        <v>Error?</v>
      </c>
    </row>
    <row r="1747" spans="1:5">
      <c r="A1747" s="5">
        <v>1686</v>
      </c>
      <c r="B1747" s="137">
        <f>'Tax Sched 23'!B7</f>
        <v>3203586</v>
      </c>
      <c r="C1747" s="2" t="s">
        <v>594</v>
      </c>
      <c r="D1747" s="2" t="str">
        <f t="shared" si="26"/>
        <v>Error?</v>
      </c>
    </row>
    <row r="1748" spans="1:5">
      <c r="A1748" s="5">
        <v>1687</v>
      </c>
      <c r="B1748" s="137">
        <f>'Tax Sched 23'!B8</f>
        <v>458482</v>
      </c>
      <c r="C1748" s="2" t="s">
        <v>594</v>
      </c>
      <c r="D1748" s="2" t="str">
        <f t="shared" si="26"/>
        <v>Error?</v>
      </c>
    </row>
    <row r="1749" spans="1:5">
      <c r="A1749" s="5">
        <v>1688</v>
      </c>
      <c r="B1749" s="137">
        <f>'Tax Sched 23'!B10</f>
        <v>394918</v>
      </c>
      <c r="C1749" s="2" t="s">
        <v>594</v>
      </c>
      <c r="D1749" s="2" t="str">
        <f t="shared" si="26"/>
        <v>Error?</v>
      </c>
    </row>
    <row r="1750" spans="1:5">
      <c r="A1750" s="10">
        <v>1689</v>
      </c>
      <c r="D1750" s="2" t="str">
        <f t="shared" si="26"/>
        <v>OK</v>
      </c>
      <c r="E1750" s="2" t="s">
        <v>196</v>
      </c>
    </row>
    <row r="1751" spans="1:5">
      <c r="A1751" s="5">
        <v>1690</v>
      </c>
      <c r="B1751" s="137">
        <f>'Tax Sched 23'!B9</f>
        <v>0</v>
      </c>
      <c r="C1751" s="2" t="s">
        <v>594</v>
      </c>
      <c r="D1751" s="2" t="str">
        <f t="shared" si="26"/>
        <v>Error?</v>
      </c>
    </row>
    <row r="1752" spans="1:5">
      <c r="A1752" s="5">
        <v>1691</v>
      </c>
      <c r="B1752" s="137">
        <f>'Tax Sched 23'!B11</f>
        <v>1955476</v>
      </c>
      <c r="C1752" s="2" t="s">
        <v>594</v>
      </c>
      <c r="D1752" s="2" t="str">
        <f t="shared" si="26"/>
        <v>Error?</v>
      </c>
    </row>
    <row r="1753" spans="1:5">
      <c r="A1753" s="5">
        <v>1692</v>
      </c>
      <c r="B1753" s="137">
        <f>'Tax Sched 23'!B12</f>
        <v>362400</v>
      </c>
      <c r="C1753" s="2" t="s">
        <v>594</v>
      </c>
      <c r="D1753" s="2" t="str">
        <f t="shared" si="26"/>
        <v>Error?</v>
      </c>
    </row>
    <row r="1754" spans="1:5">
      <c r="A1754" s="5">
        <v>1693</v>
      </c>
      <c r="B1754" s="137">
        <f>'Tax Sched 23'!B14</f>
        <v>3175665</v>
      </c>
      <c r="C1754" s="2" t="s">
        <v>594</v>
      </c>
      <c r="D1754" s="2" t="str">
        <f t="shared" si="26"/>
        <v>Error?</v>
      </c>
    </row>
    <row r="1755" spans="1:5">
      <c r="A1755" s="10">
        <v>1694</v>
      </c>
      <c r="D1755" s="2" t="str">
        <f t="shared" si="26"/>
        <v>OK</v>
      </c>
    </row>
    <row r="1756" spans="1:5">
      <c r="A1756" s="5">
        <v>1695</v>
      </c>
      <c r="B1756" s="137">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7">
        <f>'Tax Sched 23'!B19</f>
        <v>50509552</v>
      </c>
      <c r="C1759" s="2" t="s">
        <v>594</v>
      </c>
      <c r="D1759" s="2" t="str">
        <f t="shared" si="26"/>
        <v>Error?</v>
      </c>
    </row>
    <row r="1760" spans="1:5">
      <c r="A1760" s="5">
        <v>1699</v>
      </c>
      <c r="B1760" s="137">
        <f>'Tax Sched 23'!D4</f>
        <v>13478399</v>
      </c>
      <c r="C1760" s="2" t="s">
        <v>594</v>
      </c>
      <c r="D1760" s="2" t="str">
        <f t="shared" si="26"/>
        <v>Error?</v>
      </c>
    </row>
    <row r="1761" spans="1:5">
      <c r="A1761" s="5">
        <v>1700</v>
      </c>
      <c r="B1761" s="137">
        <f>'Tax Sched 23'!D5</f>
        <v>2090784</v>
      </c>
      <c r="C1761" s="2" t="s">
        <v>594</v>
      </c>
      <c r="D1761" s="2" t="str">
        <f t="shared" si="26"/>
        <v>Error?</v>
      </c>
    </row>
    <row r="1762" spans="1:5" s="8" customFormat="1">
      <c r="A1762" s="5">
        <v>1701</v>
      </c>
      <c r="B1762" s="137">
        <f>'Tax Sched 23'!D6</f>
        <v>2105816</v>
      </c>
      <c r="C1762" s="2" t="s">
        <v>594</v>
      </c>
      <c r="D1762" s="2" t="str">
        <f t="shared" si="26"/>
        <v>Error?</v>
      </c>
      <c r="E1762" s="9"/>
    </row>
    <row r="1763" spans="1:5">
      <c r="A1763" s="5">
        <v>1702</v>
      </c>
      <c r="B1763" s="137">
        <f>'Tax Sched 23'!D7</f>
        <v>2825461</v>
      </c>
      <c r="C1763" s="2" t="s">
        <v>594</v>
      </c>
      <c r="D1763" s="2" t="str">
        <f t="shared" si="26"/>
        <v>Error?</v>
      </c>
    </row>
    <row r="1764" spans="1:5">
      <c r="A1764" s="5">
        <v>1703</v>
      </c>
      <c r="B1764" s="137">
        <f>'Tax Sched 23'!D8</f>
        <v>338889</v>
      </c>
      <c r="C1764" s="2" t="s">
        <v>594</v>
      </c>
      <c r="D1764" s="2" t="str">
        <f t="shared" si="26"/>
        <v>Error?</v>
      </c>
    </row>
    <row r="1765" spans="1:5">
      <c r="A1765" s="5">
        <v>1704</v>
      </c>
      <c r="B1765" s="137">
        <f>'Tax Sched 23'!D10</f>
        <v>190027</v>
      </c>
      <c r="C1765" s="2" t="s">
        <v>594</v>
      </c>
      <c r="D1765" s="2" t="str">
        <f t="shared" si="26"/>
        <v>Error?</v>
      </c>
    </row>
    <row r="1766" spans="1:5">
      <c r="A1766" s="10">
        <v>1705</v>
      </c>
      <c r="C1766" s="2" t="s">
        <v>594</v>
      </c>
      <c r="D1766" s="2" t="str">
        <f t="shared" si="26"/>
        <v>OK</v>
      </c>
    </row>
    <row r="1767" spans="1:5">
      <c r="A1767" s="5">
        <v>1706</v>
      </c>
      <c r="B1767" s="137">
        <f>'Tax Sched 23'!D9</f>
        <v>0</v>
      </c>
      <c r="C1767" s="2" t="s">
        <v>594</v>
      </c>
      <c r="D1767" s="2" t="str">
        <f t="shared" si="26"/>
        <v>Error?</v>
      </c>
    </row>
    <row r="1768" spans="1:5">
      <c r="A1768" s="5">
        <v>1707</v>
      </c>
      <c r="B1768" s="137">
        <f>'Tax Sched 23'!D11</f>
        <v>1024232</v>
      </c>
      <c r="C1768" s="2" t="s">
        <v>594</v>
      </c>
      <c r="D1768" s="2" t="str">
        <f t="shared" si="26"/>
        <v>Error?</v>
      </c>
    </row>
    <row r="1769" spans="1:5">
      <c r="A1769" s="5">
        <v>1708</v>
      </c>
      <c r="B1769" s="137">
        <f>'Tax Sched 23'!D12</f>
        <v>362400</v>
      </c>
      <c r="C1769" s="2" t="s">
        <v>594</v>
      </c>
      <c r="D1769" s="2" t="str">
        <f t="shared" si="26"/>
        <v>Error?</v>
      </c>
    </row>
    <row r="1770" spans="1:5">
      <c r="A1770" s="5">
        <v>1709</v>
      </c>
      <c r="B1770" s="137">
        <f>'Tax Sched 23'!D14</f>
        <v>1536975</v>
      </c>
      <c r="C1770" s="2" t="s">
        <v>594</v>
      </c>
      <c r="D1770" s="2" t="str">
        <f t="shared" si="26"/>
        <v>Error?</v>
      </c>
    </row>
    <row r="1771" spans="1:5">
      <c r="A1771" s="10">
        <v>1710</v>
      </c>
      <c r="D1771" s="2" t="str">
        <f t="shared" si="26"/>
        <v>OK</v>
      </c>
    </row>
    <row r="1772" spans="1:5">
      <c r="A1772" s="5">
        <v>1711</v>
      </c>
      <c r="B1772" s="137">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7">
        <f>'Tax Sched 23'!D19</f>
        <v>24498046</v>
      </c>
      <c r="C1775" s="2" t="s">
        <v>594</v>
      </c>
      <c r="D1775" s="2" t="str">
        <f t="shared" si="26"/>
        <v>Error?</v>
      </c>
    </row>
    <row r="1776" spans="1:5">
      <c r="A1776" s="5">
        <v>1715</v>
      </c>
      <c r="B1776" s="137">
        <f>'Tax Sched 23'!C4</f>
        <v>18127153</v>
      </c>
      <c r="D1776" s="2" t="str">
        <f t="shared" si="26"/>
        <v>Error?</v>
      </c>
    </row>
    <row r="1777" spans="1:4">
      <c r="A1777" s="5">
        <v>1716</v>
      </c>
      <c r="B1777" s="137">
        <f>'Tax Sched 23'!C5</f>
        <v>2253363</v>
      </c>
      <c r="D1777" s="2" t="str">
        <f t="shared" si="26"/>
        <v>Error?</v>
      </c>
    </row>
    <row r="1778" spans="1:4">
      <c r="A1778" s="5">
        <v>1717</v>
      </c>
      <c r="B1778" s="137">
        <f>'Tax Sched 23'!C6</f>
        <v>2213352</v>
      </c>
      <c r="D1778" s="2" t="str">
        <f t="shared" si="26"/>
        <v>Error?</v>
      </c>
    </row>
    <row r="1779" spans="1:4">
      <c r="A1779" s="5">
        <v>1718</v>
      </c>
      <c r="B1779" s="137">
        <f>'Tax Sched 23'!C7</f>
        <v>378125</v>
      </c>
      <c r="D1779" s="2" t="str">
        <f t="shared" si="26"/>
        <v>Error?</v>
      </c>
    </row>
    <row r="1780" spans="1:4">
      <c r="A1780" s="5">
        <v>1719</v>
      </c>
      <c r="B1780" s="137">
        <f>'Tax Sched 23'!C8</f>
        <v>119593</v>
      </c>
      <c r="D1780" s="2" t="str">
        <f t="shared" si="26"/>
        <v>Error?</v>
      </c>
    </row>
    <row r="1781" spans="1:4">
      <c r="A1781" s="5">
        <v>1720</v>
      </c>
      <c r="B1781" s="137">
        <f>'Tax Sched 23'!C10</f>
        <v>204891</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931244</v>
      </c>
      <c r="D1784" s="2" t="str">
        <f t="shared" si="26"/>
        <v>Error?</v>
      </c>
    </row>
    <row r="1785" spans="1:4">
      <c r="A1785" s="5">
        <v>1724</v>
      </c>
      <c r="B1785" s="137">
        <f>'Tax Sched 23'!C12</f>
        <v>0</v>
      </c>
      <c r="D1785" s="2" t="str">
        <f t="shared" si="26"/>
        <v>Error?</v>
      </c>
    </row>
    <row r="1786" spans="1:4">
      <c r="A1786" s="5">
        <v>1725</v>
      </c>
      <c r="B1786" s="137">
        <f>'Tax Sched 23'!C14</f>
        <v>1638690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26011506</v>
      </c>
      <c r="C1791" s="2" t="s">
        <v>594</v>
      </c>
      <c r="D1791" s="2" t="str">
        <f t="shared" ref="D1791:D1854" si="27">IF(ISBLANK(B1791),"OK",IF(A1791-B1791=0,"OK","Error?"))</f>
        <v>Error?</v>
      </c>
    </row>
    <row r="1792" spans="1:4">
      <c r="A1792" s="5">
        <v>1731</v>
      </c>
      <c r="B1792" s="137">
        <f>'Tax Sched 23'!F4</f>
        <v>22746608</v>
      </c>
      <c r="C1792" s="2" t="s">
        <v>594</v>
      </c>
      <c r="D1792" s="2" t="str">
        <f t="shared" si="27"/>
        <v>Error?</v>
      </c>
    </row>
    <row r="1793" spans="1:4">
      <c r="A1793" s="5">
        <v>1732</v>
      </c>
      <c r="B1793" s="137">
        <f>'Tax Sched 23'!F5</f>
        <v>2827501</v>
      </c>
      <c r="C1793" s="2" t="s">
        <v>594</v>
      </c>
      <c r="D1793" s="2" t="str">
        <f t="shared" si="27"/>
        <v>Error?</v>
      </c>
    </row>
    <row r="1794" spans="1:4">
      <c r="A1794" s="5">
        <v>1733</v>
      </c>
      <c r="B1794" s="137">
        <f>'Tax Sched 23'!F6</f>
        <v>2777503</v>
      </c>
      <c r="C1794" s="2" t="s">
        <v>594</v>
      </c>
      <c r="D1794" s="2" t="str">
        <f t="shared" si="27"/>
        <v>Error?</v>
      </c>
    </row>
    <row r="1795" spans="1:4">
      <c r="A1795" s="5">
        <v>1734</v>
      </c>
      <c r="B1795" s="137">
        <f>'Tax Sched 23'!F7</f>
        <v>474153</v>
      </c>
      <c r="C1795" s="2" t="s">
        <v>594</v>
      </c>
      <c r="D1795" s="2" t="str">
        <f t="shared" si="27"/>
        <v>Error?</v>
      </c>
    </row>
    <row r="1796" spans="1:4">
      <c r="A1796" s="5">
        <v>1735</v>
      </c>
      <c r="B1796" s="137">
        <f>'Tax Sched 23'!F8</f>
        <v>150296</v>
      </c>
      <c r="C1796" s="2" t="s">
        <v>594</v>
      </c>
      <c r="D1796" s="2" t="str">
        <f t="shared" si="27"/>
        <v>Error?</v>
      </c>
    </row>
    <row r="1797" spans="1:4">
      <c r="A1797" s="5">
        <v>1736</v>
      </c>
      <c r="B1797" s="137">
        <f>'Tax Sched 23'!F10</f>
        <v>257006</v>
      </c>
      <c r="C1797" s="2" t="s">
        <v>594</v>
      </c>
      <c r="D1797" s="2" t="str">
        <f t="shared" si="27"/>
        <v>Error?</v>
      </c>
    </row>
    <row r="1798" spans="1:4">
      <c r="A1798" s="10">
        <v>1737</v>
      </c>
      <c r="C1798" s="2" t="s">
        <v>594</v>
      </c>
      <c r="D1798" s="2" t="str">
        <f t="shared" si="27"/>
        <v>OK</v>
      </c>
    </row>
    <row r="1799" spans="1:4">
      <c r="A1799" s="5">
        <v>1738</v>
      </c>
      <c r="B1799" s="137">
        <f>'Tax Sched 23'!F9</f>
        <v>0</v>
      </c>
      <c r="C1799" s="2" t="s">
        <v>594</v>
      </c>
      <c r="D1799" s="2" t="str">
        <f t="shared" si="27"/>
        <v>Error?</v>
      </c>
    </row>
    <row r="1800" spans="1:4">
      <c r="A1800" s="5">
        <v>1739</v>
      </c>
      <c r="B1800" s="137">
        <f>'Tax Sched 23'!F11</f>
        <v>1168756</v>
      </c>
      <c r="C1800" s="2" t="s">
        <v>594</v>
      </c>
      <c r="D1800" s="2" t="str">
        <f t="shared" si="27"/>
        <v>Error?</v>
      </c>
    </row>
    <row r="1801" spans="1:4">
      <c r="A1801" s="5">
        <v>1740</v>
      </c>
      <c r="B1801" s="137">
        <f>'Tax Sched 23'!F12</f>
        <v>0</v>
      </c>
      <c r="C1801" s="2" t="s">
        <v>594</v>
      </c>
      <c r="D1801" s="2" t="str">
        <f t="shared" si="27"/>
        <v>Error?</v>
      </c>
    </row>
    <row r="1802" spans="1:4">
      <c r="A1802" s="5">
        <v>1741</v>
      </c>
      <c r="B1802" s="137">
        <f>'Tax Sched 23'!F14</f>
        <v>2056484</v>
      </c>
      <c r="C1802" s="2" t="s">
        <v>594</v>
      </c>
      <c r="D1802" s="2" t="str">
        <f t="shared" si="27"/>
        <v>Error?</v>
      </c>
    </row>
    <row r="1803" spans="1:4">
      <c r="A1803" s="10">
        <v>1742</v>
      </c>
      <c r="D1803" s="2" t="str">
        <f t="shared" si="27"/>
        <v>OK</v>
      </c>
    </row>
    <row r="1804" spans="1:4">
      <c r="A1804" s="5">
        <v>1743</v>
      </c>
      <c r="B1804" s="137">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7">
        <f>'Tax Sched 23'!F19</f>
        <v>32639919</v>
      </c>
      <c r="C1807" s="2" t="s">
        <v>594</v>
      </c>
      <c r="D1807" s="2" t="str">
        <f t="shared" si="27"/>
        <v>Error?</v>
      </c>
    </row>
    <row r="1808" spans="1:4">
      <c r="A1808" s="5">
        <v>1747</v>
      </c>
      <c r="B1808" s="137">
        <f>'Tax Sched 23'!E4</f>
        <v>40873761</v>
      </c>
      <c r="D1808" s="2" t="str">
        <f t="shared" si="27"/>
        <v>Error?</v>
      </c>
    </row>
    <row r="1809" spans="1:4">
      <c r="A1809" s="5">
        <v>1748</v>
      </c>
      <c r="B1809" s="137">
        <f>'Tax Sched 23'!E5</f>
        <v>5080864</v>
      </c>
      <c r="D1809" s="2" t="str">
        <f t="shared" si="27"/>
        <v>Error?</v>
      </c>
    </row>
    <row r="1810" spans="1:4">
      <c r="A1810" s="5">
        <v>1749</v>
      </c>
      <c r="B1810" s="137">
        <f>'Tax Sched 23'!E6</f>
        <v>4990855</v>
      </c>
      <c r="D1810" s="2" t="str">
        <f t="shared" si="27"/>
        <v>Error?</v>
      </c>
    </row>
    <row r="1811" spans="1:4">
      <c r="A1811" s="5">
        <v>1750</v>
      </c>
      <c r="B1811" s="137">
        <f>'Tax Sched 23'!E7</f>
        <v>852278</v>
      </c>
      <c r="D1811" s="2" t="str">
        <f t="shared" si="27"/>
        <v>Error?</v>
      </c>
    </row>
    <row r="1812" spans="1:4">
      <c r="A1812" s="5">
        <v>1751</v>
      </c>
      <c r="B1812" s="137">
        <f>'Tax Sched 23'!E8</f>
        <v>269889</v>
      </c>
      <c r="D1812" s="2" t="str">
        <f t="shared" si="27"/>
        <v>Error?</v>
      </c>
    </row>
    <row r="1813" spans="1:4">
      <c r="A1813" s="5">
        <v>1752</v>
      </c>
      <c r="B1813" s="137">
        <f>'Tax Sched 23'!E10</f>
        <v>461897</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2100000</v>
      </c>
      <c r="D1816" s="2" t="str">
        <f t="shared" si="27"/>
        <v>Error?</v>
      </c>
    </row>
    <row r="1817" spans="1:4">
      <c r="A1817" s="5">
        <v>1756</v>
      </c>
      <c r="B1817" s="137">
        <f>'Tax Sched 23'!E12</f>
        <v>0</v>
      </c>
      <c r="D1817" s="2" t="str">
        <f t="shared" si="27"/>
        <v>Error?</v>
      </c>
    </row>
    <row r="1818" spans="1:4">
      <c r="A1818" s="5">
        <v>1757</v>
      </c>
      <c r="B1818" s="137">
        <f>'Tax Sched 23'!E14</f>
        <v>3695174</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58651425</v>
      </c>
      <c r="C1823" s="2" t="s">
        <v>594</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594</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594</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594</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594</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594</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594</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594</v>
      </c>
      <c r="D1867" s="2" t="str">
        <f t="shared" si="28"/>
        <v>Error?</v>
      </c>
    </row>
    <row r="1868" spans="1:4">
      <c r="A1868" s="5">
        <v>1807</v>
      </c>
      <c r="B1868" s="137">
        <f>'Short-Term Long-Term Debt 24'!F7</f>
        <v>0</v>
      </c>
      <c r="C1868" s="2" t="s">
        <v>594</v>
      </c>
      <c r="D1868" s="2" t="str">
        <f t="shared" si="28"/>
        <v>Error?</v>
      </c>
    </row>
    <row r="1869" spans="1:4">
      <c r="A1869" s="5">
        <v>1808</v>
      </c>
      <c r="B1869" s="137">
        <f>'Short-Term Long-Term Debt 24'!F12</f>
        <v>0</v>
      </c>
      <c r="C1869" s="2" t="s">
        <v>594</v>
      </c>
      <c r="D1869" s="2" t="str">
        <f t="shared" si="28"/>
        <v>Error?</v>
      </c>
    </row>
    <row r="1870" spans="1:4">
      <c r="A1870" s="5">
        <v>1809</v>
      </c>
      <c r="B1870" s="137">
        <f>'Short-Term Long-Term Debt 24'!F11</f>
        <v>0</v>
      </c>
      <c r="C1870" s="2" t="s">
        <v>594</v>
      </c>
      <c r="D1870" s="2" t="str">
        <f t="shared" si="28"/>
        <v>Error?</v>
      </c>
    </row>
    <row r="1871" spans="1:4">
      <c r="A1871" s="5">
        <v>1810</v>
      </c>
      <c r="B1871" s="137">
        <f>'Short-Term Long-Term Debt 24'!F8</f>
        <v>0</v>
      </c>
      <c r="C1871" s="2" t="s">
        <v>594</v>
      </c>
      <c r="D1871" s="2" t="str">
        <f t="shared" si="28"/>
        <v>Error?</v>
      </c>
    </row>
    <row r="1872" spans="1:4">
      <c r="A1872" s="5">
        <v>1811</v>
      </c>
      <c r="B1872" s="137">
        <f>'Short-Term Long-Term Debt 24'!F9</f>
        <v>0</v>
      </c>
      <c r="C1872" s="2" t="s">
        <v>594</v>
      </c>
      <c r="D1872" s="2" t="str">
        <f t="shared" si="28"/>
        <v>Error?</v>
      </c>
    </row>
    <row r="1873" spans="1:4">
      <c r="A1873" s="5">
        <v>1812</v>
      </c>
      <c r="B1873" s="137">
        <f>'Short-Term Long-Term Debt 24'!F10</f>
        <v>0</v>
      </c>
      <c r="C1873" s="2" t="s">
        <v>594</v>
      </c>
      <c r="D1873" s="2" t="str">
        <f t="shared" si="28"/>
        <v>Error?</v>
      </c>
    </row>
    <row r="1874" spans="1:4">
      <c r="A1874" s="5">
        <v>1813</v>
      </c>
      <c r="B1874" s="137">
        <f>'Short-Term Long-Term Debt 24'!F14</f>
        <v>0</v>
      </c>
      <c r="C1874" s="2" t="s">
        <v>594</v>
      </c>
      <c r="D1874" s="2" t="str">
        <f t="shared" si="28"/>
        <v>Error?</v>
      </c>
    </row>
    <row r="1875" spans="1:4">
      <c r="A1875" s="5">
        <v>1814</v>
      </c>
      <c r="B1875" s="137">
        <f>'Short-Term Long-Term Debt 24'!F15</f>
        <v>0</v>
      </c>
      <c r="C1875" s="2" t="s">
        <v>594</v>
      </c>
      <c r="D1875" s="2" t="str">
        <f t="shared" si="28"/>
        <v>Error?</v>
      </c>
    </row>
    <row r="1876" spans="1:4">
      <c r="A1876" s="5">
        <v>1815</v>
      </c>
      <c r="B1876" s="137">
        <f>'Short-Term Long-Term Debt 24'!F17</f>
        <v>0</v>
      </c>
      <c r="C1876" s="2" t="s">
        <v>594</v>
      </c>
      <c r="D1876" s="2" t="str">
        <f t="shared" si="28"/>
        <v>Error?</v>
      </c>
    </row>
    <row r="1877" spans="1:4">
      <c r="A1877" s="5">
        <v>1816</v>
      </c>
      <c r="B1877" s="137">
        <f>'Short-Term Long-Term Debt 24'!F18</f>
        <v>0</v>
      </c>
      <c r="C1877" s="2" t="s">
        <v>594</v>
      </c>
      <c r="D1877" s="2" t="str">
        <f t="shared" si="28"/>
        <v>Error?</v>
      </c>
    </row>
    <row r="1878" spans="1:4">
      <c r="A1878" s="5">
        <v>1817</v>
      </c>
      <c r="B1878" s="137">
        <f>'Short-Term Long-Term Debt 24'!F20</f>
        <v>0</v>
      </c>
      <c r="C1878" s="2" t="s">
        <v>594</v>
      </c>
      <c r="D1878" s="2" t="str">
        <f t="shared" si="28"/>
        <v>Error?</v>
      </c>
    </row>
    <row r="1879" spans="1:4">
      <c r="A1879" s="5">
        <v>1818</v>
      </c>
      <c r="B1879" s="137">
        <f>'Short-Term Long-Term Debt 24'!F21</f>
        <v>0</v>
      </c>
      <c r="C1879" s="2" t="s">
        <v>594</v>
      </c>
      <c r="D1879" s="2" t="str">
        <f t="shared" si="28"/>
        <v>Error?</v>
      </c>
    </row>
    <row r="1880" spans="1:4">
      <c r="A1880" s="5">
        <v>1819</v>
      </c>
      <c r="B1880" s="137">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32761916</v>
      </c>
      <c r="C1939" s="2" t="s">
        <v>594</v>
      </c>
      <c r="D1939" s="2" t="str">
        <f t="shared" si="29"/>
        <v>Error?</v>
      </c>
    </row>
    <row r="1940" spans="1:5">
      <c r="A1940" s="5">
        <v>1879</v>
      </c>
      <c r="B1940" s="137">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137</v>
      </c>
    </row>
    <row r="1953" spans="1:5">
      <c r="A1953" s="5">
        <v>1892</v>
      </c>
      <c r="B1953" s="137">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594</v>
      </c>
      <c r="D1957" s="2" t="str">
        <f t="shared" si="29"/>
        <v>Error?</v>
      </c>
    </row>
    <row r="1958" spans="1:5">
      <c r="A1958" s="5">
        <v>1897</v>
      </c>
      <c r="B1958" s="137">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3175665</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7">
        <f>'Rest Tax Levies-Tort Im 25'!H12</f>
        <v>3175665</v>
      </c>
      <c r="C1977" s="2" t="s">
        <v>594</v>
      </c>
      <c r="D1977" s="2" t="str">
        <f t="shared" si="29"/>
        <v>Error?</v>
      </c>
    </row>
    <row r="1978" spans="1:5">
      <c r="A1978" s="10">
        <v>1917</v>
      </c>
      <c r="C1978" s="2" t="s">
        <v>594</v>
      </c>
      <c r="D1978" s="2" t="str">
        <f t="shared" si="29"/>
        <v>OK</v>
      </c>
      <c r="E1978" s="2" t="s">
        <v>137</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137</v>
      </c>
    </row>
    <row r="1982" spans="1:5">
      <c r="A1982" s="5">
        <v>1921</v>
      </c>
      <c r="B1982" s="137">
        <f>'Rest Tax Levies-Tort Im 25'!H23</f>
        <v>3175665</v>
      </c>
      <c r="C1982" s="2" t="s">
        <v>594</v>
      </c>
      <c r="D1982" s="2" t="str">
        <f t="shared" si="29"/>
        <v>Error?</v>
      </c>
    </row>
    <row r="1983" spans="1:5">
      <c r="A1983" s="5">
        <v>1922</v>
      </c>
      <c r="B1983" s="137">
        <f>'Rest Tax Levies-Tort Im 25'!H24</f>
        <v>0</v>
      </c>
      <c r="C1983" s="2" t="s">
        <v>594</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137</v>
      </c>
    </row>
    <row r="1990" spans="1:5">
      <c r="A1990" s="5">
        <v>1929</v>
      </c>
      <c r="B1990" s="137">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137</v>
      </c>
    </row>
    <row r="1995" spans="1:5">
      <c r="A1995" s="5">
        <v>1934</v>
      </c>
      <c r="B1995" s="137">
        <f>'Rest Tax Levies-Tort Im 25'!I23</f>
        <v>0</v>
      </c>
      <c r="C1995" s="2" t="s">
        <v>594</v>
      </c>
      <c r="D1995" s="2" t="str">
        <f t="shared" si="30"/>
        <v>Error?</v>
      </c>
    </row>
    <row r="1996" spans="1:5">
      <c r="A1996" s="5">
        <v>1935</v>
      </c>
      <c r="B1996" s="137">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1334210</v>
      </c>
      <c r="D2008" s="2" t="str">
        <f t="shared" si="30"/>
        <v>Error?</v>
      </c>
    </row>
    <row r="2009" spans="1:4">
      <c r="A2009" s="5">
        <v>1948</v>
      </c>
      <c r="B2009" s="137">
        <f>'Cap Outlay Deprec 26'!C8</f>
        <v>102398031</v>
      </c>
      <c r="D2009" s="2" t="str">
        <f t="shared" si="30"/>
        <v>Error?</v>
      </c>
    </row>
    <row r="2010" spans="1:4">
      <c r="A2010" s="5">
        <v>1949</v>
      </c>
      <c r="B2010" s="137">
        <f>'Cap Outlay Deprec 26'!C10</f>
        <v>4944469</v>
      </c>
      <c r="D2010" s="2" t="str">
        <f t="shared" si="30"/>
        <v>Error?</v>
      </c>
    </row>
    <row r="2011" spans="1:4">
      <c r="A2011" s="5">
        <v>1950</v>
      </c>
      <c r="B2011" s="137">
        <f>'Cap Outlay Deprec 26'!C12</f>
        <v>8460925</v>
      </c>
      <c r="D2011" s="2" t="str">
        <f t="shared" si="30"/>
        <v>Error?</v>
      </c>
    </row>
    <row r="2012" spans="1:4">
      <c r="A2012" s="5">
        <v>1951</v>
      </c>
      <c r="B2012" s="137">
        <f>'Cap Outlay Deprec 26'!C13</f>
        <v>0</v>
      </c>
      <c r="D2012" s="2" t="str">
        <f t="shared" si="30"/>
        <v>Error?</v>
      </c>
    </row>
    <row r="2013" spans="1:4">
      <c r="A2013" s="5">
        <v>1952</v>
      </c>
      <c r="B2013" s="137">
        <f>'Cap Outlay Deprec 26'!C16</f>
        <v>117137635</v>
      </c>
      <c r="C2013" s="2" t="s">
        <v>594</v>
      </c>
      <c r="D2013" s="2" t="str">
        <f t="shared" si="30"/>
        <v>Error?</v>
      </c>
    </row>
    <row r="2014" spans="1:4">
      <c r="A2014" s="5">
        <v>1953</v>
      </c>
      <c r="B2014" s="137">
        <f>'Cap Outlay Deprec 26'!D5</f>
        <v>0</v>
      </c>
      <c r="D2014" s="2" t="str">
        <f t="shared" si="30"/>
        <v>Error?</v>
      </c>
    </row>
    <row r="2015" spans="1:4">
      <c r="A2015" s="5">
        <v>1954</v>
      </c>
      <c r="B2015" s="137">
        <f>'Cap Outlay Deprec 26'!D8</f>
        <v>0</v>
      </c>
      <c r="D2015" s="2" t="str">
        <f t="shared" si="30"/>
        <v>Error?</v>
      </c>
    </row>
    <row r="2016" spans="1:4">
      <c r="A2016" s="5">
        <v>1955</v>
      </c>
      <c r="B2016" s="137">
        <f>'Cap Outlay Deprec 26'!D10</f>
        <v>245919</v>
      </c>
      <c r="D2016" s="2" t="str">
        <f t="shared" si="30"/>
        <v>Error?</v>
      </c>
    </row>
    <row r="2017" spans="1:4">
      <c r="A2017" s="5">
        <v>1956</v>
      </c>
      <c r="B2017" s="137">
        <f>'Cap Outlay Deprec 26'!D12</f>
        <v>218201</v>
      </c>
      <c r="D2017" s="2" t="str">
        <f t="shared" si="30"/>
        <v>Error?</v>
      </c>
    </row>
    <row r="2018" spans="1:4">
      <c r="A2018" s="5">
        <v>1957</v>
      </c>
      <c r="B2018" s="137">
        <f>'Cap Outlay Deprec 26'!D13</f>
        <v>0</v>
      </c>
      <c r="D2018" s="2" t="str">
        <f t="shared" si="30"/>
        <v>Error?</v>
      </c>
    </row>
    <row r="2019" spans="1:4">
      <c r="A2019" s="5">
        <v>1958</v>
      </c>
      <c r="B2019" s="137">
        <f>'Cap Outlay Deprec 26'!D16</f>
        <v>464120</v>
      </c>
      <c r="C2019" s="2" t="s">
        <v>594</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594</v>
      </c>
      <c r="D2025" s="2" t="str">
        <f t="shared" si="30"/>
        <v>Error?</v>
      </c>
    </row>
    <row r="2026" spans="1:4">
      <c r="A2026" s="5">
        <v>1965</v>
      </c>
      <c r="B2026" s="137">
        <f>'Cap Outlay Deprec 26'!F5</f>
        <v>1334210</v>
      </c>
      <c r="C2026" s="2" t="s">
        <v>594</v>
      </c>
      <c r="D2026" s="2" t="str">
        <f t="shared" si="30"/>
        <v>Error?</v>
      </c>
    </row>
    <row r="2027" spans="1:4">
      <c r="A2027" s="5">
        <v>1966</v>
      </c>
      <c r="B2027" s="137">
        <f>'Cap Outlay Deprec 26'!F8</f>
        <v>102398031</v>
      </c>
      <c r="C2027" s="2" t="s">
        <v>594</v>
      </c>
      <c r="D2027" s="2" t="str">
        <f t="shared" si="30"/>
        <v>Error?</v>
      </c>
    </row>
    <row r="2028" spans="1:4">
      <c r="A2028" s="5">
        <v>1967</v>
      </c>
      <c r="B2028" s="137">
        <f>'Cap Outlay Deprec 26'!F10</f>
        <v>5190388</v>
      </c>
      <c r="C2028" s="2" t="s">
        <v>594</v>
      </c>
      <c r="D2028" s="2" t="str">
        <f t="shared" si="30"/>
        <v>Error?</v>
      </c>
    </row>
    <row r="2029" spans="1:4">
      <c r="A2029" s="5">
        <v>1968</v>
      </c>
      <c r="B2029" s="137">
        <f>'Cap Outlay Deprec 26'!F12</f>
        <v>8679126</v>
      </c>
      <c r="C2029" s="2" t="s">
        <v>594</v>
      </c>
      <c r="D2029" s="2" t="str">
        <f t="shared" si="30"/>
        <v>Error?</v>
      </c>
    </row>
    <row r="2030" spans="1:4">
      <c r="A2030" s="5">
        <v>1969</v>
      </c>
      <c r="B2030" s="137">
        <f>'Cap Outlay Deprec 26'!F13</f>
        <v>0</v>
      </c>
      <c r="C2030" s="2" t="s">
        <v>594</v>
      </c>
      <c r="D2030" s="2" t="str">
        <f t="shared" si="30"/>
        <v>Error?</v>
      </c>
    </row>
    <row r="2031" spans="1:4">
      <c r="A2031" s="5">
        <v>1970</v>
      </c>
      <c r="B2031" s="137">
        <f>'Cap Outlay Deprec 26'!F16</f>
        <v>117601755</v>
      </c>
      <c r="C2031" s="2" t="s">
        <v>594</v>
      </c>
      <c r="D2031" s="2" t="str">
        <f t="shared" si="30"/>
        <v>Error?</v>
      </c>
    </row>
    <row r="2032" spans="1:4">
      <c r="A2032" s="10">
        <v>1971</v>
      </c>
      <c r="D2032" s="2" t="str">
        <f t="shared" si="30"/>
        <v>OK</v>
      </c>
    </row>
    <row r="2033" spans="1:4">
      <c r="A2033" s="5">
        <v>1972</v>
      </c>
      <c r="B2033" s="137">
        <f>'Cap Outlay Deprec 26'!H8</f>
        <v>56198020</v>
      </c>
      <c r="D2033" s="2" t="str">
        <f t="shared" si="30"/>
        <v>Error?</v>
      </c>
    </row>
    <row r="2034" spans="1:4">
      <c r="A2034" s="5">
        <v>1973</v>
      </c>
      <c r="B2034" s="137">
        <f>'Cap Outlay Deprec 26'!H10</f>
        <v>2441613</v>
      </c>
      <c r="D2034" s="2" t="str">
        <f t="shared" si="30"/>
        <v>Error?</v>
      </c>
    </row>
    <row r="2035" spans="1:4">
      <c r="A2035" s="5">
        <v>1974</v>
      </c>
      <c r="B2035" s="137">
        <f>'Cap Outlay Deprec 26'!H12</f>
        <v>7595912</v>
      </c>
      <c r="D2035" s="2" t="str">
        <f t="shared" si="30"/>
        <v>Error?</v>
      </c>
    </row>
    <row r="2036" spans="1:4">
      <c r="A2036" s="5">
        <v>1975</v>
      </c>
      <c r="B2036" s="137">
        <f>'Cap Outlay Deprec 26'!H13</f>
        <v>0</v>
      </c>
      <c r="D2036" s="2" t="str">
        <f t="shared" si="30"/>
        <v>Error?</v>
      </c>
    </row>
    <row r="2037" spans="1:4">
      <c r="A2037" s="5">
        <v>1976</v>
      </c>
      <c r="B2037" s="137">
        <f>'Cap Outlay Deprec 26'!H16</f>
        <v>66235545</v>
      </c>
      <c r="C2037" s="2" t="s">
        <v>594</v>
      </c>
      <c r="D2037" s="2" t="str">
        <f t="shared" si="30"/>
        <v>Error?</v>
      </c>
    </row>
    <row r="2038" spans="1:4">
      <c r="A2038" s="10">
        <v>1977</v>
      </c>
      <c r="D2038" s="2" t="str">
        <f t="shared" si="30"/>
        <v>OK</v>
      </c>
    </row>
    <row r="2039" spans="1:4">
      <c r="A2039" s="5">
        <v>1978</v>
      </c>
      <c r="B2039" s="137">
        <f>'Cap Outlay Deprec 26'!I8</f>
        <v>2047961</v>
      </c>
      <c r="D2039" s="2" t="str">
        <f t="shared" si="30"/>
        <v>Error?</v>
      </c>
    </row>
    <row r="2040" spans="1:4">
      <c r="A2040" s="5">
        <v>1979</v>
      </c>
      <c r="B2040" s="137">
        <f>'Cap Outlay Deprec 26'!I10</f>
        <v>253371</v>
      </c>
      <c r="D2040" s="2" t="str">
        <f t="shared" si="30"/>
        <v>Error?</v>
      </c>
    </row>
    <row r="2041" spans="1:4">
      <c r="A2041" s="5">
        <v>1980</v>
      </c>
      <c r="B2041" s="137">
        <f>'Cap Outlay Deprec 26'!I12</f>
        <v>101964</v>
      </c>
      <c r="D2041" s="2" t="str">
        <f t="shared" si="30"/>
        <v>Error?</v>
      </c>
    </row>
    <row r="2042" spans="1:4">
      <c r="A2042" s="5">
        <v>1981</v>
      </c>
      <c r="B2042" s="137">
        <f>'Cap Outlay Deprec 26'!I13</f>
        <v>0</v>
      </c>
      <c r="D2042" s="2" t="str">
        <f t="shared" si="30"/>
        <v>Error?</v>
      </c>
    </row>
    <row r="2043" spans="1:4">
      <c r="A2043" s="5">
        <v>1982</v>
      </c>
      <c r="B2043" s="137">
        <f>'Cap Outlay Deprec 26'!I16</f>
        <v>2403296</v>
      </c>
      <c r="C2043" s="2" t="s">
        <v>594</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594</v>
      </c>
      <c r="D2049" s="2" t="str">
        <f t="shared" si="31"/>
        <v>Error?</v>
      </c>
    </row>
    <row r="2050" spans="1:4">
      <c r="A2050" s="10">
        <v>1989</v>
      </c>
      <c r="D2050" s="2" t="str">
        <f t="shared" si="31"/>
        <v>OK</v>
      </c>
    </row>
    <row r="2051" spans="1:4">
      <c r="A2051" s="5">
        <v>1990</v>
      </c>
      <c r="B2051" s="137">
        <f>'Cap Outlay Deprec 26'!K8</f>
        <v>58245981</v>
      </c>
      <c r="C2051" s="2" t="s">
        <v>594</v>
      </c>
      <c r="D2051" s="2" t="str">
        <f t="shared" si="31"/>
        <v>Error?</v>
      </c>
    </row>
    <row r="2052" spans="1:4">
      <c r="A2052" s="5">
        <v>1991</v>
      </c>
      <c r="B2052" s="137">
        <f>'Cap Outlay Deprec 26'!K10</f>
        <v>2694984</v>
      </c>
      <c r="C2052" s="2" t="s">
        <v>594</v>
      </c>
      <c r="D2052" s="2" t="str">
        <f t="shared" si="31"/>
        <v>Error?</v>
      </c>
    </row>
    <row r="2053" spans="1:4">
      <c r="A2053" s="5">
        <v>1992</v>
      </c>
      <c r="B2053" s="137">
        <f>'Cap Outlay Deprec 26'!K12</f>
        <v>7697876</v>
      </c>
      <c r="C2053" s="2" t="s">
        <v>594</v>
      </c>
      <c r="D2053" s="2" t="str">
        <f t="shared" si="31"/>
        <v>Error?</v>
      </c>
    </row>
    <row r="2054" spans="1:4">
      <c r="A2054" s="5">
        <v>1993</v>
      </c>
      <c r="B2054" s="137">
        <f>'Cap Outlay Deprec 26'!K13</f>
        <v>0</v>
      </c>
      <c r="C2054" s="2" t="s">
        <v>594</v>
      </c>
      <c r="D2054" s="2" t="str">
        <f t="shared" si="31"/>
        <v>Error?</v>
      </c>
    </row>
    <row r="2055" spans="1:4">
      <c r="A2055" s="5">
        <v>1994</v>
      </c>
      <c r="B2055" s="137">
        <f>'Cap Outlay Deprec 26'!K16</f>
        <v>68638841</v>
      </c>
      <c r="C2055" s="2" t="s">
        <v>594</v>
      </c>
      <c r="D2055" s="2" t="str">
        <f t="shared" si="31"/>
        <v>Error?</v>
      </c>
    </row>
    <row r="2056" spans="1:4">
      <c r="A2056" s="5">
        <v>1995</v>
      </c>
      <c r="B2056" s="137">
        <f>'Cap Outlay Deprec 26'!L5</f>
        <v>1334210</v>
      </c>
      <c r="C2056" s="2" t="s">
        <v>594</v>
      </c>
      <c r="D2056" s="2" t="str">
        <f t="shared" si="31"/>
        <v>Error?</v>
      </c>
    </row>
    <row r="2057" spans="1:4">
      <c r="A2057" s="5">
        <v>1996</v>
      </c>
      <c r="B2057" s="137">
        <f>'Cap Outlay Deprec 26'!L8</f>
        <v>44152050</v>
      </c>
      <c r="C2057" s="2" t="s">
        <v>594</v>
      </c>
      <c r="D2057" s="2" t="str">
        <f t="shared" si="31"/>
        <v>Error?</v>
      </c>
    </row>
    <row r="2058" spans="1:4">
      <c r="A2058" s="5">
        <v>1997</v>
      </c>
      <c r="B2058" s="137">
        <f>'Cap Outlay Deprec 26'!L10</f>
        <v>2495404</v>
      </c>
      <c r="C2058" s="2" t="s">
        <v>594</v>
      </c>
      <c r="D2058" s="2" t="str">
        <f t="shared" si="31"/>
        <v>Error?</v>
      </c>
    </row>
    <row r="2059" spans="1:4">
      <c r="A2059" s="5">
        <v>1998</v>
      </c>
      <c r="B2059" s="137">
        <f>'Cap Outlay Deprec 26'!L12</f>
        <v>981250</v>
      </c>
      <c r="C2059" s="2" t="s">
        <v>594</v>
      </c>
      <c r="D2059" s="2" t="str">
        <f t="shared" si="31"/>
        <v>Error?</v>
      </c>
    </row>
    <row r="2060" spans="1:4">
      <c r="A2060" s="5">
        <v>1999</v>
      </c>
      <c r="B2060" s="137">
        <f>'Cap Outlay Deprec 26'!L13</f>
        <v>0</v>
      </c>
      <c r="C2060" s="2" t="s">
        <v>594</v>
      </c>
      <c r="D2060" s="2" t="str">
        <f t="shared" si="31"/>
        <v>Error?</v>
      </c>
    </row>
    <row r="2061" spans="1:4">
      <c r="A2061" s="5">
        <v>2000</v>
      </c>
      <c r="B2061" s="137">
        <f>'Cap Outlay Deprec 26'!L16</f>
        <v>48962914</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828</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828</v>
      </c>
      <c r="C2088" s="2" t="s">
        <v>594</v>
      </c>
      <c r="D2088" s="2" t="str">
        <f t="shared" si="31"/>
        <v>Error?</v>
      </c>
    </row>
    <row r="2089" spans="1:4">
      <c r="A2089" s="5">
        <v>2028</v>
      </c>
      <c r="B2089" s="137">
        <f>'Expenditures 15-22'!K92</f>
        <v>1914065</v>
      </c>
      <c r="C2089" s="2" t="s">
        <v>594</v>
      </c>
      <c r="D2089" s="2" t="str">
        <f t="shared" si="31"/>
        <v>Error?</v>
      </c>
    </row>
    <row r="2090" spans="1:4">
      <c r="A2090" s="10">
        <v>2029</v>
      </c>
      <c r="D2090" s="2" t="str">
        <f t="shared" si="31"/>
        <v>OK</v>
      </c>
    </row>
    <row r="2091" spans="1:4">
      <c r="A2091" s="5">
        <v>2030</v>
      </c>
      <c r="B2091" s="137">
        <f>'Expenditures 15-22'!H137</f>
        <v>0</v>
      </c>
      <c r="C2091" s="2" t="s">
        <v>594</v>
      </c>
      <c r="D2091" s="2" t="str">
        <f t="shared" si="31"/>
        <v>Error?</v>
      </c>
    </row>
    <row r="2092" spans="1:4">
      <c r="A2092" s="5">
        <v>2031</v>
      </c>
      <c r="B2092" s="137">
        <f>'Expenditures 15-22'!H138</f>
        <v>0</v>
      </c>
      <c r="D2092" s="2" t="str">
        <f t="shared" si="31"/>
        <v>Error?</v>
      </c>
    </row>
    <row r="2093" spans="1:4">
      <c r="A2093" s="5">
        <v>2032</v>
      </c>
      <c r="B2093" s="137">
        <f>'Expenditures 15-22'!K137</f>
        <v>0</v>
      </c>
      <c r="C2093" s="2" t="s">
        <v>594</v>
      </c>
      <c r="D2093" s="2" t="str">
        <f t="shared" si="31"/>
        <v>Error?</v>
      </c>
    </row>
    <row r="2094" spans="1:4">
      <c r="A2094" s="5">
        <v>2033</v>
      </c>
      <c r="B2094" s="137">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7">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594</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0</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37558499</v>
      </c>
      <c r="C2551" s="2" t="s">
        <v>594</v>
      </c>
      <c r="D2551" s="2" t="str">
        <f t="shared" si="38"/>
        <v>Error?</v>
      </c>
    </row>
    <row r="2552" spans="1:4">
      <c r="A2552" s="10">
        <v>2491</v>
      </c>
      <c r="D2552" s="2" t="str">
        <f t="shared" si="38"/>
        <v>OK</v>
      </c>
    </row>
    <row r="2553" spans="1:4">
      <c r="A2553" s="5">
        <v>2492</v>
      </c>
      <c r="B2553" s="137">
        <f>'Acct Summary 7-8'!C6</f>
        <v>7927640</v>
      </c>
      <c r="C2553" s="2" t="s">
        <v>594</v>
      </c>
      <c r="D2553" s="2" t="str">
        <f t="shared" si="38"/>
        <v>Error?</v>
      </c>
    </row>
    <row r="2554" spans="1:4">
      <c r="A2554" s="5">
        <v>2493</v>
      </c>
      <c r="B2554" s="137">
        <f>'Acct Summary 7-8'!C7</f>
        <v>3181895</v>
      </c>
      <c r="C2554" s="2" t="s">
        <v>594</v>
      </c>
      <c r="D2554" s="2" t="str">
        <f t="shared" si="38"/>
        <v>Error?</v>
      </c>
    </row>
    <row r="2555" spans="1:4">
      <c r="A2555" s="5">
        <v>2494</v>
      </c>
      <c r="B2555" s="137">
        <f>'Acct Summary 7-8'!C8</f>
        <v>48668034</v>
      </c>
      <c r="C2555" s="2" t="s">
        <v>594</v>
      </c>
      <c r="D2555" s="2" t="str">
        <f t="shared" si="38"/>
        <v>Error?</v>
      </c>
    </row>
    <row r="2556" spans="1:4">
      <c r="A2556" s="5">
        <v>2495</v>
      </c>
      <c r="B2556" s="137">
        <f>'Acct Summary 7-8'!C12</f>
        <v>30701530</v>
      </c>
      <c r="C2556" s="2" t="s">
        <v>594</v>
      </c>
      <c r="D2556" s="2" t="str">
        <f t="shared" si="38"/>
        <v>Error?</v>
      </c>
    </row>
    <row r="2557" spans="1:4">
      <c r="A2557" s="5">
        <v>2496</v>
      </c>
      <c r="B2557" s="137">
        <f>'Acct Summary 7-8'!C13</f>
        <v>14686362</v>
      </c>
      <c r="C2557" s="2" t="s">
        <v>594</v>
      </c>
      <c r="D2557" s="2" t="str">
        <f t="shared" si="38"/>
        <v>Error?</v>
      </c>
    </row>
    <row r="2558" spans="1:4">
      <c r="A2558" s="5">
        <v>2497</v>
      </c>
      <c r="B2558" s="137">
        <f>'Acct Summary 7-8'!C14</f>
        <v>36278</v>
      </c>
      <c r="C2558" s="2" t="s">
        <v>594</v>
      </c>
      <c r="D2558" s="2" t="str">
        <f t="shared" si="38"/>
        <v>Error?</v>
      </c>
    </row>
    <row r="2559" spans="1:4">
      <c r="A2559" s="5">
        <v>2498</v>
      </c>
      <c r="B2559" s="137">
        <f>'Acct Summary 7-8'!C15</f>
        <v>1914893</v>
      </c>
      <c r="C2559" s="2" t="s">
        <v>594</v>
      </c>
      <c r="D2559" s="2" t="str">
        <f t="shared" ref="D2559:D2622" si="39">IF(ISBLANK(B2559),"OK",IF(A2559-B2559=0,"OK","Error?"))</f>
        <v>Error?</v>
      </c>
    </row>
    <row r="2560" spans="1:4">
      <c r="A2560" s="5">
        <v>2499</v>
      </c>
      <c r="B2560" s="137">
        <f>'Acct Summary 7-8'!C16</f>
        <v>0</v>
      </c>
      <c r="C2560" s="2" t="s">
        <v>594</v>
      </c>
      <c r="D2560" s="2" t="str">
        <f t="shared" si="39"/>
        <v>Error?</v>
      </c>
    </row>
    <row r="2561" spans="1:4">
      <c r="A2561" s="5">
        <v>2500</v>
      </c>
      <c r="B2561" s="137">
        <f>'Acct Summary 7-8'!C17</f>
        <v>47339063</v>
      </c>
      <c r="C2561" s="2" t="s">
        <v>594</v>
      </c>
      <c r="D2561" s="2" t="str">
        <f t="shared" si="39"/>
        <v>Error?</v>
      </c>
    </row>
    <row r="2562" spans="1:4">
      <c r="A2562" s="5">
        <v>2501</v>
      </c>
      <c r="B2562" s="137">
        <f>'Acct Summary 7-8'!C20</f>
        <v>1328971</v>
      </c>
      <c r="C2562" s="2" t="s">
        <v>594</v>
      </c>
      <c r="D2562" s="2" t="str">
        <f t="shared" si="39"/>
        <v>Error?</v>
      </c>
    </row>
    <row r="2563" spans="1:4">
      <c r="A2563" s="5">
        <v>2502</v>
      </c>
      <c r="B2563" s="137">
        <f>'Acct Summary 7-8'!C80</f>
        <v>0</v>
      </c>
      <c r="D2563" s="2" t="str">
        <f t="shared" si="39"/>
        <v>Error?</v>
      </c>
    </row>
    <row r="2564" spans="1:4">
      <c r="A2564" s="5">
        <v>2503</v>
      </c>
      <c r="B2564" s="137">
        <f>'Acct Summary 7-8'!D4</f>
        <v>4579510</v>
      </c>
      <c r="C2564" s="2" t="s">
        <v>594</v>
      </c>
      <c r="D2564" s="2" t="str">
        <f t="shared" si="39"/>
        <v>Error?</v>
      </c>
    </row>
    <row r="2565" spans="1:4">
      <c r="A2565" s="10">
        <v>2504</v>
      </c>
      <c r="D2565" s="2" t="str">
        <f t="shared" si="39"/>
        <v>OK</v>
      </c>
    </row>
    <row r="2566" spans="1:4">
      <c r="A2566" s="5">
        <v>2505</v>
      </c>
      <c r="B2566" s="137">
        <f>'Acct Summary 7-8'!D6</f>
        <v>0</v>
      </c>
      <c r="C2566" s="2" t="s">
        <v>594</v>
      </c>
      <c r="D2566" s="2" t="str">
        <f t="shared" si="39"/>
        <v>Error?</v>
      </c>
    </row>
    <row r="2567" spans="1:4">
      <c r="A2567" s="5">
        <v>2506</v>
      </c>
      <c r="B2567" s="137">
        <f>'Acct Summary 7-8'!D7</f>
        <v>0</v>
      </c>
      <c r="C2567" s="2" t="s">
        <v>594</v>
      </c>
      <c r="D2567" s="2" t="str">
        <f t="shared" si="39"/>
        <v>Error?</v>
      </c>
    </row>
    <row r="2568" spans="1:4">
      <c r="A2568" s="5">
        <v>2507</v>
      </c>
      <c r="B2568" s="137">
        <f>'Acct Summary 7-8'!D8</f>
        <v>4579510</v>
      </c>
      <c r="C2568" s="2" t="s">
        <v>594</v>
      </c>
      <c r="D2568" s="2" t="str">
        <f t="shared" si="39"/>
        <v>Error?</v>
      </c>
    </row>
    <row r="2569" spans="1:4">
      <c r="A2569" s="5">
        <v>2508</v>
      </c>
      <c r="B2569" s="137">
        <f>'Acct Summary 7-8'!D13</f>
        <v>4973630</v>
      </c>
      <c r="C2569" s="2" t="s">
        <v>594</v>
      </c>
      <c r="D2569" s="2" t="str">
        <f t="shared" si="39"/>
        <v>Error?</v>
      </c>
    </row>
    <row r="2570" spans="1:4">
      <c r="A2570" s="5">
        <v>2509</v>
      </c>
      <c r="B2570" s="137">
        <f>'Acct Summary 7-8'!D14</f>
        <v>0</v>
      </c>
      <c r="C2570" s="2" t="s">
        <v>594</v>
      </c>
      <c r="D2570" s="2" t="str">
        <f t="shared" si="39"/>
        <v>Error?</v>
      </c>
    </row>
    <row r="2571" spans="1:4">
      <c r="A2571" s="5">
        <v>2510</v>
      </c>
      <c r="B2571" s="137">
        <f>'Acct Summary 7-8'!D15</f>
        <v>0</v>
      </c>
      <c r="C2571" s="2" t="s">
        <v>594</v>
      </c>
      <c r="D2571" s="2" t="str">
        <f t="shared" si="39"/>
        <v>Error?</v>
      </c>
    </row>
    <row r="2572" spans="1:4">
      <c r="A2572" s="5">
        <v>2511</v>
      </c>
      <c r="B2572" s="137">
        <f>'Acct Summary 7-8'!D16</f>
        <v>0</v>
      </c>
      <c r="C2572" s="2" t="s">
        <v>594</v>
      </c>
      <c r="D2572" s="2" t="str">
        <f t="shared" si="39"/>
        <v>Error?</v>
      </c>
    </row>
    <row r="2573" spans="1:4">
      <c r="A2573" s="5">
        <v>2512</v>
      </c>
      <c r="B2573" s="137">
        <f>'Acct Summary 7-8'!D17</f>
        <v>4973630</v>
      </c>
      <c r="C2573" s="2" t="s">
        <v>594</v>
      </c>
      <c r="D2573" s="2" t="str">
        <f t="shared" si="39"/>
        <v>Error?</v>
      </c>
    </row>
    <row r="2574" spans="1:4">
      <c r="A2574" s="5">
        <v>2513</v>
      </c>
      <c r="B2574" s="137">
        <f>'Acct Summary 7-8'!D20</f>
        <v>-394120</v>
      </c>
      <c r="C2574" s="2" t="s">
        <v>594</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3242841</v>
      </c>
      <c r="C2591" s="2" t="s">
        <v>594</v>
      </c>
      <c r="D2591" s="2" t="str">
        <f t="shared" si="39"/>
        <v>Error?</v>
      </c>
    </row>
    <row r="2592" spans="1:4">
      <c r="A2592" s="10">
        <v>2531</v>
      </c>
      <c r="D2592" s="2" t="str">
        <f t="shared" si="39"/>
        <v>OK</v>
      </c>
    </row>
    <row r="2593" spans="1:4">
      <c r="A2593" s="5">
        <v>2532</v>
      </c>
      <c r="B2593" s="137">
        <f>'Acct Summary 7-8'!F6</f>
        <v>3274857</v>
      </c>
      <c r="C2593" s="2" t="s">
        <v>594</v>
      </c>
      <c r="D2593" s="2" t="str">
        <f t="shared" si="39"/>
        <v>Error?</v>
      </c>
    </row>
    <row r="2594" spans="1:4">
      <c r="A2594" s="5">
        <v>2533</v>
      </c>
      <c r="B2594" s="137">
        <f>'Acct Summary 7-8'!F7</f>
        <v>0</v>
      </c>
      <c r="C2594" s="2" t="s">
        <v>594</v>
      </c>
      <c r="D2594" s="2" t="str">
        <f t="shared" si="39"/>
        <v>Error?</v>
      </c>
    </row>
    <row r="2595" spans="1:4">
      <c r="A2595" s="5">
        <v>2534</v>
      </c>
      <c r="B2595" s="137">
        <f>'Acct Summary 7-8'!F8</f>
        <v>6517698</v>
      </c>
      <c r="C2595" s="2" t="s">
        <v>594</v>
      </c>
      <c r="D2595" s="2" t="str">
        <f t="shared" si="39"/>
        <v>Error?</v>
      </c>
    </row>
    <row r="2596" spans="1:4">
      <c r="A2596" s="5">
        <v>2535</v>
      </c>
      <c r="B2596" s="137">
        <f>'Acct Summary 7-8'!F13</f>
        <v>4823291</v>
      </c>
      <c r="C2596" s="2" t="s">
        <v>594</v>
      </c>
      <c r="D2596" s="2" t="str">
        <f t="shared" si="39"/>
        <v>Error?</v>
      </c>
    </row>
    <row r="2597" spans="1:4">
      <c r="A2597" s="5">
        <v>2536</v>
      </c>
      <c r="B2597" s="137">
        <f>'Acct Summary 7-8'!F14</f>
        <v>0</v>
      </c>
      <c r="C2597" s="2" t="s">
        <v>594</v>
      </c>
      <c r="D2597" s="2" t="str">
        <f t="shared" si="39"/>
        <v>Error?</v>
      </c>
    </row>
    <row r="2598" spans="1:4">
      <c r="A2598" s="5">
        <v>2537</v>
      </c>
      <c r="B2598" s="137">
        <f>'Acct Summary 7-8'!F15</f>
        <v>0</v>
      </c>
      <c r="C2598" s="2" t="s">
        <v>594</v>
      </c>
      <c r="D2598" s="2" t="str">
        <f t="shared" si="39"/>
        <v>Error?</v>
      </c>
    </row>
    <row r="2599" spans="1:4">
      <c r="A2599" s="5">
        <v>2538</v>
      </c>
      <c r="B2599" s="137">
        <f>'Acct Summary 7-8'!F16</f>
        <v>0</v>
      </c>
      <c r="C2599" s="2" t="s">
        <v>594</v>
      </c>
      <c r="D2599" s="2" t="str">
        <f t="shared" si="39"/>
        <v>Error?</v>
      </c>
    </row>
    <row r="2600" spans="1:4">
      <c r="A2600" s="5">
        <v>2539</v>
      </c>
      <c r="B2600" s="137">
        <f>'Acct Summary 7-8'!F17</f>
        <v>4823291</v>
      </c>
      <c r="C2600" s="2" t="s">
        <v>594</v>
      </c>
      <c r="D2600" s="2" t="str">
        <f t="shared" si="39"/>
        <v>Error?</v>
      </c>
    </row>
    <row r="2601" spans="1:4">
      <c r="A2601" s="5">
        <v>2540</v>
      </c>
      <c r="B2601" s="137">
        <f>'Acct Summary 7-8'!F20</f>
        <v>1694407</v>
      </c>
      <c r="C2601" s="2" t="s">
        <v>594</v>
      </c>
      <c r="D2601" s="2" t="str">
        <f t="shared" si="39"/>
        <v>Error?</v>
      </c>
    </row>
    <row r="2602" spans="1:4">
      <c r="A2602" s="5">
        <v>2541</v>
      </c>
      <c r="B2602" s="137">
        <f>'Acct Summary 7-8'!F80</f>
        <v>0</v>
      </c>
      <c r="D2602" s="2" t="str">
        <f t="shared" si="39"/>
        <v>Error?</v>
      </c>
    </row>
    <row r="2603" spans="1:4">
      <c r="A2603" s="5">
        <v>2542</v>
      </c>
      <c r="B2603" s="137">
        <f>'Acct Summary 7-8'!G4</f>
        <v>1057526</v>
      </c>
      <c r="C2603" s="2" t="s">
        <v>594</v>
      </c>
      <c r="D2603" s="2" t="str">
        <f t="shared" si="39"/>
        <v>Error?</v>
      </c>
    </row>
    <row r="2604" spans="1:4">
      <c r="A2604" s="5">
        <v>2543</v>
      </c>
      <c r="B2604" s="137">
        <f>'Acct Summary 7-8'!G6</f>
        <v>0</v>
      </c>
      <c r="C2604" s="2" t="s">
        <v>594</v>
      </c>
      <c r="D2604" s="2" t="str">
        <f t="shared" si="39"/>
        <v>Error?</v>
      </c>
    </row>
    <row r="2605" spans="1:4">
      <c r="A2605" s="5">
        <v>2544</v>
      </c>
      <c r="B2605" s="137">
        <f>'Acct Summary 7-8'!G7</f>
        <v>0</v>
      </c>
      <c r="C2605" s="2" t="s">
        <v>594</v>
      </c>
      <c r="D2605" s="2" t="str">
        <f t="shared" si="39"/>
        <v>Error?</v>
      </c>
    </row>
    <row r="2606" spans="1:4">
      <c r="A2606" s="5">
        <v>2545</v>
      </c>
      <c r="B2606" s="137">
        <f>'Acct Summary 7-8'!G8</f>
        <v>1057526</v>
      </c>
      <c r="C2606" s="2" t="s">
        <v>594</v>
      </c>
      <c r="D2606" s="2" t="str">
        <f t="shared" si="39"/>
        <v>Error?</v>
      </c>
    </row>
    <row r="2607" spans="1:4">
      <c r="A2607" s="5">
        <v>2546</v>
      </c>
      <c r="B2607" s="137">
        <f>'Acct Summary 7-8'!G12</f>
        <v>664555</v>
      </c>
      <c r="C2607" s="2" t="s">
        <v>594</v>
      </c>
      <c r="D2607" s="2" t="str">
        <f t="shared" si="39"/>
        <v>Error?</v>
      </c>
    </row>
    <row r="2608" spans="1:4">
      <c r="A2608" s="5">
        <v>2547</v>
      </c>
      <c r="B2608" s="137">
        <f>'Acct Summary 7-8'!G13</f>
        <v>1272910</v>
      </c>
      <c r="C2608" s="2" t="s">
        <v>594</v>
      </c>
      <c r="D2608" s="2" t="str">
        <f t="shared" si="39"/>
        <v>Error?</v>
      </c>
    </row>
    <row r="2609" spans="1:4">
      <c r="A2609" s="5">
        <v>2548</v>
      </c>
      <c r="B2609" s="137">
        <f>'Acct Summary 7-8'!G14</f>
        <v>0</v>
      </c>
      <c r="C2609" s="2" t="s">
        <v>594</v>
      </c>
      <c r="D2609" s="2" t="str">
        <f t="shared" si="39"/>
        <v>Error?</v>
      </c>
    </row>
    <row r="2610" spans="1:4">
      <c r="A2610" s="10">
        <v>2549</v>
      </c>
      <c r="D2610" s="2" t="str">
        <f t="shared" si="39"/>
        <v>OK</v>
      </c>
    </row>
    <row r="2611" spans="1:4">
      <c r="A2611" s="5">
        <v>2550</v>
      </c>
      <c r="B2611" s="137">
        <f>'Acct Summary 7-8'!G16</f>
        <v>0</v>
      </c>
      <c r="C2611" s="2" t="s">
        <v>594</v>
      </c>
      <c r="D2611" s="2" t="str">
        <f t="shared" si="39"/>
        <v>Error?</v>
      </c>
    </row>
    <row r="2612" spans="1:4">
      <c r="A2612" s="5">
        <v>2551</v>
      </c>
      <c r="B2612" s="137">
        <f>'Acct Summary 7-8'!G17</f>
        <v>1937465</v>
      </c>
      <c r="C2612" s="2" t="s">
        <v>594</v>
      </c>
      <c r="D2612" s="2" t="str">
        <f t="shared" si="39"/>
        <v>Error?</v>
      </c>
    </row>
    <row r="2613" spans="1:4">
      <c r="A2613" s="5">
        <v>2552</v>
      </c>
      <c r="B2613" s="137">
        <f>'Acct Summary 7-8'!G20</f>
        <v>-879939</v>
      </c>
      <c r="C2613" s="2" t="s">
        <v>594</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4319168</v>
      </c>
      <c r="C2630" s="2" t="s">
        <v>594</v>
      </c>
      <c r="D2630" s="2" t="str">
        <f t="shared" si="40"/>
        <v>Error?</v>
      </c>
    </row>
    <row r="2631" spans="1:4">
      <c r="A2631" s="5">
        <v>2570</v>
      </c>
      <c r="B2631" s="137">
        <f>'Acct Summary 7-8'!E6</f>
        <v>0</v>
      </c>
      <c r="C2631" s="2" t="s">
        <v>594</v>
      </c>
      <c r="D2631" s="2" t="str">
        <f t="shared" si="40"/>
        <v>Error?</v>
      </c>
    </row>
    <row r="2632" spans="1:4">
      <c r="A2632" s="5">
        <v>2571</v>
      </c>
      <c r="B2632" s="137">
        <f>'Acct Summary 7-8'!E8</f>
        <v>4319168</v>
      </c>
      <c r="C2632" s="2" t="s">
        <v>594</v>
      </c>
      <c r="D2632" s="2" t="str">
        <f t="shared" si="40"/>
        <v>Error?</v>
      </c>
    </row>
    <row r="2633" spans="1:4">
      <c r="A2633" s="5">
        <v>2572</v>
      </c>
      <c r="B2633" s="137">
        <f>'Acct Summary 7-8'!E15</f>
        <v>0</v>
      </c>
      <c r="C2633" s="2" t="s">
        <v>594</v>
      </c>
      <c r="D2633" s="2" t="str">
        <f t="shared" si="40"/>
        <v>Error?</v>
      </c>
    </row>
    <row r="2634" spans="1:4">
      <c r="A2634" s="5">
        <v>2573</v>
      </c>
      <c r="B2634" s="137">
        <f>'Acct Summary 7-8'!E16</f>
        <v>5133817</v>
      </c>
      <c r="C2634" s="2" t="s">
        <v>594</v>
      </c>
      <c r="D2634" s="2" t="str">
        <f t="shared" si="40"/>
        <v>Error?</v>
      </c>
    </row>
    <row r="2635" spans="1:4">
      <c r="A2635" s="5">
        <v>2574</v>
      </c>
      <c r="B2635" s="137">
        <f>'Acct Summary 7-8'!E17</f>
        <v>5133817</v>
      </c>
      <c r="C2635" s="2" t="s">
        <v>594</v>
      </c>
      <c r="D2635" s="2" t="str">
        <f t="shared" si="40"/>
        <v>Error?</v>
      </c>
    </row>
    <row r="2636" spans="1:4">
      <c r="A2636" s="5">
        <v>2575</v>
      </c>
      <c r="B2636" s="137">
        <f>'Acct Summary 7-8'!E20</f>
        <v>-814649</v>
      </c>
      <c r="C2636" s="2" t="s">
        <v>594</v>
      </c>
      <c r="D2636" s="2" t="str">
        <f t="shared" si="40"/>
        <v>Error?</v>
      </c>
    </row>
    <row r="2637" spans="1:4">
      <c r="A2637" s="5">
        <v>2576</v>
      </c>
      <c r="B2637" s="137">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36023</v>
      </c>
      <c r="C2655" s="2" t="s">
        <v>594</v>
      </c>
      <c r="D2655" s="2" t="str">
        <f t="shared" si="40"/>
        <v>Error?</v>
      </c>
    </row>
    <row r="2656" spans="1:4">
      <c r="A2656" s="5">
        <v>2595</v>
      </c>
      <c r="B2656" s="137">
        <f>'Acct Summary 7-8'!H6</f>
        <v>0</v>
      </c>
      <c r="C2656" s="2" t="s">
        <v>594</v>
      </c>
      <c r="D2656" s="2" t="str">
        <f t="shared" si="40"/>
        <v>Error?</v>
      </c>
    </row>
    <row r="2657" spans="1:4">
      <c r="A2657" s="5">
        <v>2596</v>
      </c>
      <c r="B2657" s="137">
        <f>'Acct Summary 7-8'!H7</f>
        <v>0</v>
      </c>
      <c r="C2657" s="2" t="s">
        <v>594</v>
      </c>
      <c r="D2657" s="2" t="str">
        <f t="shared" si="40"/>
        <v>Error?</v>
      </c>
    </row>
    <row r="2658" spans="1:4">
      <c r="A2658" s="5">
        <v>2597</v>
      </c>
      <c r="B2658" s="137">
        <f>'Acct Summary 7-8'!H8</f>
        <v>36023</v>
      </c>
      <c r="C2658" s="2" t="s">
        <v>594</v>
      </c>
      <c r="D2658" s="2" t="str">
        <f t="shared" si="40"/>
        <v>Error?</v>
      </c>
    </row>
    <row r="2659" spans="1:4">
      <c r="A2659" s="5">
        <v>2598</v>
      </c>
      <c r="B2659" s="137">
        <f>'Acct Summary 7-8'!H13</f>
        <v>2636</v>
      </c>
      <c r="C2659" s="2" t="s">
        <v>594</v>
      </c>
      <c r="D2659" s="2" t="str">
        <f t="shared" si="40"/>
        <v>Error?</v>
      </c>
    </row>
    <row r="2660" spans="1:4">
      <c r="A2660" s="5">
        <v>2599</v>
      </c>
      <c r="B2660" s="137">
        <f>'Acct Summary 7-8'!H15</f>
        <v>0</v>
      </c>
      <c r="C2660" s="2" t="s">
        <v>594</v>
      </c>
      <c r="D2660" s="2" t="str">
        <f t="shared" si="40"/>
        <v>Error?</v>
      </c>
    </row>
    <row r="2661" spans="1:4">
      <c r="A2661" s="5">
        <v>2600</v>
      </c>
      <c r="B2661" s="137">
        <f>'Acct Summary 7-8'!H17</f>
        <v>2636</v>
      </c>
      <c r="C2661" s="2" t="s">
        <v>594</v>
      </c>
      <c r="D2661" s="2" t="str">
        <f t="shared" si="40"/>
        <v>Error?</v>
      </c>
    </row>
    <row r="2662" spans="1:4">
      <c r="A2662" s="5">
        <v>2601</v>
      </c>
      <c r="B2662" s="137">
        <f>'Acct Summary 7-8'!H20</f>
        <v>33387</v>
      </c>
      <c r="C2662" s="2" t="s">
        <v>594</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594629</v>
      </c>
      <c r="D2718" s="2" t="str">
        <f t="shared" si="41"/>
        <v>Error?</v>
      </c>
    </row>
    <row r="2719" spans="1:4">
      <c r="A2719" s="5">
        <v>2658</v>
      </c>
      <c r="B2719" s="137">
        <f>'Expenditures 15-22'!D51</f>
        <v>142895</v>
      </c>
      <c r="D2719" s="2" t="str">
        <f t="shared" si="41"/>
        <v>Error?</v>
      </c>
    </row>
    <row r="2720" spans="1:4">
      <c r="A2720" s="5">
        <v>2659</v>
      </c>
      <c r="B2720" s="137">
        <f>'Expenditures 15-22'!E51</f>
        <v>1934</v>
      </c>
      <c r="D2720" s="2" t="str">
        <f t="shared" si="41"/>
        <v>Error?</v>
      </c>
    </row>
    <row r="2721" spans="1:4">
      <c r="A2721" s="5">
        <v>2660</v>
      </c>
      <c r="B2721" s="137">
        <f>'Expenditures 15-22'!F51</f>
        <v>3148</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742606</v>
      </c>
      <c r="C2724" s="2" t="s">
        <v>594</v>
      </c>
      <c r="D2724" s="2" t="str">
        <f t="shared" si="41"/>
        <v>Error?</v>
      </c>
    </row>
    <row r="2725" spans="1:4">
      <c r="A2725" s="5">
        <v>2664</v>
      </c>
      <c r="B2725" s="137">
        <f>'Expenditures 15-22'!D247</f>
        <v>22270</v>
      </c>
      <c r="D2725" s="2" t="str">
        <f t="shared" si="41"/>
        <v>Error?</v>
      </c>
    </row>
    <row r="2726" spans="1:4">
      <c r="A2726" s="5">
        <v>2665</v>
      </c>
      <c r="B2726" s="137">
        <f>'Expenditures 15-22'!K247</f>
        <v>22270</v>
      </c>
      <c r="C2726" s="2" t="s">
        <v>594</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594</v>
      </c>
      <c r="D2733" s="2" t="str">
        <f t="shared" si="41"/>
        <v>Error?</v>
      </c>
    </row>
    <row r="2734" spans="1:4">
      <c r="A2734" s="5">
        <v>2673</v>
      </c>
      <c r="B2734" s="137">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0</v>
      </c>
      <c r="C2789" s="2" t="s">
        <v>594</v>
      </c>
      <c r="D2789" s="2" t="str">
        <f t="shared" si="42"/>
        <v>Error?</v>
      </c>
    </row>
    <row r="2790" spans="1:4">
      <c r="A2790" s="5">
        <v>2729</v>
      </c>
      <c r="B2790" s="137">
        <f>'Expenditures 15-22'!E102</f>
        <v>0</v>
      </c>
      <c r="C2790" s="2" t="s">
        <v>594</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594</v>
      </c>
      <c r="D2795" s="2" t="str">
        <f t="shared" si="42"/>
        <v>Error?</v>
      </c>
    </row>
    <row r="2796" spans="1:4">
      <c r="A2796" s="5">
        <v>2735</v>
      </c>
      <c r="B2796" s="137">
        <f>'Expenditures 15-22'!K108</f>
        <v>0</v>
      </c>
      <c r="C2796" s="2" t="s">
        <v>594</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7">
        <f>'Expenditures 15-22'!K130</f>
        <v>0</v>
      </c>
      <c r="C2805" s="2" t="s">
        <v>594</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594</v>
      </c>
      <c r="D2809" s="2" t="str">
        <f t="shared" si="42"/>
        <v>OK</v>
      </c>
    </row>
    <row r="2810" spans="1:4">
      <c r="A2810" s="5">
        <v>2749</v>
      </c>
      <c r="B2810" s="137">
        <f>'Expenditures 15-22'!K144</f>
        <v>0</v>
      </c>
      <c r="C2810" s="2" t="s">
        <v>594</v>
      </c>
      <c r="D2810" s="2" t="str">
        <f t="shared" si="42"/>
        <v>Error?</v>
      </c>
    </row>
    <row r="2811" spans="1:4">
      <c r="A2811" s="5">
        <v>2750</v>
      </c>
      <c r="B2811" s="137">
        <f>'Expenditures 15-22'!K145</f>
        <v>0</v>
      </c>
      <c r="C2811" s="2" t="s">
        <v>594</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7">
        <f>'Acct Summary 7-8'!E50</f>
        <v>0</v>
      </c>
      <c r="D2817" s="2" t="str">
        <f t="shared" si="43"/>
        <v>Error?</v>
      </c>
    </row>
    <row r="2818" spans="1:4">
      <c r="A2818" s="5">
        <v>2757</v>
      </c>
      <c r="B2818" s="137">
        <f>'Expenditures 15-22'!K165</f>
        <v>0</v>
      </c>
      <c r="C2818" s="2" t="s">
        <v>594</v>
      </c>
      <c r="D2818" s="2" t="str">
        <f t="shared" si="43"/>
        <v>Error?</v>
      </c>
    </row>
    <row r="2819" spans="1:4">
      <c r="A2819" s="5">
        <v>2758</v>
      </c>
      <c r="B2819" s="137">
        <f>'Expenditures 15-22'!K166</f>
        <v>0</v>
      </c>
      <c r="C2819" s="2" t="s">
        <v>594</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594</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594</v>
      </c>
      <c r="D2828" s="2" t="str">
        <f t="shared" si="43"/>
        <v>Error?</v>
      </c>
    </row>
    <row r="2829" spans="1:4">
      <c r="A2829" s="5">
        <v>2768</v>
      </c>
      <c r="B2829" s="137">
        <f>'Expenditures 15-22'!H195</f>
        <v>0</v>
      </c>
      <c r="D2829" s="2" t="str">
        <f t="shared" si="43"/>
        <v>Error?</v>
      </c>
    </row>
    <row r="2830" spans="1:4">
      <c r="A2830" s="5">
        <v>2769</v>
      </c>
      <c r="B2830" s="137">
        <f>'Expenditures 15-22'!H196</f>
        <v>0</v>
      </c>
      <c r="C2830" s="2" t="s">
        <v>594</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7">
        <f>'Expenditures 15-22'!K185</f>
        <v>0</v>
      </c>
      <c r="C2836" s="2" t="s">
        <v>594</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594</v>
      </c>
      <c r="D2839" s="2" t="str">
        <f t="shared" si="43"/>
        <v>Error?</v>
      </c>
    </row>
    <row r="2840" spans="1:5">
      <c r="A2840" s="5">
        <v>2779</v>
      </c>
      <c r="B2840" s="137">
        <f>'Acct Summary 7-8'!F50</f>
        <v>0</v>
      </c>
      <c r="D2840" s="2" t="str">
        <f t="shared" si="43"/>
        <v>Error?</v>
      </c>
    </row>
    <row r="2841" spans="1:5">
      <c r="A2841" s="5">
        <v>2780</v>
      </c>
      <c r="B2841" s="137">
        <f>'Expenditures 15-22'!K201</f>
        <v>0</v>
      </c>
      <c r="C2841" s="2" t="s">
        <v>594</v>
      </c>
      <c r="D2841" s="2" t="str">
        <f t="shared" si="43"/>
        <v>Error?</v>
      </c>
    </row>
    <row r="2842" spans="1:5">
      <c r="A2842" s="5">
        <v>2781</v>
      </c>
      <c r="B2842" s="137">
        <f>'Expenditures 15-22'!K202</f>
        <v>0</v>
      </c>
      <c r="C2842" s="2" t="s">
        <v>594</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594</v>
      </c>
      <c r="D2845" s="2" t="str">
        <f t="shared" si="43"/>
        <v>Error?</v>
      </c>
    </row>
    <row r="2846" spans="1:5">
      <c r="A2846" s="5">
        <v>2785</v>
      </c>
      <c r="B2846" s="137">
        <f>'Expenditures 15-22'!K291</f>
        <v>0</v>
      </c>
      <c r="C2846" s="2" t="s">
        <v>594</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5280546</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352547</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594</v>
      </c>
      <c r="D2910" s="2" t="str">
        <f t="shared" si="44"/>
        <v>Error?</v>
      </c>
    </row>
    <row r="2911" spans="1:4">
      <c r="A2911" s="5">
        <v>2850</v>
      </c>
      <c r="B2911" s="137">
        <f>'Assets-Liab 5-6'!I38</f>
        <v>0</v>
      </c>
      <c r="D2911" s="2" t="str">
        <f t="shared" si="44"/>
        <v>Error?</v>
      </c>
    </row>
    <row r="2912" spans="1:4">
      <c r="A2912" s="5">
        <v>2851</v>
      </c>
      <c r="B2912" s="137">
        <f>'Assets-Liab 5-6'!I39</f>
        <v>5280546</v>
      </c>
      <c r="D2912" s="2" t="str">
        <f t="shared" si="44"/>
        <v>Error?</v>
      </c>
    </row>
    <row r="2913" spans="1:4">
      <c r="A2913" s="5">
        <v>2852</v>
      </c>
      <c r="B2913" s="137">
        <f>'Assets-Liab 5-6'!I41</f>
        <v>5280546</v>
      </c>
      <c r="C2913" s="2" t="s">
        <v>594</v>
      </c>
      <c r="D2913" s="2" t="str">
        <f t="shared" si="44"/>
        <v>Error?</v>
      </c>
    </row>
    <row r="2914" spans="1:4">
      <c r="A2914" s="5">
        <v>2853</v>
      </c>
      <c r="B2914" s="137">
        <f>'Assets-Liab 5-6'!L33</f>
        <v>352547</v>
      </c>
      <c r="D2914" s="2" t="str">
        <f t="shared" si="44"/>
        <v>Error?</v>
      </c>
    </row>
    <row r="2915" spans="1:4">
      <c r="A2915" s="10">
        <v>2854</v>
      </c>
      <c r="D2915" s="2" t="str">
        <f t="shared" si="44"/>
        <v>OK</v>
      </c>
    </row>
    <row r="2916" spans="1:4">
      <c r="A2916" s="5">
        <v>2855</v>
      </c>
      <c r="B2916" s="137">
        <f>'Assets-Liab 5-6'!L34</f>
        <v>352547</v>
      </c>
      <c r="C2916" s="2" t="s">
        <v>594</v>
      </c>
      <c r="D2916" s="2" t="str">
        <f t="shared" si="44"/>
        <v>Error?</v>
      </c>
    </row>
    <row r="2917" spans="1:4">
      <c r="A2917" s="5">
        <v>2856</v>
      </c>
      <c r="B2917" s="137">
        <f>'Assets-Liab 5-6'!L41</f>
        <v>352547</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828</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594</v>
      </c>
      <c r="D2973" s="2" t="str">
        <f t="shared" si="45"/>
        <v>Error?</v>
      </c>
    </row>
    <row r="2974" spans="1:4">
      <c r="A2974" s="5">
        <v>2913</v>
      </c>
      <c r="B2974" s="137">
        <f>'Expenditures 15-22'!K79</f>
        <v>0</v>
      </c>
      <c r="C2974" s="2" t="s">
        <v>594</v>
      </c>
      <c r="D2974" s="2" t="str">
        <f t="shared" si="45"/>
        <v>Error?</v>
      </c>
    </row>
    <row r="2975" spans="1:4">
      <c r="A2975" s="5">
        <v>2914</v>
      </c>
      <c r="B2975" s="137">
        <f>'Expenditures 15-22'!K80</f>
        <v>0</v>
      </c>
      <c r="C2975" s="2" t="s">
        <v>594</v>
      </c>
      <c r="D2975" s="2" t="str">
        <f t="shared" si="45"/>
        <v>Error?</v>
      </c>
    </row>
    <row r="2976" spans="1:4">
      <c r="A2976" s="5">
        <v>2915</v>
      </c>
      <c r="B2976" s="137">
        <f>'Expenditures 15-22'!K81</f>
        <v>0</v>
      </c>
      <c r="C2976" s="2" t="s">
        <v>594</v>
      </c>
      <c r="D2976" s="2" t="str">
        <f t="shared" si="45"/>
        <v>Error?</v>
      </c>
    </row>
    <row r="2977" spans="1:4">
      <c r="A2977" s="5">
        <v>2916</v>
      </c>
      <c r="B2977" s="137">
        <f>'Expenditures 15-22'!K82</f>
        <v>0</v>
      </c>
      <c r="C2977" s="2" t="s">
        <v>594</v>
      </c>
      <c r="D2977" s="2" t="str">
        <f t="shared" si="45"/>
        <v>Error?</v>
      </c>
    </row>
    <row r="2978" spans="1:4">
      <c r="A2978" s="5">
        <v>2917</v>
      </c>
      <c r="B2978" s="137">
        <f>'Expenditures 15-22'!K83</f>
        <v>828</v>
      </c>
      <c r="C2978" s="2" t="s">
        <v>594</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7">
        <f>'Expenditures 15-22'!K134</f>
        <v>0</v>
      </c>
      <c r="C2986" s="2" t="s">
        <v>594</v>
      </c>
      <c r="D2986" s="2" t="str">
        <f t="shared" si="45"/>
        <v>Error?</v>
      </c>
    </row>
    <row r="2987" spans="1:4">
      <c r="A2987" s="5">
        <v>2926</v>
      </c>
      <c r="B2987" s="137">
        <f>'Expenditures 15-22'!K135</f>
        <v>0</v>
      </c>
      <c r="C2987" s="2" t="s">
        <v>594</v>
      </c>
      <c r="D2987" s="2" t="str">
        <f t="shared" si="45"/>
        <v>Error?</v>
      </c>
    </row>
    <row r="2988" spans="1:4">
      <c r="A2988" s="5">
        <v>2927</v>
      </c>
      <c r="B2988" s="137">
        <f>'Expenditures 15-22'!K136</f>
        <v>0</v>
      </c>
      <c r="C2988" s="2" t="s">
        <v>594</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594</v>
      </c>
      <c r="D3007" s="2" t="str">
        <f t="shared" ref="D3007:D3070" si="46">IF(ISBLANK(B3007),"OK",IF(A3007-B3007=0,"OK","Error?"))</f>
        <v>Error?</v>
      </c>
    </row>
    <row r="3008" spans="1:4">
      <c r="A3008" s="5">
        <v>2947</v>
      </c>
      <c r="B3008" s="137">
        <f>'Expenditures 15-22'!K189</f>
        <v>0</v>
      </c>
      <c r="C3008" s="2" t="s">
        <v>594</v>
      </c>
      <c r="D3008" s="2" t="str">
        <f t="shared" si="46"/>
        <v>Error?</v>
      </c>
    </row>
    <row r="3009" spans="1:4">
      <c r="A3009" s="5">
        <v>2948</v>
      </c>
      <c r="B3009" s="137">
        <f>'Expenditures 15-22'!K190</f>
        <v>0</v>
      </c>
      <c r="C3009" s="2" t="s">
        <v>594</v>
      </c>
      <c r="D3009" s="2" t="str">
        <f t="shared" si="46"/>
        <v>Error?</v>
      </c>
    </row>
    <row r="3010" spans="1:4">
      <c r="A3010" s="5">
        <v>2949</v>
      </c>
      <c r="B3010" s="137">
        <f>'Expenditures 15-22'!K191</f>
        <v>0</v>
      </c>
      <c r="C3010" s="2" t="s">
        <v>594</v>
      </c>
      <c r="D3010" s="2" t="str">
        <f t="shared" si="46"/>
        <v>Error?</v>
      </c>
    </row>
    <row r="3011" spans="1:4">
      <c r="A3011" s="5">
        <v>2950</v>
      </c>
      <c r="B3011" s="137">
        <f>'Expenditures 15-22'!K192</f>
        <v>0</v>
      </c>
      <c r="C3011" s="2" t="s">
        <v>594</v>
      </c>
      <c r="D3011" s="2" t="str">
        <f t="shared" si="46"/>
        <v>Error?</v>
      </c>
    </row>
    <row r="3012" spans="1:4">
      <c r="A3012" s="5">
        <v>2951</v>
      </c>
      <c r="B3012" s="137">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217678</v>
      </c>
      <c r="D3055" s="2" t="str">
        <f t="shared" si="46"/>
        <v>Error?</v>
      </c>
    </row>
    <row r="3056" spans="1:4">
      <c r="A3056" s="5">
        <v>2995</v>
      </c>
      <c r="B3056" s="137">
        <f>'Expenditures 15-22'!D10</f>
        <v>41912</v>
      </c>
      <c r="D3056" s="2" t="str">
        <f t="shared" si="46"/>
        <v>Error?</v>
      </c>
    </row>
    <row r="3057" spans="1:4">
      <c r="A3057" s="5">
        <v>2996</v>
      </c>
      <c r="B3057" s="137">
        <f>'Expenditures 15-22'!E10</f>
        <v>8675</v>
      </c>
      <c r="D3057" s="2" t="str">
        <f t="shared" si="46"/>
        <v>Error?</v>
      </c>
    </row>
    <row r="3058" spans="1:4">
      <c r="A3058" s="5">
        <v>2997</v>
      </c>
      <c r="B3058" s="137">
        <f>'Expenditures 15-22'!F10</f>
        <v>227203</v>
      </c>
      <c r="D3058" s="2" t="str">
        <f t="shared" si="46"/>
        <v>Error?</v>
      </c>
    </row>
    <row r="3059" spans="1:4">
      <c r="A3059" s="5">
        <v>2998</v>
      </c>
      <c r="B3059" s="137">
        <f>'Expenditures 15-22'!G10</f>
        <v>44163</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539631</v>
      </c>
      <c r="C3062" s="2" t="s">
        <v>594</v>
      </c>
      <c r="D3062" s="2" t="str">
        <f t="shared" si="46"/>
        <v>Error?</v>
      </c>
    </row>
    <row r="3063" spans="1:4">
      <c r="A3063" s="10">
        <v>3002</v>
      </c>
      <c r="D3063" s="2" t="str">
        <f t="shared" si="46"/>
        <v>OK</v>
      </c>
    </row>
    <row r="3064" spans="1:4">
      <c r="A3064" s="5">
        <v>3003</v>
      </c>
      <c r="B3064" s="137">
        <f>'Expenditures 15-22'!D219</f>
        <v>3221</v>
      </c>
      <c r="D3064" s="2" t="str">
        <f t="shared" si="46"/>
        <v>Error?</v>
      </c>
    </row>
    <row r="3065" spans="1:4">
      <c r="A3065" s="5">
        <v>3004</v>
      </c>
      <c r="B3065" s="137">
        <f>'Expenditures 15-22'!K219</f>
        <v>3221</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394918</v>
      </c>
      <c r="C3225" s="2" t="s">
        <v>594</v>
      </c>
      <c r="D3225" s="2" t="str">
        <f t="shared" si="49"/>
        <v>Error?</v>
      </c>
    </row>
    <row r="3226" spans="1:4">
      <c r="A3226" s="5">
        <v>3165</v>
      </c>
      <c r="B3226" s="137">
        <f>'Acct Summary 7-8'!I8</f>
        <v>394918</v>
      </c>
      <c r="C3226" s="2" t="s">
        <v>594</v>
      </c>
      <c r="D3226" s="2" t="str">
        <f t="shared" si="49"/>
        <v>Error?</v>
      </c>
    </row>
    <row r="3227" spans="1:4">
      <c r="A3227" s="5">
        <v>3166</v>
      </c>
      <c r="B3227" s="137">
        <f>'Acct Summary 7-8'!I20</f>
        <v>394918</v>
      </c>
      <c r="C3227" s="2" t="s">
        <v>594</v>
      </c>
      <c r="D3227" s="2" t="str">
        <f t="shared" si="49"/>
        <v>Error?</v>
      </c>
    </row>
    <row r="3228" spans="1:4">
      <c r="A3228" s="5">
        <v>3167</v>
      </c>
      <c r="B3228" s="137">
        <f>'Acct Summary 7-8'!C43</f>
        <v>0</v>
      </c>
      <c r="D3228" s="2" t="str">
        <f t="shared" si="49"/>
        <v>Error?</v>
      </c>
    </row>
    <row r="3229" spans="1:4">
      <c r="A3229" s="5">
        <v>3168</v>
      </c>
      <c r="B3229" s="137">
        <f>'Acct Summary 7-8'!C44</f>
        <v>3000000</v>
      </c>
      <c r="C3229" s="2" t="s">
        <v>594</v>
      </c>
      <c r="D3229" s="2" t="str">
        <f t="shared" si="49"/>
        <v>Error?</v>
      </c>
    </row>
    <row r="3230" spans="1:4">
      <c r="A3230" s="5">
        <v>3169</v>
      </c>
      <c r="B3230" s="137">
        <f>'Acct Summary 7-8'!C75</f>
        <v>0</v>
      </c>
      <c r="D3230" s="2" t="str">
        <f t="shared" si="49"/>
        <v>Error?</v>
      </c>
    </row>
    <row r="3231" spans="1:4">
      <c r="A3231" s="5">
        <v>3170</v>
      </c>
      <c r="B3231" s="137">
        <f>'Acct Summary 7-8'!C76</f>
        <v>179314</v>
      </c>
      <c r="C3231" s="2" t="s">
        <v>594</v>
      </c>
      <c r="D3231" s="2" t="str">
        <f t="shared" si="49"/>
        <v>Error?</v>
      </c>
    </row>
    <row r="3232" spans="1:4">
      <c r="A3232" s="5">
        <v>3171</v>
      </c>
      <c r="B3232" s="137">
        <f>'Acct Summary 7-8'!C77</f>
        <v>2820686</v>
      </c>
      <c r="C3232" s="2" t="s">
        <v>594</v>
      </c>
      <c r="D3232" s="2" t="str">
        <f t="shared" si="49"/>
        <v>Error?</v>
      </c>
    </row>
    <row r="3233" spans="1:4">
      <c r="A3233" s="5">
        <v>3172</v>
      </c>
      <c r="B3233" s="137">
        <f>'Acct Summary 7-8'!C78</f>
        <v>4149657</v>
      </c>
      <c r="C3233" s="2" t="s">
        <v>594</v>
      </c>
      <c r="D3233" s="2" t="str">
        <f t="shared" si="49"/>
        <v>Error?</v>
      </c>
    </row>
    <row r="3234" spans="1:4">
      <c r="A3234" s="5">
        <v>3173</v>
      </c>
      <c r="B3234" s="137">
        <f>'Acct Summary 7-8'!D43</f>
        <v>0</v>
      </c>
      <c r="D3234" s="2" t="str">
        <f t="shared" si="49"/>
        <v>Error?</v>
      </c>
    </row>
    <row r="3235" spans="1:4">
      <c r="A3235" s="5">
        <v>3174</v>
      </c>
      <c r="B3235" s="137">
        <f>'Acct Summary 7-8'!D44</f>
        <v>0</v>
      </c>
      <c r="C3235" s="2" t="s">
        <v>594</v>
      </c>
      <c r="D3235" s="2" t="str">
        <f t="shared" si="49"/>
        <v>Error?</v>
      </c>
    </row>
    <row r="3236" spans="1:4">
      <c r="A3236" s="5">
        <v>3175</v>
      </c>
      <c r="B3236" s="137">
        <f>'Acct Summary 7-8'!D75</f>
        <v>0</v>
      </c>
      <c r="D3236" s="2" t="str">
        <f t="shared" si="49"/>
        <v>Error?</v>
      </c>
    </row>
    <row r="3237" spans="1:4">
      <c r="A3237" s="5">
        <v>3176</v>
      </c>
      <c r="B3237" s="137">
        <f>'Acct Summary 7-8'!D76</f>
        <v>312136</v>
      </c>
      <c r="C3237" s="2" t="s">
        <v>594</v>
      </c>
      <c r="D3237" s="2" t="str">
        <f t="shared" si="49"/>
        <v>Error?</v>
      </c>
    </row>
    <row r="3238" spans="1:4">
      <c r="A3238" s="5">
        <v>3177</v>
      </c>
      <c r="B3238" s="137">
        <f>'Acct Summary 7-8'!D77</f>
        <v>-312136</v>
      </c>
      <c r="C3238" s="2" t="s">
        <v>594</v>
      </c>
      <c r="D3238" s="2" t="str">
        <f t="shared" si="49"/>
        <v>Error?</v>
      </c>
    </row>
    <row r="3239" spans="1:4">
      <c r="A3239" s="5">
        <v>3178</v>
      </c>
      <c r="B3239" s="137">
        <f>'Acct Summary 7-8'!D78</f>
        <v>-706256</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594</v>
      </c>
      <c r="D3252" s="2" t="str">
        <f t="shared" si="49"/>
        <v>Error?</v>
      </c>
    </row>
    <row r="3253" spans="1:4">
      <c r="A3253" s="5">
        <v>3192</v>
      </c>
      <c r="B3253" s="137">
        <f>'Acct Summary 7-8'!F75</f>
        <v>0</v>
      </c>
      <c r="D3253" s="2" t="str">
        <f t="shared" si="49"/>
        <v>Error?</v>
      </c>
    </row>
    <row r="3254" spans="1:4">
      <c r="A3254" s="5">
        <v>3193</v>
      </c>
      <c r="B3254" s="137">
        <f>'Acct Summary 7-8'!F76</f>
        <v>3000000</v>
      </c>
      <c r="C3254" s="2" t="s">
        <v>594</v>
      </c>
      <c r="D3254" s="2" t="str">
        <f t="shared" si="49"/>
        <v>Error?</v>
      </c>
    </row>
    <row r="3255" spans="1:4">
      <c r="A3255" s="5">
        <v>3194</v>
      </c>
      <c r="B3255" s="137">
        <f>'Acct Summary 7-8'!F77</f>
        <v>-3000000</v>
      </c>
      <c r="C3255" s="2" t="s">
        <v>594</v>
      </c>
      <c r="D3255" s="2" t="str">
        <f t="shared" si="49"/>
        <v>Error?</v>
      </c>
    </row>
    <row r="3256" spans="1:4">
      <c r="A3256" s="5">
        <v>3195</v>
      </c>
      <c r="B3256" s="137">
        <f>'Acct Summary 7-8'!F78</f>
        <v>-1305593</v>
      </c>
      <c r="C3256" s="2" t="s">
        <v>594</v>
      </c>
      <c r="D3256" s="2" t="str">
        <f t="shared" si="49"/>
        <v>Error?</v>
      </c>
    </row>
    <row r="3257" spans="1:4">
      <c r="A3257" s="5">
        <v>3196</v>
      </c>
      <c r="B3257" s="137">
        <f>'Acct Summary 7-8'!G43</f>
        <v>0</v>
      </c>
      <c r="D3257" s="2" t="str">
        <f t="shared" si="49"/>
        <v>Error?</v>
      </c>
    </row>
    <row r="3258" spans="1:4">
      <c r="A3258" s="5">
        <v>3197</v>
      </c>
      <c r="B3258" s="137">
        <f>'Acct Summary 7-8'!G44</f>
        <v>0</v>
      </c>
      <c r="C3258" s="2" t="s">
        <v>594</v>
      </c>
      <c r="D3258" s="2" t="str">
        <f t="shared" si="49"/>
        <v>Error?</v>
      </c>
    </row>
    <row r="3259" spans="1:4">
      <c r="A3259" s="5">
        <v>3198</v>
      </c>
      <c r="B3259" s="137">
        <f>'Acct Summary 7-8'!G50</f>
        <v>0</v>
      </c>
      <c r="D3259" s="2" t="str">
        <f t="shared" si="49"/>
        <v>Error?</v>
      </c>
    </row>
    <row r="3260" spans="1:4">
      <c r="A3260" s="5">
        <v>3199</v>
      </c>
      <c r="B3260" s="137">
        <f>'Acct Summary 7-8'!G76</f>
        <v>0</v>
      </c>
      <c r="C3260" s="2" t="s">
        <v>594</v>
      </c>
      <c r="D3260" s="2" t="str">
        <f t="shared" si="49"/>
        <v>Error?</v>
      </c>
    </row>
    <row r="3261" spans="1:4">
      <c r="A3261" s="5">
        <v>3200</v>
      </c>
      <c r="B3261" s="137">
        <f>'Acct Summary 7-8'!G77</f>
        <v>0</v>
      </c>
      <c r="C3261" s="2" t="s">
        <v>594</v>
      </c>
      <c r="D3261" s="2" t="str">
        <f t="shared" si="49"/>
        <v>Error?</v>
      </c>
    </row>
    <row r="3262" spans="1:4">
      <c r="A3262" s="5">
        <v>3201</v>
      </c>
      <c r="B3262" s="137">
        <f>'Acct Summary 7-8'!G78</f>
        <v>-879939</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491450</v>
      </c>
      <c r="C3274" s="2" t="s">
        <v>594</v>
      </c>
      <c r="D3274" s="2" t="str">
        <f t="shared" si="50"/>
        <v>Error?</v>
      </c>
    </row>
    <row r="3275" spans="1:4">
      <c r="A3275" s="5">
        <v>3214</v>
      </c>
      <c r="B3275" s="137">
        <f>'Acct Summary 7-8'!E75</f>
        <v>0</v>
      </c>
      <c r="D3275" s="2" t="str">
        <f t="shared" si="50"/>
        <v>Error?</v>
      </c>
    </row>
    <row r="3276" spans="1:4">
      <c r="A3276" s="5">
        <v>3215</v>
      </c>
      <c r="B3276" s="137">
        <f>'Acct Summary 7-8'!E76</f>
        <v>0</v>
      </c>
      <c r="C3276" s="2" t="s">
        <v>594</v>
      </c>
      <c r="D3276" s="2" t="str">
        <f t="shared" si="50"/>
        <v>Error?</v>
      </c>
    </row>
    <row r="3277" spans="1:4">
      <c r="A3277" s="5">
        <v>3216</v>
      </c>
      <c r="B3277" s="137">
        <f>'Acct Summary 7-8'!E77</f>
        <v>491450</v>
      </c>
      <c r="C3277" s="2" t="s">
        <v>594</v>
      </c>
      <c r="D3277" s="2" t="str">
        <f t="shared" si="50"/>
        <v>Error?</v>
      </c>
    </row>
    <row r="3278" spans="1:4">
      <c r="A3278" s="5">
        <v>3217</v>
      </c>
      <c r="B3278" s="137">
        <f>'Acct Summary 7-8'!E78</f>
        <v>-323199</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594</v>
      </c>
      <c r="D3296" s="2" t="str">
        <f t="shared" si="50"/>
        <v>Error?</v>
      </c>
    </row>
    <row r="3297" spans="1:4">
      <c r="A3297" s="5">
        <v>3236</v>
      </c>
      <c r="B3297" s="137">
        <f>'Acct Summary 7-8'!H75</f>
        <v>0</v>
      </c>
      <c r="D3297" s="2" t="str">
        <f t="shared" si="50"/>
        <v>Error?</v>
      </c>
    </row>
    <row r="3298" spans="1:4">
      <c r="A3298" s="5">
        <v>3237</v>
      </c>
      <c r="B3298" s="137">
        <f>'Acct Summary 7-8'!H76</f>
        <v>0</v>
      </c>
      <c r="C3298" s="2" t="s">
        <v>594</v>
      </c>
      <c r="D3298" s="2" t="str">
        <f t="shared" si="50"/>
        <v>Error?</v>
      </c>
    </row>
    <row r="3299" spans="1:4">
      <c r="A3299" s="5">
        <v>3238</v>
      </c>
      <c r="B3299" s="137">
        <f>'Acct Summary 7-8'!H77</f>
        <v>0</v>
      </c>
      <c r="C3299" s="2" t="s">
        <v>594</v>
      </c>
      <c r="D3299" s="2" t="str">
        <f t="shared" si="50"/>
        <v>Error?</v>
      </c>
    </row>
    <row r="3300" spans="1:4">
      <c r="A3300" s="5">
        <v>3239</v>
      </c>
      <c r="B3300" s="137">
        <f>'Acct Summary 7-8'!H78</f>
        <v>33387</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594</v>
      </c>
      <c r="D3317" s="2" t="str">
        <f t="shared" si="50"/>
        <v>Error?</v>
      </c>
    </row>
    <row r="3318" spans="1:4">
      <c r="A3318" s="5">
        <v>3257</v>
      </c>
      <c r="B3318" s="137">
        <f>'Acct Summary 7-8'!I76</f>
        <v>0</v>
      </c>
      <c r="C3318" s="2" t="s">
        <v>594</v>
      </c>
      <c r="D3318" s="2" t="str">
        <f t="shared" si="50"/>
        <v>Error?</v>
      </c>
    </row>
    <row r="3319" spans="1:4">
      <c r="A3319" s="5">
        <v>3258</v>
      </c>
      <c r="B3319" s="137">
        <f>'Acct Summary 7-8'!I77</f>
        <v>0</v>
      </c>
      <c r="C3319" s="2" t="s">
        <v>594</v>
      </c>
      <c r="D3319" s="2" t="str">
        <f t="shared" si="50"/>
        <v>Error?</v>
      </c>
    </row>
    <row r="3320" spans="1:4">
      <c r="A3320" s="5">
        <v>3259</v>
      </c>
      <c r="B3320" s="137">
        <f>'Acct Summary 7-8'!I78</f>
        <v>394918</v>
      </c>
      <c r="C3320" s="2" t="s">
        <v>594</v>
      </c>
      <c r="D3320" s="2" t="str">
        <f t="shared" si="50"/>
        <v>Error?</v>
      </c>
    </row>
    <row r="3321" spans="1:4">
      <c r="A3321" s="5">
        <v>3260</v>
      </c>
      <c r="B3321" s="137">
        <f>'Acct Summary 7-8'!I79</f>
        <v>4885628</v>
      </c>
      <c r="D3321" s="2" t="str">
        <f t="shared" si="50"/>
        <v>Error?</v>
      </c>
    </row>
    <row r="3322" spans="1:4">
      <c r="A3322" s="5">
        <v>3261</v>
      </c>
      <c r="B3322" s="137">
        <f>'Acct Summary 7-8'!I80</f>
        <v>0</v>
      </c>
      <c r="D3322" s="2" t="str">
        <f t="shared" si="50"/>
        <v>Error?</v>
      </c>
    </row>
    <row r="3323" spans="1:4">
      <c r="A3323" s="5">
        <v>3262</v>
      </c>
      <c r="B3323" s="137">
        <f>'Acct Summary 7-8'!I81</f>
        <v>5280546</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5140342</v>
      </c>
      <c r="D3366" s="2" t="str">
        <f t="shared" si="51"/>
        <v>Error?</v>
      </c>
    </row>
    <row r="3367" spans="1:4">
      <c r="A3367" s="5">
        <v>3306</v>
      </c>
      <c r="B3367" s="137">
        <f>'Expenditures 15-22'!C19</f>
        <v>0</v>
      </c>
      <c r="D3367" s="2" t="str">
        <f t="shared" si="51"/>
        <v>Error?</v>
      </c>
    </row>
    <row r="3368" spans="1:4">
      <c r="A3368" s="5">
        <v>3307</v>
      </c>
      <c r="B3368" s="137">
        <f>'Expenditures 15-22'!D8</f>
        <v>1019845</v>
      </c>
      <c r="D3368" s="2" t="str">
        <f t="shared" si="51"/>
        <v>Error?</v>
      </c>
    </row>
    <row r="3369" spans="1:4">
      <c r="A3369" s="5">
        <v>3308</v>
      </c>
      <c r="B3369" s="137">
        <f>'Expenditures 15-22'!D19</f>
        <v>0</v>
      </c>
      <c r="D3369" s="2" t="str">
        <f t="shared" si="51"/>
        <v>Error?</v>
      </c>
    </row>
    <row r="3370" spans="1:4">
      <c r="A3370" s="5">
        <v>3309</v>
      </c>
      <c r="B3370" s="137">
        <f>'Expenditures 15-22'!E8</f>
        <v>96287</v>
      </c>
      <c r="D3370" s="2" t="str">
        <f t="shared" si="51"/>
        <v>Error?</v>
      </c>
    </row>
    <row r="3371" spans="1:4">
      <c r="A3371" s="5">
        <v>3310</v>
      </c>
      <c r="B3371" s="137">
        <f>'Expenditures 15-22'!E19</f>
        <v>0</v>
      </c>
      <c r="D3371" s="2" t="str">
        <f t="shared" si="51"/>
        <v>Error?</v>
      </c>
    </row>
    <row r="3372" spans="1:4">
      <c r="A3372" s="5">
        <v>3311</v>
      </c>
      <c r="B3372" s="137">
        <f>'Expenditures 15-22'!F8</f>
        <v>139600</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6454410</v>
      </c>
      <c r="C3380" s="2" t="s">
        <v>594</v>
      </c>
      <c r="D3380" s="2" t="str">
        <f t="shared" si="51"/>
        <v>Error?</v>
      </c>
    </row>
    <row r="3381" spans="1:4">
      <c r="A3381" s="5">
        <v>3320</v>
      </c>
      <c r="B3381" s="137">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220528</v>
      </c>
      <c r="D3387" s="2" t="str">
        <f t="shared" si="51"/>
        <v>Error?</v>
      </c>
    </row>
    <row r="3388" spans="1:4">
      <c r="A3388" s="5">
        <v>3327</v>
      </c>
      <c r="B3388" s="137">
        <f>'Expenditures 15-22'!D217</f>
        <v>260091</v>
      </c>
      <c r="D3388" s="2" t="str">
        <f t="shared" si="51"/>
        <v>Error?</v>
      </c>
    </row>
    <row r="3389" spans="1:4">
      <c r="A3389" s="5">
        <v>3328</v>
      </c>
      <c r="B3389" s="137">
        <f>'Expenditures 15-22'!D228</f>
        <v>0</v>
      </c>
      <c r="D3389" s="2" t="str">
        <f t="shared" si="51"/>
        <v>Error?</v>
      </c>
    </row>
    <row r="3390" spans="1:4">
      <c r="A3390" s="5">
        <v>3329</v>
      </c>
      <c r="B3390" s="137">
        <f>'Expenditures 15-22'!K215</f>
        <v>220528</v>
      </c>
      <c r="C3390" s="2" t="s">
        <v>594</v>
      </c>
      <c r="D3390" s="2" t="str">
        <f t="shared" si="51"/>
        <v>Error?</v>
      </c>
    </row>
    <row r="3391" spans="1:4">
      <c r="A3391" s="5">
        <v>3330</v>
      </c>
      <c r="B3391" s="137">
        <f>'Expenditures 15-22'!K217</f>
        <v>260091</v>
      </c>
      <c r="C3391" s="2" t="s">
        <v>594</v>
      </c>
      <c r="D3391" s="2" t="str">
        <f t="shared" ref="D3391:D3454" si="52">IF(ISBLANK(B3391),"OK",IF(A3391-B3391=0,"OK","Error?"))</f>
        <v>Error?</v>
      </c>
    </row>
    <row r="3392" spans="1:4">
      <c r="A3392" s="5">
        <v>3331</v>
      </c>
      <c r="B3392" s="137">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594</v>
      </c>
      <c r="D3405" s="2" t="str">
        <f t="shared" si="52"/>
        <v>Error?</v>
      </c>
    </row>
    <row r="3406" spans="1:4">
      <c r="A3406" s="5">
        <v>3345</v>
      </c>
      <c r="B3406" s="137">
        <f>'Acct Summary 7-8'!D5</f>
        <v>0</v>
      </c>
      <c r="C3406" s="2" t="s">
        <v>594</v>
      </c>
      <c r="D3406" s="2" t="str">
        <f t="shared" si="52"/>
        <v>Error?</v>
      </c>
    </row>
    <row r="3407" spans="1:4">
      <c r="A3407" s="10">
        <v>3346</v>
      </c>
      <c r="D3407" s="2" t="str">
        <f t="shared" si="52"/>
        <v>OK</v>
      </c>
    </row>
    <row r="3408" spans="1:4">
      <c r="A3408" s="5">
        <v>3347</v>
      </c>
      <c r="B3408" s="137">
        <f>'Acct Summary 7-8'!F5</f>
        <v>0</v>
      </c>
      <c r="C3408" s="2" t="s">
        <v>594</v>
      </c>
      <c r="D3408" s="2" t="str">
        <f t="shared" si="52"/>
        <v>Error?</v>
      </c>
    </row>
    <row r="3409" spans="1:4">
      <c r="A3409" s="5">
        <v>3348</v>
      </c>
      <c r="B3409" s="137">
        <f>'Acct Summary 7-8'!G5</f>
        <v>0</v>
      </c>
      <c r="C3409" s="2" t="s">
        <v>594</v>
      </c>
      <c r="D3409" s="2" t="str">
        <f t="shared" si="52"/>
        <v>Error?</v>
      </c>
    </row>
    <row r="3410" spans="1:4">
      <c r="A3410" s="10">
        <v>3349</v>
      </c>
      <c r="D3410" s="2" t="str">
        <f t="shared" si="52"/>
        <v>OK</v>
      </c>
    </row>
    <row r="3411" spans="1:4">
      <c r="A3411" s="5">
        <v>3350</v>
      </c>
      <c r="B3411" s="137">
        <f>'Assets-Liab 5-6'!C4</f>
        <v>21249725</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3684278</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3554796</v>
      </c>
      <c r="D3417" s="2" t="str">
        <f t="shared" si="52"/>
        <v>Error?</v>
      </c>
    </row>
    <row r="3418" spans="1:4">
      <c r="A3418" s="10">
        <v>3357</v>
      </c>
      <c r="D3418" s="2" t="str">
        <f t="shared" si="52"/>
        <v>OK</v>
      </c>
    </row>
    <row r="3419" spans="1:4">
      <c r="A3419" s="5">
        <v>3358</v>
      </c>
      <c r="B3419" s="137">
        <f>'Assets-Liab 5-6'!F4</f>
        <v>4201800</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347060</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2393735</v>
      </c>
      <c r="D3425" s="2" t="str">
        <f t="shared" si="52"/>
        <v>Error?</v>
      </c>
    </row>
    <row r="3426" spans="1:4">
      <c r="A3426" s="10">
        <v>3365</v>
      </c>
      <c r="D3426" s="2" t="str">
        <f t="shared" si="52"/>
        <v>OK</v>
      </c>
    </row>
    <row r="3427" spans="1:4">
      <c r="A3427" s="5">
        <v>3366</v>
      </c>
      <c r="B3427" s="137">
        <f>'Assets-Liab 5-6'!I4</f>
        <v>5280546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352547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7">
        <f>'Tax Sched 23'!B16</f>
        <v>537389</v>
      </c>
      <c r="C3446" s="2" t="s">
        <v>594</v>
      </c>
      <c r="D3446" s="2" t="str">
        <f t="shared" si="52"/>
        <v>Error?</v>
      </c>
    </row>
    <row r="3447" spans="1:4">
      <c r="A3447" s="5">
        <v>3386</v>
      </c>
      <c r="B3447" s="137">
        <f>'Tax Sched 23'!D16</f>
        <v>392294</v>
      </c>
      <c r="C3447" s="2" t="s">
        <v>594</v>
      </c>
      <c r="D3447" s="2" t="str">
        <f t="shared" si="52"/>
        <v>Error?</v>
      </c>
    </row>
    <row r="3448" spans="1:4">
      <c r="A3448" s="5">
        <v>3387</v>
      </c>
      <c r="B3448" s="137">
        <f>'Tax Sched 23'!C16</f>
        <v>145095</v>
      </c>
      <c r="D3448" s="2" t="str">
        <f t="shared" si="52"/>
        <v>Error?</v>
      </c>
    </row>
    <row r="3449" spans="1:4">
      <c r="A3449" s="5">
        <v>3388</v>
      </c>
      <c r="B3449" s="137">
        <f>'Tax Sched 23'!F16</f>
        <v>181612</v>
      </c>
      <c r="C3449" s="2" t="s">
        <v>594</v>
      </c>
      <c r="D3449" s="2" t="str">
        <f t="shared" si="52"/>
        <v>Error?</v>
      </c>
    </row>
    <row r="3450" spans="1:4">
      <c r="A3450" s="5">
        <v>3389</v>
      </c>
      <c r="B3450" s="137">
        <f>'Tax Sched 23'!E16</f>
        <v>326707</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594</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3211827</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3211827</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594</v>
      </c>
      <c r="D3565" s="2" t="str">
        <f t="shared" si="54"/>
        <v>Error?</v>
      </c>
    </row>
    <row r="3566" spans="1:4">
      <c r="A3566" s="5">
        <v>3505</v>
      </c>
      <c r="B3566" s="137">
        <f>'Assets-Liab 5-6'!K38</f>
        <v>0</v>
      </c>
      <c r="D3566" s="2" t="str">
        <f t="shared" si="54"/>
        <v>Error?</v>
      </c>
    </row>
    <row r="3567" spans="1:4">
      <c r="A3567" s="5">
        <v>3506</v>
      </c>
      <c r="B3567" s="137">
        <f>'Assets-Liab 5-6'!K39</f>
        <v>3211827</v>
      </c>
      <c r="D3567" s="2" t="str">
        <f t="shared" si="54"/>
        <v>Error?</v>
      </c>
    </row>
    <row r="3568" spans="1:4">
      <c r="A3568" s="5">
        <v>3507</v>
      </c>
      <c r="B3568" s="137">
        <f>'Assets-Liab 5-6'!K41</f>
        <v>3211827</v>
      </c>
      <c r="C3568" s="2" t="s">
        <v>594</v>
      </c>
      <c r="D3568" s="2" t="str">
        <f t="shared" si="54"/>
        <v>Error?</v>
      </c>
    </row>
    <row r="3569" spans="1:4">
      <c r="A3569" s="5">
        <v>3508</v>
      </c>
      <c r="B3569" s="137">
        <f>'Acct Summary 7-8'!K4</f>
        <v>412073</v>
      </c>
      <c r="C3569" s="2" t="s">
        <v>594</v>
      </c>
      <c r="D3569" s="2" t="str">
        <f t="shared" si="54"/>
        <v>Error?</v>
      </c>
    </row>
    <row r="3570" spans="1:4">
      <c r="A3570" s="5">
        <v>3509</v>
      </c>
      <c r="B3570" s="137">
        <f>'Acct Summary 7-8'!K6</f>
        <v>0</v>
      </c>
      <c r="C3570" s="2" t="s">
        <v>594</v>
      </c>
      <c r="D3570" s="2" t="str">
        <f t="shared" si="54"/>
        <v>Error?</v>
      </c>
    </row>
    <row r="3571" spans="1:4">
      <c r="A3571" s="5">
        <v>3510</v>
      </c>
      <c r="B3571" s="137">
        <f>'Acct Summary 7-8'!K8</f>
        <v>412073</v>
      </c>
      <c r="C3571" s="2" t="s">
        <v>594</v>
      </c>
      <c r="D3571" s="2" t="str">
        <f t="shared" si="54"/>
        <v>Error?</v>
      </c>
    </row>
    <row r="3572" spans="1:4">
      <c r="A3572" s="5">
        <v>3511</v>
      </c>
      <c r="B3572" s="137">
        <f>'Acct Summary 7-8'!K13</f>
        <v>0</v>
      </c>
      <c r="C3572" s="2" t="s">
        <v>594</v>
      </c>
      <c r="D3572" s="2" t="str">
        <f t="shared" si="54"/>
        <v>Error?</v>
      </c>
    </row>
    <row r="3573" spans="1:4">
      <c r="A3573" s="5">
        <v>3512</v>
      </c>
      <c r="B3573" s="137">
        <f>'Acct Summary 7-8'!K15</f>
        <v>0</v>
      </c>
      <c r="C3573" s="2" t="s">
        <v>594</v>
      </c>
      <c r="D3573" s="2" t="str">
        <f t="shared" si="54"/>
        <v>Error?</v>
      </c>
    </row>
    <row r="3574" spans="1:4">
      <c r="A3574" s="5">
        <v>3513</v>
      </c>
      <c r="B3574" s="137">
        <f>'Acct Summary 7-8'!K16</f>
        <v>0</v>
      </c>
      <c r="C3574" s="2" t="s">
        <v>594</v>
      </c>
      <c r="D3574" s="2" t="str">
        <f t="shared" si="54"/>
        <v>Error?</v>
      </c>
    </row>
    <row r="3575" spans="1:4">
      <c r="A3575" s="5">
        <v>3514</v>
      </c>
      <c r="B3575" s="137">
        <f>'Acct Summary 7-8'!K17</f>
        <v>0</v>
      </c>
      <c r="C3575" s="2" t="s">
        <v>594</v>
      </c>
      <c r="D3575" s="2" t="str">
        <f t="shared" si="54"/>
        <v>Error?</v>
      </c>
    </row>
    <row r="3576" spans="1:4">
      <c r="A3576" s="5">
        <v>3515</v>
      </c>
      <c r="B3576" s="137">
        <f>'Acct Summary 7-8'!K20</f>
        <v>412073</v>
      </c>
      <c r="C3576" s="2" t="s">
        <v>594</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594</v>
      </c>
      <c r="D3584" s="2" t="str">
        <f t="shared" si="55"/>
        <v>Error?</v>
      </c>
    </row>
    <row r="3585" spans="1:4">
      <c r="A3585" s="12">
        <v>3524</v>
      </c>
      <c r="B3585" s="137">
        <f>'Acct Summary 7-8'!K75</f>
        <v>0</v>
      </c>
      <c r="D3585" s="2" t="str">
        <f t="shared" si="55"/>
        <v>Error?</v>
      </c>
    </row>
    <row r="3586" spans="1:4">
      <c r="A3586" s="5">
        <v>3525</v>
      </c>
      <c r="B3586" s="137">
        <f>'Acct Summary 7-8'!K76</f>
        <v>0</v>
      </c>
      <c r="C3586" s="2" t="s">
        <v>594</v>
      </c>
      <c r="D3586" s="2" t="str">
        <f t="shared" si="55"/>
        <v>Error?</v>
      </c>
    </row>
    <row r="3587" spans="1:4">
      <c r="A3587" s="5">
        <v>3526</v>
      </c>
      <c r="B3587" s="137">
        <f>'Acct Summary 7-8'!K77</f>
        <v>0</v>
      </c>
      <c r="C3587" s="2" t="s">
        <v>594</v>
      </c>
      <c r="D3587" s="2" t="str">
        <f t="shared" si="55"/>
        <v>Error?</v>
      </c>
    </row>
    <row r="3588" spans="1:4">
      <c r="A3588" s="5">
        <v>3527</v>
      </c>
      <c r="B3588" s="137">
        <f>'Acct Summary 7-8'!K78</f>
        <v>412073</v>
      </c>
      <c r="C3588" s="2" t="s">
        <v>594</v>
      </c>
      <c r="D3588" s="2" t="str">
        <f t="shared" si="55"/>
        <v>Error?</v>
      </c>
    </row>
    <row r="3589" spans="1:4">
      <c r="A3589" s="5">
        <v>3528</v>
      </c>
      <c r="B3589" s="137">
        <f>'Acct Summary 7-8'!K79</f>
        <v>2799754</v>
      </c>
      <c r="D3589" s="2" t="str">
        <f t="shared" si="55"/>
        <v>Error?</v>
      </c>
    </row>
    <row r="3590" spans="1:4">
      <c r="A3590" s="5">
        <v>3529</v>
      </c>
      <c r="B3590" s="137">
        <f>'Acct Summary 7-8'!K80</f>
        <v>0</v>
      </c>
      <c r="D3590" s="2" t="str">
        <f t="shared" si="55"/>
        <v>Error?</v>
      </c>
    </row>
    <row r="3591" spans="1:4">
      <c r="A3591" s="5">
        <v>3530</v>
      </c>
      <c r="B3591" s="137">
        <f>'Acct Summary 7-8'!K81</f>
        <v>3211827</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594</v>
      </c>
      <c r="D3619" s="2" t="str">
        <f t="shared" si="55"/>
        <v>Error?</v>
      </c>
    </row>
    <row r="3620" spans="1:4">
      <c r="A3620" s="5">
        <v>3559</v>
      </c>
      <c r="B3620" s="137">
        <f>'Expenditures 15-22'!C351</f>
        <v>0</v>
      </c>
      <c r="D3620" s="2" t="str">
        <f t="shared" si="55"/>
        <v>Error?</v>
      </c>
    </row>
    <row r="3621" spans="1:4">
      <c r="A3621" s="5">
        <v>3560</v>
      </c>
      <c r="B3621" s="137">
        <f>'Expenditures 15-22'!C352</f>
        <v>0</v>
      </c>
      <c r="C3621" s="2" t="s">
        <v>594</v>
      </c>
      <c r="D3621" s="2" t="str">
        <f t="shared" si="55"/>
        <v>Error?</v>
      </c>
    </row>
    <row r="3622" spans="1:4">
      <c r="A3622" s="5">
        <v>3561</v>
      </c>
      <c r="B3622" s="137">
        <f>'Expenditures 15-22'!C367</f>
        <v>0</v>
      </c>
      <c r="C3622" s="2" t="s">
        <v>594</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594</v>
      </c>
      <c r="D3626" s="2" t="str">
        <f t="shared" si="55"/>
        <v>Error?</v>
      </c>
    </row>
    <row r="3627" spans="1:4">
      <c r="A3627" s="5">
        <v>3566</v>
      </c>
      <c r="B3627" s="137">
        <f>'Expenditures 15-22'!D351</f>
        <v>0</v>
      </c>
      <c r="D3627" s="2" t="str">
        <f t="shared" si="55"/>
        <v>Error?</v>
      </c>
    </row>
    <row r="3628" spans="1:4">
      <c r="A3628" s="5">
        <v>3567</v>
      </c>
      <c r="B3628" s="137">
        <f>'Expenditures 15-22'!D352</f>
        <v>0</v>
      </c>
      <c r="C3628" s="2" t="s">
        <v>594</v>
      </c>
      <c r="D3628" s="2" t="str">
        <f t="shared" si="55"/>
        <v>Error?</v>
      </c>
    </row>
    <row r="3629" spans="1:4">
      <c r="A3629" s="5">
        <v>3568</v>
      </c>
      <c r="B3629" s="137">
        <f>'Expenditures 15-22'!D367</f>
        <v>0</v>
      </c>
      <c r="C3629" s="2" t="s">
        <v>594</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594</v>
      </c>
      <c r="D3633" s="2" t="str">
        <f t="shared" si="55"/>
        <v>Error?</v>
      </c>
    </row>
    <row r="3634" spans="1:4">
      <c r="A3634" s="5">
        <v>3573</v>
      </c>
      <c r="B3634" s="137">
        <f>'Expenditures 15-22'!E351</f>
        <v>0</v>
      </c>
      <c r="D3634" s="2" t="str">
        <f t="shared" si="55"/>
        <v>Error?</v>
      </c>
    </row>
    <row r="3635" spans="1:4">
      <c r="A3635" s="5">
        <v>3574</v>
      </c>
      <c r="B3635" s="137">
        <f>'Expenditures 15-22'!E352</f>
        <v>0</v>
      </c>
      <c r="C3635" s="2" t="s">
        <v>594</v>
      </c>
      <c r="D3635" s="2" t="str">
        <f t="shared" si="55"/>
        <v>Error?</v>
      </c>
    </row>
    <row r="3636" spans="1:4">
      <c r="A3636" s="5">
        <v>3575</v>
      </c>
      <c r="B3636" s="137">
        <f>'Expenditures 15-22'!E367</f>
        <v>0</v>
      </c>
      <c r="C3636" s="2" t="s">
        <v>594</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594</v>
      </c>
      <c r="D3640" s="2" t="str">
        <f t="shared" si="55"/>
        <v>Error?</v>
      </c>
    </row>
    <row r="3641" spans="1:4">
      <c r="A3641" s="5">
        <v>3580</v>
      </c>
      <c r="B3641" s="137">
        <f>'Expenditures 15-22'!F351</f>
        <v>0</v>
      </c>
      <c r="D3641" s="2" t="str">
        <f t="shared" si="55"/>
        <v>Error?</v>
      </c>
    </row>
    <row r="3642" spans="1:4">
      <c r="A3642" s="5">
        <v>3581</v>
      </c>
      <c r="B3642" s="137">
        <f>'Expenditures 15-22'!F352</f>
        <v>0</v>
      </c>
      <c r="C3642" s="2" t="s">
        <v>594</v>
      </c>
      <c r="D3642" s="2" t="str">
        <f t="shared" si="55"/>
        <v>Error?</v>
      </c>
    </row>
    <row r="3643" spans="1:4">
      <c r="A3643" s="5">
        <v>3582</v>
      </c>
      <c r="B3643" s="137">
        <f>'Expenditures 15-22'!F367</f>
        <v>0</v>
      </c>
      <c r="C3643" s="2" t="s">
        <v>594</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594</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594</v>
      </c>
      <c r="D3649" s="2" t="str">
        <f t="shared" si="56"/>
        <v>Error?</v>
      </c>
    </row>
    <row r="3650" spans="1:4">
      <c r="A3650" s="5">
        <v>3589</v>
      </c>
      <c r="B3650" s="137">
        <f>'Expenditures 15-22'!G367</f>
        <v>0</v>
      </c>
      <c r="C3650" s="2" t="s">
        <v>594</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594</v>
      </c>
      <c r="D3654" s="2" t="str">
        <f t="shared" si="56"/>
        <v>Error?</v>
      </c>
    </row>
    <row r="3655" spans="1:4">
      <c r="A3655" s="5">
        <v>3594</v>
      </c>
      <c r="B3655" s="137">
        <f>'Expenditures 15-22'!H351</f>
        <v>0</v>
      </c>
      <c r="D3655" s="2" t="str">
        <f t="shared" si="56"/>
        <v>Error?</v>
      </c>
    </row>
    <row r="3656" spans="1:4">
      <c r="A3656" s="5">
        <v>3595</v>
      </c>
      <c r="B3656" s="137">
        <f>'Expenditures 15-22'!H352</f>
        <v>0</v>
      </c>
      <c r="C3656" s="2" t="s">
        <v>594</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594</v>
      </c>
      <c r="D3668" s="2" t="str">
        <f t="shared" si="56"/>
        <v>Error?</v>
      </c>
    </row>
    <row r="3669" spans="1:4">
      <c r="A3669" s="5">
        <v>3608</v>
      </c>
      <c r="B3669" s="137">
        <f>'Expenditures 15-22'!K349</f>
        <v>0</v>
      </c>
      <c r="C3669" s="2" t="s">
        <v>594</v>
      </c>
      <c r="D3669" s="2" t="str">
        <f t="shared" si="56"/>
        <v>Error?</v>
      </c>
    </row>
    <row r="3670" spans="1:4">
      <c r="A3670" s="5">
        <v>3609</v>
      </c>
      <c r="B3670" s="137">
        <f>'Expenditures 15-22'!K350</f>
        <v>0</v>
      </c>
      <c r="C3670" s="2" t="s">
        <v>594</v>
      </c>
      <c r="D3670" s="2" t="str">
        <f t="shared" si="56"/>
        <v>Error?</v>
      </c>
    </row>
    <row r="3671" spans="1:4">
      <c r="A3671" s="5">
        <v>3610</v>
      </c>
      <c r="B3671" s="137">
        <f>'Expenditures 15-22'!K351</f>
        <v>0</v>
      </c>
      <c r="C3671" s="2" t="s">
        <v>594</v>
      </c>
      <c r="D3671" s="2" t="str">
        <f t="shared" si="56"/>
        <v>Error?</v>
      </c>
    </row>
    <row r="3672" spans="1:4">
      <c r="A3672" s="5">
        <v>3611</v>
      </c>
      <c r="B3672" s="137">
        <f>'Expenditures 15-22'!K352</f>
        <v>0</v>
      </c>
      <c r="C3672" s="2" t="s">
        <v>594</v>
      </c>
      <c r="D3672" s="2" t="str">
        <f t="shared" si="56"/>
        <v>Error?</v>
      </c>
    </row>
    <row r="3673" spans="1:4">
      <c r="A3673" s="5">
        <v>3612</v>
      </c>
      <c r="B3673" s="137">
        <f>'Expenditures 15-22'!K354</f>
        <v>0</v>
      </c>
      <c r="C3673" s="2" t="s">
        <v>594</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594</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412073</v>
      </c>
      <c r="C3681" s="2" t="s">
        <v>594</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594</v>
      </c>
      <c r="D3688" s="2" t="str">
        <f t="shared" si="56"/>
        <v>Error?</v>
      </c>
    </row>
    <row r="3689" spans="1:4">
      <c r="A3689" s="5">
        <v>3628</v>
      </c>
      <c r="B3689" s="137">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594</v>
      </c>
      <c r="D3702" s="2" t="str">
        <f t="shared" si="56"/>
        <v>Error?</v>
      </c>
    </row>
    <row r="3703" spans="1:4">
      <c r="A3703" s="5">
        <v>3642</v>
      </c>
      <c r="B3703" s="137">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594</v>
      </c>
      <c r="D3717" s="2" t="str">
        <f t="shared" si="57"/>
        <v>Error?</v>
      </c>
    </row>
    <row r="3718" spans="1:4">
      <c r="A3718" s="5">
        <v>3657</v>
      </c>
      <c r="B3718" s="137">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594</v>
      </c>
      <c r="D3722" s="2" t="str">
        <f t="shared" si="57"/>
        <v>Error?</v>
      </c>
    </row>
    <row r="3723" spans="1:4">
      <c r="A3723" s="5">
        <v>3662</v>
      </c>
      <c r="B3723" s="137">
        <f>'Expenditures 15-22'!K283</f>
        <v>0</v>
      </c>
      <c r="C3723" s="2" t="s">
        <v>594</v>
      </c>
      <c r="D3723" s="2" t="str">
        <f t="shared" si="57"/>
        <v>Error?</v>
      </c>
    </row>
    <row r="3724" spans="1:4">
      <c r="A3724" s="5">
        <v>3663</v>
      </c>
      <c r="B3724" s="137">
        <f>'Expenditures 15-22'!K285</f>
        <v>0</v>
      </c>
      <c r="C3724" s="2" t="s">
        <v>594</v>
      </c>
      <c r="D3724" s="2" t="str">
        <f t="shared" si="57"/>
        <v>Error?</v>
      </c>
    </row>
    <row r="3725" spans="1:4">
      <c r="A3725" s="5">
        <v>3664</v>
      </c>
      <c r="B3725" s="137">
        <f>'Tax Sched 23'!B13</f>
        <v>152769</v>
      </c>
      <c r="C3725" s="2" t="s">
        <v>594</v>
      </c>
      <c r="D3725" s="2" t="str">
        <f t="shared" si="57"/>
        <v>Error?</v>
      </c>
    </row>
    <row r="3726" spans="1:4">
      <c r="A3726" s="5">
        <v>3665</v>
      </c>
      <c r="B3726" s="137">
        <f>'Tax Sched 23'!D13</f>
        <v>152769</v>
      </c>
      <c r="C3726" s="2" t="s">
        <v>594</v>
      </c>
      <c r="D3726" s="2" t="str">
        <f t="shared" si="57"/>
        <v>Error?</v>
      </c>
    </row>
    <row r="3727" spans="1:4">
      <c r="A3727" s="5">
        <v>3666</v>
      </c>
      <c r="B3727" s="137">
        <f>'Tax Sched 23'!C13</f>
        <v>0</v>
      </c>
      <c r="D3727" s="2" t="str">
        <f t="shared" si="57"/>
        <v>Error?</v>
      </c>
    </row>
    <row r="3728" spans="1:4">
      <c r="A3728" s="5">
        <v>3667</v>
      </c>
      <c r="B3728" s="137">
        <f>'Tax Sched 23'!F13</f>
        <v>0</v>
      </c>
      <c r="C3728" s="2" t="s">
        <v>594</v>
      </c>
      <c r="D3728" s="2" t="str">
        <f t="shared" si="57"/>
        <v>Error?</v>
      </c>
    </row>
    <row r="3729" spans="1:4">
      <c r="A3729" s="5">
        <v>3668</v>
      </c>
      <c r="B3729" s="137">
        <f>'Tax Sched 23'!E13</f>
        <v>0</v>
      </c>
      <c r="D3729" s="2" t="str">
        <f t="shared" si="57"/>
        <v>Error?</v>
      </c>
    </row>
    <row r="3730" spans="1:4">
      <c r="A3730" s="5">
        <v>3669</v>
      </c>
      <c r="B3730" s="137">
        <f>'ICR Computation 30'!E10</f>
        <v>914233</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594</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594</v>
      </c>
      <c r="D4098" s="2" t="str">
        <f t="shared" si="63"/>
        <v>OK</v>
      </c>
    </row>
    <row r="4099" spans="1:4">
      <c r="A4099" s="5">
        <v>4038</v>
      </c>
      <c r="B4099" s="137">
        <f>'Expenditures 15-22'!K307</f>
        <v>0</v>
      </c>
      <c r="C4099" s="2" t="s">
        <v>594</v>
      </c>
      <c r="D4099" s="2" t="str">
        <f t="shared" si="63"/>
        <v>Error?</v>
      </c>
    </row>
    <row r="4100" spans="1:4">
      <c r="A4100" s="5">
        <v>4039</v>
      </c>
      <c r="B4100" s="137">
        <f>'Expenditures 15-22'!K308</f>
        <v>0</v>
      </c>
      <c r="C4100" s="2" t="s">
        <v>594</v>
      </c>
      <c r="D4100" s="2" t="str">
        <f t="shared" si="63"/>
        <v>Error?</v>
      </c>
    </row>
    <row r="4101" spans="1:4">
      <c r="A4101" s="10">
        <v>4040</v>
      </c>
      <c r="C4101" s="2" t="s">
        <v>594</v>
      </c>
      <c r="D4101" s="2" t="str">
        <f t="shared" si="63"/>
        <v>OK</v>
      </c>
    </row>
    <row r="4102" spans="1:4">
      <c r="A4102" s="5">
        <v>4041</v>
      </c>
      <c r="B4102" s="137">
        <f>'Tax Sched 23'!B17</f>
        <v>0</v>
      </c>
      <c r="C4102" s="2" t="s">
        <v>594</v>
      </c>
      <c r="D4102" s="2" t="str">
        <f t="shared" si="63"/>
        <v>Error?</v>
      </c>
    </row>
    <row r="4103" spans="1:4">
      <c r="A4103" s="5">
        <v>4042</v>
      </c>
      <c r="B4103" s="137">
        <f>'Tax Sched 23'!B18</f>
        <v>0</v>
      </c>
      <c r="C4103" s="2" t="s">
        <v>594</v>
      </c>
      <c r="D4103" s="2" t="str">
        <f t="shared" si="63"/>
        <v>Error?</v>
      </c>
    </row>
    <row r="4104" spans="1:4">
      <c r="A4104" s="5">
        <v>4043</v>
      </c>
      <c r="B4104" s="137">
        <f>'Tax Sched 23'!D17</f>
        <v>0</v>
      </c>
      <c r="C4104" s="2" t="s">
        <v>594</v>
      </c>
      <c r="D4104" s="2" t="str">
        <f t="shared" si="63"/>
        <v>Error?</v>
      </c>
    </row>
    <row r="4105" spans="1:4">
      <c r="A4105" s="5">
        <v>4044</v>
      </c>
      <c r="B4105" s="137">
        <f>'Tax Sched 23'!D18</f>
        <v>0</v>
      </c>
      <c r="C4105" s="2" t="s">
        <v>594</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594</v>
      </c>
      <c r="D4108" s="2" t="str">
        <f t="shared" si="63"/>
        <v>Error?</v>
      </c>
    </row>
    <row r="4109" spans="1:4">
      <c r="A4109" s="5">
        <v>4048</v>
      </c>
      <c r="B4109" s="137">
        <f>'Tax Sched 23'!F18</f>
        <v>0</v>
      </c>
      <c r="C4109" s="2" t="s">
        <v>594</v>
      </c>
      <c r="D4109" s="2" t="str">
        <f t="shared" si="63"/>
        <v>Error?</v>
      </c>
    </row>
    <row r="4110" spans="1:4">
      <c r="A4110" s="5">
        <v>4049</v>
      </c>
      <c r="B4110" s="137">
        <f>'Tax Sched 23'!E17</f>
        <v>0</v>
      </c>
      <c r="C4110" s="2" t="s">
        <v>594</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18153578</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66821612</v>
      </c>
      <c r="C4122" s="2" t="s">
        <v>594</v>
      </c>
      <c r="D4122" s="2" t="str">
        <f t="shared" si="63"/>
        <v>Error?</v>
      </c>
    </row>
    <row r="4123" spans="1:4">
      <c r="A4123" s="5">
        <v>4062</v>
      </c>
      <c r="B4123" s="137">
        <f>'Acct Summary 7-8'!D10</f>
        <v>4579510</v>
      </c>
      <c r="C4123" s="2" t="s">
        <v>594</v>
      </c>
      <c r="D4123" s="2" t="str">
        <f t="shared" si="63"/>
        <v>Error?</v>
      </c>
    </row>
    <row r="4124" spans="1:4">
      <c r="A4124" s="5">
        <v>4063</v>
      </c>
      <c r="B4124" s="137">
        <f>'Acct Summary 7-8'!E10</f>
        <v>4319168</v>
      </c>
      <c r="C4124" s="2" t="s">
        <v>594</v>
      </c>
      <c r="D4124" s="2" t="str">
        <f t="shared" si="63"/>
        <v>Error?</v>
      </c>
    </row>
    <row r="4125" spans="1:4">
      <c r="A4125" s="5">
        <v>4064</v>
      </c>
      <c r="B4125" s="137">
        <f>'Acct Summary 7-8'!F10</f>
        <v>6517698</v>
      </c>
      <c r="C4125" s="2" t="s">
        <v>594</v>
      </c>
      <c r="D4125" s="2" t="str">
        <f t="shared" si="63"/>
        <v>Error?</v>
      </c>
    </row>
    <row r="4126" spans="1:4">
      <c r="A4126" s="5">
        <v>4065</v>
      </c>
      <c r="B4126" s="137">
        <f>'Acct Summary 7-8'!G10</f>
        <v>1057526</v>
      </c>
      <c r="C4126" s="2" t="s">
        <v>594</v>
      </c>
      <c r="D4126" s="2" t="str">
        <f t="shared" si="63"/>
        <v>Error?</v>
      </c>
    </row>
    <row r="4127" spans="1:4">
      <c r="A4127" s="5">
        <v>4066</v>
      </c>
      <c r="B4127" s="137">
        <f>'Acct Summary 7-8'!H10</f>
        <v>36023</v>
      </c>
      <c r="C4127" s="2" t="s">
        <v>594</v>
      </c>
      <c r="D4127" s="2" t="str">
        <f t="shared" si="63"/>
        <v>Error?</v>
      </c>
    </row>
    <row r="4128" spans="1:4">
      <c r="A4128" s="5">
        <v>4067</v>
      </c>
      <c r="B4128" s="137">
        <f>'Acct Summary 7-8'!I10</f>
        <v>394918</v>
      </c>
      <c r="C4128" s="2" t="s">
        <v>594</v>
      </c>
      <c r="D4128" s="2" t="str">
        <f t="shared" si="63"/>
        <v>Error?</v>
      </c>
    </row>
    <row r="4129" spans="1:4">
      <c r="A4129" s="10">
        <v>4068</v>
      </c>
      <c r="C4129" s="2" t="s">
        <v>594</v>
      </c>
      <c r="D4129" s="2" t="str">
        <f t="shared" si="63"/>
        <v>OK</v>
      </c>
    </row>
    <row r="4130" spans="1:4">
      <c r="A4130" s="5">
        <v>4069</v>
      </c>
      <c r="B4130" s="137">
        <f>'Acct Summary 7-8'!K10</f>
        <v>412073</v>
      </c>
      <c r="C4130" s="2" t="s">
        <v>594</v>
      </c>
      <c r="D4130" s="2" t="str">
        <f t="shared" si="63"/>
        <v>Error?</v>
      </c>
    </row>
    <row r="4131" spans="1:4">
      <c r="A4131" s="5">
        <v>4070</v>
      </c>
      <c r="B4131" s="137">
        <f>'Acct Summary 7-8'!C18</f>
        <v>18153578</v>
      </c>
      <c r="C4131" s="2" t="s">
        <v>594</v>
      </c>
      <c r="D4131" s="2" t="str">
        <f t="shared" si="63"/>
        <v>Error?</v>
      </c>
    </row>
    <row r="4132" spans="1:4">
      <c r="A4132" s="5">
        <v>4071</v>
      </c>
      <c r="B4132" s="137">
        <f>'Acct Summary 7-8'!D18</f>
        <v>0</v>
      </c>
      <c r="C4132" s="2" t="s">
        <v>594</v>
      </c>
      <c r="D4132" s="2" t="str">
        <f t="shared" si="63"/>
        <v>Error?</v>
      </c>
    </row>
    <row r="4133" spans="1:4">
      <c r="A4133" s="5">
        <v>4072</v>
      </c>
      <c r="B4133" s="137">
        <f>'Acct Summary 7-8'!F18</f>
        <v>0</v>
      </c>
      <c r="C4133" s="2" t="s">
        <v>594</v>
      </c>
      <c r="D4133" s="2" t="str">
        <f t="shared" si="63"/>
        <v>Error?</v>
      </c>
    </row>
    <row r="4134" spans="1:4">
      <c r="A4134" s="5">
        <v>4073</v>
      </c>
      <c r="B4134" s="137">
        <f>'Acct Summary 7-8'!H18</f>
        <v>0</v>
      </c>
      <c r="C4134" s="2" t="s">
        <v>594</v>
      </c>
      <c r="D4134" s="2" t="str">
        <f t="shared" si="63"/>
        <v>Error?</v>
      </c>
    </row>
    <row r="4135" spans="1:4">
      <c r="A4135" s="5">
        <v>4074</v>
      </c>
      <c r="B4135" s="137">
        <f>'Acct Summary 7-8'!K18</f>
        <v>0</v>
      </c>
      <c r="C4135" s="2" t="s">
        <v>594</v>
      </c>
      <c r="D4135" s="2" t="str">
        <f t="shared" si="63"/>
        <v>Error?</v>
      </c>
    </row>
    <row r="4136" spans="1:4">
      <c r="A4136" s="5">
        <v>4075</v>
      </c>
      <c r="B4136" s="137">
        <f>'Acct Summary 7-8'!C19</f>
        <v>65492641</v>
      </c>
      <c r="C4136" s="2" t="s">
        <v>594</v>
      </c>
      <c r="D4136" s="2" t="str">
        <f t="shared" si="63"/>
        <v>Error?</v>
      </c>
    </row>
    <row r="4137" spans="1:4">
      <c r="A4137" s="5">
        <v>4076</v>
      </c>
      <c r="B4137" s="137">
        <f>'Acct Summary 7-8'!D19</f>
        <v>4973630</v>
      </c>
      <c r="C4137" s="2" t="s">
        <v>594</v>
      </c>
      <c r="D4137" s="2" t="str">
        <f t="shared" si="63"/>
        <v>Error?</v>
      </c>
    </row>
    <row r="4138" spans="1:4">
      <c r="A4138" s="5">
        <v>4077</v>
      </c>
      <c r="B4138" s="137">
        <f>'Acct Summary 7-8'!E19</f>
        <v>5133817</v>
      </c>
      <c r="C4138" s="2" t="s">
        <v>594</v>
      </c>
      <c r="D4138" s="2" t="str">
        <f t="shared" si="63"/>
        <v>Error?</v>
      </c>
    </row>
    <row r="4139" spans="1:4">
      <c r="A4139" s="5">
        <v>4078</v>
      </c>
      <c r="B4139" s="137">
        <f>'Acct Summary 7-8'!F19</f>
        <v>4823291</v>
      </c>
      <c r="C4139" s="2" t="s">
        <v>594</v>
      </c>
      <c r="D4139" s="2" t="str">
        <f t="shared" si="63"/>
        <v>Error?</v>
      </c>
    </row>
    <row r="4140" spans="1:4">
      <c r="A4140" s="5">
        <v>4079</v>
      </c>
      <c r="B4140" s="137">
        <f>'Acct Summary 7-8'!G19</f>
        <v>1937465</v>
      </c>
      <c r="C4140" s="2" t="s">
        <v>594</v>
      </c>
      <c r="D4140" s="2" t="str">
        <f t="shared" si="63"/>
        <v>Error?</v>
      </c>
    </row>
    <row r="4141" spans="1:4">
      <c r="A4141" s="5">
        <v>4080</v>
      </c>
      <c r="B4141" s="137">
        <f>'Acct Summary 7-8'!H19</f>
        <v>2636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7">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594</v>
      </c>
      <c r="D4156" s="2" t="str">
        <f t="shared" si="63"/>
        <v>Error?</v>
      </c>
    </row>
    <row r="4157" spans="1:4">
      <c r="A4157" s="5">
        <v>4096</v>
      </c>
      <c r="B4157" s="137">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7">
        <f>'Short-Term Long-Term Debt 24'!I49</f>
        <v>28623233</v>
      </c>
      <c r="C4171" s="2" t="s">
        <v>594</v>
      </c>
      <c r="D4171" s="2" t="str">
        <f t="shared" si="64"/>
        <v>Error?</v>
      </c>
    </row>
    <row r="4172" spans="1:4">
      <c r="A4172" s="5">
        <v>4111</v>
      </c>
      <c r="B4172" s="137">
        <f>'Short-Term Long-Term Debt 24'!J49</f>
        <v>25068437</v>
      </c>
      <c r="C4172" s="2" t="s">
        <v>594</v>
      </c>
      <c r="D4172" s="2" t="str">
        <f t="shared" si="64"/>
        <v>Error?</v>
      </c>
    </row>
    <row r="4173" spans="1:4">
      <c r="A4173" s="5">
        <v>4112</v>
      </c>
      <c r="B4173" s="137">
        <f>'Short-Term Long-Term Debt 24'!H49</f>
        <v>4138683</v>
      </c>
      <c r="C4173" s="2" t="s">
        <v>594</v>
      </c>
      <c r="D4173" s="2" t="str">
        <f t="shared" si="64"/>
        <v>Error?</v>
      </c>
    </row>
    <row r="4174" spans="1:4">
      <c r="A4174" s="10">
        <v>4113</v>
      </c>
      <c r="C4174" s="2" t="s">
        <v>594</v>
      </c>
      <c r="D4174" s="2" t="str">
        <f t="shared" si="64"/>
        <v>OK</v>
      </c>
    </row>
    <row r="4175" spans="1:4">
      <c r="A4175" s="5">
        <v>4114</v>
      </c>
      <c r="B4175" s="137">
        <f>'Acct Summary 7-8'!E18</f>
        <v>0</v>
      </c>
      <c r="C4175" s="2" t="s">
        <v>594</v>
      </c>
      <c r="D4175" s="2" t="str">
        <f t="shared" si="64"/>
        <v>Error?</v>
      </c>
    </row>
    <row r="4176" spans="1:4">
      <c r="A4176" s="5">
        <v>4115</v>
      </c>
      <c r="B4176" s="137">
        <f>'Acct Summary 7-8'!G18</f>
        <v>0</v>
      </c>
      <c r="C4176" s="2" t="s">
        <v>594</v>
      </c>
      <c r="D4176" s="2" t="str">
        <f t="shared" si="64"/>
        <v>Error?</v>
      </c>
    </row>
    <row r="4177" spans="1:4">
      <c r="A4177" s="5">
        <v>4116</v>
      </c>
      <c r="B4177" s="137">
        <f>'Short-Term Long-Term Debt 24'!G49</f>
        <v>0</v>
      </c>
      <c r="D4177" s="2" t="str">
        <f t="shared" si="64"/>
        <v>Error?</v>
      </c>
    </row>
    <row r="4178" spans="1:4">
      <c r="A4178" s="10">
        <v>4117</v>
      </c>
      <c r="C4178" s="2" t="s">
        <v>594</v>
      </c>
      <c r="D4178" s="2" t="str">
        <f t="shared" si="64"/>
        <v>OK</v>
      </c>
    </row>
    <row r="4179" spans="1:4">
      <c r="A4179" s="5">
        <v>4118</v>
      </c>
      <c r="B4179" s="137">
        <f>'Revenues 9-14'!D164</f>
        <v>0</v>
      </c>
      <c r="D4179" s="2" t="str">
        <f t="shared" si="64"/>
        <v>Error?</v>
      </c>
    </row>
    <row r="4180" spans="1:4">
      <c r="A4180" s="5">
        <v>4119</v>
      </c>
      <c r="B4180" s="137">
        <f>'Revenues 9-14'!F164</f>
        <v>0</v>
      </c>
      <c r="D4180" s="2" t="str">
        <f t="shared" si="64"/>
        <v>Error?</v>
      </c>
    </row>
    <row r="4181" spans="1:4">
      <c r="A4181" s="5">
        <v>4120</v>
      </c>
      <c r="B4181" s="137">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9-14'!C269</f>
        <v>0</v>
      </c>
      <c r="D4189" s="2" t="str">
        <f t="shared" si="64"/>
        <v>Error?</v>
      </c>
    </row>
    <row r="4190" spans="1:4">
      <c r="A4190" s="5">
        <v>4129</v>
      </c>
      <c r="B4190" s="137">
        <f>'Revenues 9-14'!D269</f>
        <v>0</v>
      </c>
      <c r="D4190" s="2" t="str">
        <f t="shared" si="64"/>
        <v>Error?</v>
      </c>
    </row>
    <row r="4191" spans="1:4">
      <c r="A4191" s="5">
        <v>4130</v>
      </c>
      <c r="B4191" s="137">
        <f>'Revenues 9-14'!F269</f>
        <v>0</v>
      </c>
      <c r="D4191" s="2" t="str">
        <f t="shared" si="64"/>
        <v>Error?</v>
      </c>
    </row>
    <row r="4192" spans="1:4">
      <c r="A4192" s="5">
        <v>4131</v>
      </c>
      <c r="B4192" s="137">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594</v>
      </c>
      <c r="D4202" s="2" t="str">
        <f t="shared" si="64"/>
        <v>Error?</v>
      </c>
    </row>
    <row r="4203" spans="1:4">
      <c r="A4203" s="5">
        <v>4142</v>
      </c>
      <c r="B4203" s="137">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7">
        <f>'Revenues 9-14'!I171</f>
        <v>0</v>
      </c>
      <c r="D4215" s="2" t="str">
        <f t="shared" si="64"/>
        <v>Error?</v>
      </c>
    </row>
    <row r="4216" spans="1:4">
      <c r="A4216" s="5">
        <v>4155</v>
      </c>
      <c r="B4216" s="137">
        <f>'Revenues 9-14'!I173</f>
        <v>0</v>
      </c>
      <c r="C4216" s="2" t="s">
        <v>594</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7">
        <f>'Revenues 9-14'!C139</f>
        <v>0</v>
      </c>
      <c r="D4227" s="2" t="str">
        <f t="shared" si="65"/>
        <v>Error?</v>
      </c>
    </row>
    <row r="4228" spans="1:4">
      <c r="A4228" s="5">
        <v>4167</v>
      </c>
      <c r="B4228" s="137">
        <f>'Revenues 9-14'!D139</f>
        <v>0</v>
      </c>
      <c r="D4228" s="2" t="str">
        <f t="shared" si="65"/>
        <v>Error?</v>
      </c>
    </row>
    <row r="4229" spans="1:4">
      <c r="A4229" s="10">
        <v>4168</v>
      </c>
      <c r="D4229" s="2" t="str">
        <f t="shared" si="65"/>
        <v>OK</v>
      </c>
    </row>
    <row r="4230" spans="1:4">
      <c r="A4230" s="5">
        <v>4169</v>
      </c>
      <c r="B4230" s="137">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7">
        <f>'Revenues 9-14'!C205</f>
        <v>0</v>
      </c>
      <c r="D4235" s="2" t="str">
        <f t="shared" si="65"/>
        <v>Error?</v>
      </c>
    </row>
    <row r="4236" spans="1:4">
      <c r="A4236" s="5">
        <v>4175</v>
      </c>
      <c r="B4236" s="137">
        <f>'Revenues 9-14'!D205</f>
        <v>0</v>
      </c>
      <c r="D4236" s="2" t="str">
        <f t="shared" si="65"/>
        <v>Error?</v>
      </c>
    </row>
    <row r="4237" spans="1:4">
      <c r="A4237" s="5">
        <v>4176</v>
      </c>
      <c r="B4237" s="137">
        <f>'Revenues 9-14'!F205</f>
        <v>0</v>
      </c>
      <c r="D4237" s="2" t="str">
        <f t="shared" si="65"/>
        <v>Error?</v>
      </c>
    </row>
    <row r="4238" spans="1:4">
      <c r="A4238" s="5">
        <v>4177</v>
      </c>
      <c r="B4238" s="137">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4122.8</v>
      </c>
      <c r="C4265" s="2" t="s">
        <v>594</v>
      </c>
      <c r="D4265" s="2" t="str">
        <f t="shared" si="65"/>
        <v>Error?</v>
      </c>
      <c r="E4265" s="127"/>
    </row>
    <row r="4266" spans="1:5">
      <c r="A4266" s="12">
        <v>4205</v>
      </c>
      <c r="B4266" s="137">
        <f>('FP Info 3'!F10)*100000</f>
        <v>512.5</v>
      </c>
      <c r="C4266" s="2" t="s">
        <v>594</v>
      </c>
      <c r="D4266" s="2" t="str">
        <f t="shared" si="65"/>
        <v>Error?</v>
      </c>
      <c r="E4266" s="127"/>
    </row>
    <row r="4267" spans="1:5">
      <c r="A4267" s="12">
        <v>4206</v>
      </c>
      <c r="B4267" s="137">
        <f>('FP Info 3'!H10)*100000</f>
        <v>86</v>
      </c>
      <c r="C4267" s="2" t="s">
        <v>594</v>
      </c>
      <c r="D4267" s="2" t="str">
        <f t="shared" si="65"/>
        <v>Error?</v>
      </c>
      <c r="E4267" s="127"/>
    </row>
    <row r="4268" spans="1:5">
      <c r="A4268" s="12">
        <v>4207</v>
      </c>
      <c r="B4268" s="137">
        <f>('FP Info 3'!J10)*100000</f>
        <v>4721</v>
      </c>
      <c r="C4268" s="2" t="s">
        <v>594</v>
      </c>
      <c r="D4268" s="2" t="str">
        <f t="shared" si="65"/>
        <v>Error?</v>
      </c>
    </row>
    <row r="4269" spans="1:5">
      <c r="A4269" s="12">
        <v>4208</v>
      </c>
      <c r="B4269" s="137">
        <f>'FP Info 3'!J16</f>
        <v>34416349</v>
      </c>
      <c r="C4269" s="2" t="s">
        <v>594</v>
      </c>
      <c r="D4269" s="2" t="str">
        <f t="shared" si="65"/>
        <v>Error?</v>
      </c>
    </row>
    <row r="4270" spans="1:5">
      <c r="A4270" s="12">
        <v>4209</v>
      </c>
      <c r="B4270" s="137">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9-14'!C130</f>
        <v>0</v>
      </c>
      <c r="D4309" s="2" t="str">
        <f t="shared" si="66"/>
        <v>Error?</v>
      </c>
    </row>
    <row r="4310" spans="1:4">
      <c r="A4310" s="5">
        <v>4249</v>
      </c>
      <c r="B4310" s="137">
        <f>'Revenues 9-14'!D130</f>
        <v>0</v>
      </c>
      <c r="D4310" s="2" t="str">
        <f t="shared" si="66"/>
        <v>Error?</v>
      </c>
    </row>
    <row r="4311" spans="1:4">
      <c r="A4311" s="5">
        <v>4250</v>
      </c>
      <c r="B4311" s="137">
        <f>'Revenues 9-14'!F130</f>
        <v>0</v>
      </c>
      <c r="D4311" s="2" t="str">
        <f t="shared" si="66"/>
        <v>Error?</v>
      </c>
    </row>
    <row r="4312" spans="1:4">
      <c r="A4312" s="5">
        <v>4251</v>
      </c>
      <c r="B4312" s="137">
        <f>'Revenues 9-14'!C149</f>
        <v>0</v>
      </c>
      <c r="D4312" s="2" t="str">
        <f t="shared" si="66"/>
        <v>Error?</v>
      </c>
    </row>
    <row r="4313" spans="1:4">
      <c r="A4313" s="5">
        <v>4252</v>
      </c>
      <c r="B4313" s="137">
        <f>'Revenues 9-14'!D149</f>
        <v>0</v>
      </c>
      <c r="D4313" s="2" t="str">
        <f t="shared" si="66"/>
        <v>Error?</v>
      </c>
    </row>
    <row r="4314" spans="1:4">
      <c r="A4314" s="5">
        <v>4253</v>
      </c>
      <c r="B4314" s="137">
        <f>'Revenues 9-14'!C153</f>
        <v>0</v>
      </c>
      <c r="D4314" s="2" t="str">
        <f t="shared" si="66"/>
        <v>Error?</v>
      </c>
    </row>
    <row r="4315" spans="1:4">
      <c r="A4315" s="5">
        <v>4254</v>
      </c>
      <c r="B4315" s="137">
        <f>'Revenues 9-14'!D153</f>
        <v>0</v>
      </c>
      <c r="D4315" s="2" t="str">
        <f t="shared" si="66"/>
        <v>Error?</v>
      </c>
    </row>
    <row r="4316" spans="1:4">
      <c r="A4316" s="5">
        <v>4255</v>
      </c>
      <c r="B4316" s="137">
        <f>'Revenues 9-14'!F153</f>
        <v>0</v>
      </c>
      <c r="D4316" s="2" t="str">
        <f t="shared" si="66"/>
        <v>Error?</v>
      </c>
    </row>
    <row r="4317" spans="1:4">
      <c r="A4317" s="5">
        <v>4256</v>
      </c>
      <c r="B4317" s="137">
        <f>'Revenues 9-14'!C167</f>
        <v>0</v>
      </c>
      <c r="D4317" s="2" t="str">
        <f t="shared" si="66"/>
        <v>Error?</v>
      </c>
    </row>
    <row r="4318" spans="1:4">
      <c r="A4318" s="5">
        <v>4257</v>
      </c>
      <c r="B4318" s="137">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9-14'!C168</f>
        <v>0</v>
      </c>
      <c r="D4321" s="2" t="str">
        <f t="shared" si="66"/>
        <v>Error?</v>
      </c>
    </row>
    <row r="4322" spans="1:4">
      <c r="A4322" s="5">
        <v>4261</v>
      </c>
      <c r="B4322" s="137">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9-14'!D169</f>
        <v>0</v>
      </c>
      <c r="D4327" s="2" t="str">
        <f t="shared" si="66"/>
        <v>Error?</v>
      </c>
    </row>
    <row r="4328" spans="1:4">
      <c r="A4328" s="5">
        <v>4267</v>
      </c>
      <c r="B4328" s="137">
        <f>'Revenues 9-14'!H169</f>
        <v>0</v>
      </c>
      <c r="D4328" s="2" t="str">
        <f t="shared" si="66"/>
        <v>Error?</v>
      </c>
    </row>
    <row r="4329" spans="1:4">
      <c r="A4329" s="5">
        <v>4268</v>
      </c>
      <c r="B4329" s="137">
        <f>'Revenues 9-14'!D170</f>
        <v>0</v>
      </c>
      <c r="D4329" s="2" t="str">
        <f t="shared" si="66"/>
        <v>Error?</v>
      </c>
    </row>
    <row r="4330" spans="1:4">
      <c r="A4330" s="5">
        <v>4269</v>
      </c>
      <c r="B4330" s="137">
        <f>'Revenues 9-14'!K170</f>
        <v>0</v>
      </c>
      <c r="D4330" s="2" t="str">
        <f t="shared" si="66"/>
        <v>Error?</v>
      </c>
    </row>
    <row r="4331" spans="1:4">
      <c r="A4331" s="5">
        <v>4270</v>
      </c>
      <c r="B4331" s="137">
        <f>'Revenues 9-14'!C200</f>
        <v>0</v>
      </c>
      <c r="D4331" s="2" t="str">
        <f t="shared" si="66"/>
        <v>Error?</v>
      </c>
    </row>
    <row r="4332" spans="1:4">
      <c r="A4332" s="5">
        <v>4271</v>
      </c>
      <c r="B4332" s="137">
        <f>'Revenues 9-14'!C210</f>
        <v>0</v>
      </c>
      <c r="D4332" s="2" t="str">
        <f t="shared" si="66"/>
        <v>Error?</v>
      </c>
    </row>
    <row r="4333" spans="1:4">
      <c r="A4333" s="5">
        <v>4272</v>
      </c>
      <c r="B4333" s="137">
        <f>'Revenues 9-14'!D210</f>
        <v>0</v>
      </c>
      <c r="D4333" s="2" t="str">
        <f t="shared" si="66"/>
        <v>Error?</v>
      </c>
    </row>
    <row r="4334" spans="1:4">
      <c r="A4334" s="5">
        <v>4273</v>
      </c>
      <c r="B4334" s="137">
        <f>'Revenues 9-14'!F210</f>
        <v>0</v>
      </c>
      <c r="D4334" s="2" t="str">
        <f t="shared" si="66"/>
        <v>Error?</v>
      </c>
    </row>
    <row r="4335" spans="1:4">
      <c r="A4335" s="5">
        <v>4274</v>
      </c>
      <c r="B4335" s="137">
        <f>'Revenues 9-14'!G210</f>
        <v>0</v>
      </c>
      <c r="D4335" s="2" t="str">
        <f t="shared" si="66"/>
        <v>Error?</v>
      </c>
    </row>
    <row r="4336" spans="1:4">
      <c r="A4336" s="5">
        <v>4275</v>
      </c>
      <c r="B4336" s="137">
        <f>'Revenues 9-14'!C215</f>
        <v>0</v>
      </c>
      <c r="D4336" s="2" t="str">
        <f t="shared" si="66"/>
        <v>Error?</v>
      </c>
    </row>
    <row r="4337" spans="1:4">
      <c r="A4337" s="5">
        <v>4276</v>
      </c>
      <c r="B4337" s="137">
        <f>'Revenues 9-14'!D215</f>
        <v>0</v>
      </c>
      <c r="D4337" s="2" t="str">
        <f t="shared" si="66"/>
        <v>Error?</v>
      </c>
    </row>
    <row r="4338" spans="1:4">
      <c r="A4338" s="5">
        <v>4277</v>
      </c>
      <c r="B4338" s="137">
        <f>'Revenues 9-14'!F215</f>
        <v>0</v>
      </c>
      <c r="D4338" s="2" t="str">
        <f t="shared" si="66"/>
        <v>Error?</v>
      </c>
    </row>
    <row r="4339" spans="1:4">
      <c r="A4339" s="5">
        <v>4278</v>
      </c>
      <c r="B4339" s="137">
        <f>'Revenues 9-14'!G215</f>
        <v>0</v>
      </c>
      <c r="D4339" s="2" t="str">
        <f t="shared" si="66"/>
        <v>Error?</v>
      </c>
    </row>
    <row r="4340" spans="1:4">
      <c r="A4340" s="5">
        <v>4279</v>
      </c>
      <c r="B4340" s="137">
        <f>'Revenues 9-14'!C223</f>
        <v>0</v>
      </c>
      <c r="D4340" s="2" t="str">
        <f t="shared" si="66"/>
        <v>Error?</v>
      </c>
    </row>
    <row r="4341" spans="1:4">
      <c r="A4341" s="5">
        <v>4280</v>
      </c>
      <c r="B4341" s="137">
        <f>'Revenues 9-14'!D223</f>
        <v>0</v>
      </c>
      <c r="D4341" s="2" t="str">
        <f t="shared" si="66"/>
        <v>Error?</v>
      </c>
    </row>
    <row r="4342" spans="1:4">
      <c r="A4342" s="5">
        <v>4281</v>
      </c>
      <c r="B4342" s="137">
        <f>'Revenues 9-14'!F223</f>
        <v>0</v>
      </c>
      <c r="D4342" s="2" t="str">
        <f t="shared" si="66"/>
        <v>Error?</v>
      </c>
    </row>
    <row r="4343" spans="1:4">
      <c r="A4343" s="5">
        <v>4282</v>
      </c>
      <c r="B4343" s="137">
        <f>'Revenues 9-14'!G223</f>
        <v>0</v>
      </c>
      <c r="D4343" s="2" t="str">
        <f t="shared" si="66"/>
        <v>Error?</v>
      </c>
    </row>
    <row r="4344" spans="1:4">
      <c r="A4344" s="5">
        <v>4283</v>
      </c>
      <c r="B4344" s="137">
        <f>'Revenues 9-14'!C227</f>
        <v>0</v>
      </c>
      <c r="D4344" s="2" t="str">
        <f t="shared" si="66"/>
        <v>Error?</v>
      </c>
    </row>
    <row r="4345" spans="1:4">
      <c r="A4345" s="5">
        <v>4284</v>
      </c>
      <c r="B4345" s="137">
        <f>'Revenues 9-14'!D227</f>
        <v>0</v>
      </c>
      <c r="D4345" s="2" t="str">
        <f t="shared" si="66"/>
        <v>Error?</v>
      </c>
    </row>
    <row r="4346" spans="1:4">
      <c r="A4346" s="5">
        <v>4285</v>
      </c>
      <c r="B4346" s="137">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9-14'!C146</f>
        <v>0</v>
      </c>
      <c r="D4351" s="2" t="str">
        <f t="shared" ref="D4351:D4414" si="67">IF(ISBLANK(B4351),"OK",IF(A4351-B4351=0,"OK","Error?"))</f>
        <v>Error?</v>
      </c>
    </row>
    <row r="4352" spans="1:4">
      <c r="A4352" s="5">
        <v>4291</v>
      </c>
      <c r="B4352" s="137">
        <f>'Revenues 9-14'!D146</f>
        <v>0</v>
      </c>
      <c r="D4352" s="2" t="str">
        <f t="shared" si="67"/>
        <v>Error?</v>
      </c>
    </row>
    <row r="4353" spans="1:4">
      <c r="A4353" s="5">
        <v>4292</v>
      </c>
      <c r="B4353" s="137">
        <f>'Revenues 9-14'!G146</f>
        <v>0</v>
      </c>
      <c r="D4353" s="2" t="str">
        <f t="shared" si="67"/>
        <v>Error?</v>
      </c>
    </row>
    <row r="4354" spans="1:4">
      <c r="A4354" s="5">
        <v>4293</v>
      </c>
      <c r="B4354" s="137">
        <f>'Revenues 9-14'!F149</f>
        <v>0</v>
      </c>
      <c r="D4354" s="2" t="str">
        <f t="shared" si="67"/>
        <v>Error?</v>
      </c>
    </row>
    <row r="4355" spans="1:4">
      <c r="A4355" s="5">
        <v>4294</v>
      </c>
      <c r="B4355" s="137">
        <f>'Revenues 9-14'!G149</f>
        <v>0</v>
      </c>
      <c r="D4355" s="2" t="str">
        <f t="shared" si="67"/>
        <v>Error?</v>
      </c>
    </row>
    <row r="4356" spans="1:4">
      <c r="A4356" s="5">
        <v>4295</v>
      </c>
      <c r="B4356" s="137">
        <f>'Revenues 9-14'!G153</f>
        <v>0</v>
      </c>
      <c r="D4356" s="2" t="str">
        <f t="shared" si="67"/>
        <v>Error?</v>
      </c>
    </row>
    <row r="4357" spans="1:4">
      <c r="A4357" s="5">
        <v>4296</v>
      </c>
      <c r="B4357" s="137">
        <f>'Revenues 9-14'!G154</f>
        <v>0</v>
      </c>
      <c r="C4357" s="2" t="s">
        <v>594</v>
      </c>
      <c r="D4357" s="2" t="str">
        <f t="shared" si="67"/>
        <v>Error?</v>
      </c>
    </row>
    <row r="4358" spans="1:4">
      <c r="A4358" s="5">
        <v>4297</v>
      </c>
      <c r="B4358" s="137">
        <f>'Revenues 9-14'!C270</f>
        <v>11072</v>
      </c>
      <c r="D4358" s="2" t="str">
        <f t="shared" si="67"/>
        <v>Error?</v>
      </c>
    </row>
    <row r="4359" spans="1:4">
      <c r="A4359" s="5">
        <v>4298</v>
      </c>
      <c r="B4359" s="137">
        <f>'Revenues 9-14'!D270</f>
        <v>0</v>
      </c>
      <c r="D4359" s="2" t="str">
        <f t="shared" si="67"/>
        <v>Error?</v>
      </c>
    </row>
    <row r="4360" spans="1:4">
      <c r="A4360" s="5">
        <v>4299</v>
      </c>
      <c r="B4360" s="137">
        <f>'Revenues 9-14'!F270</f>
        <v>0</v>
      </c>
      <c r="D4360" s="2" t="str">
        <f t="shared" si="67"/>
        <v>Error?</v>
      </c>
    </row>
    <row r="4361" spans="1:4">
      <c r="A4361" s="5">
        <v>4300</v>
      </c>
      <c r="B4361" s="137">
        <f>'Revenues 9-14'!G270</f>
        <v>0</v>
      </c>
      <c r="D4361" s="2" t="str">
        <f t="shared" si="67"/>
        <v>Error?</v>
      </c>
    </row>
    <row r="4362" spans="1:4">
      <c r="A4362" s="5">
        <v>4301</v>
      </c>
      <c r="B4362" s="137">
        <f>'Revenues 9-14'!C271</f>
        <v>208325</v>
      </c>
      <c r="D4362" s="2" t="str">
        <f t="shared" si="67"/>
        <v>Error?</v>
      </c>
    </row>
    <row r="4363" spans="1:4">
      <c r="A4363" s="5">
        <v>4302</v>
      </c>
      <c r="B4363" s="137">
        <f>'Revenues 9-14'!I172</f>
        <v>0</v>
      </c>
      <c r="C4363" s="2" t="s">
        <v>594</v>
      </c>
      <c r="D4363" s="2" t="str">
        <f t="shared" si="67"/>
        <v>Error?</v>
      </c>
    </row>
    <row r="4364" spans="1:4">
      <c r="A4364" s="5">
        <v>4303</v>
      </c>
      <c r="B4364" s="137">
        <f>'Revenues 9-14'!E176</f>
        <v>0</v>
      </c>
      <c r="D4364" s="2" t="str">
        <f t="shared" si="67"/>
        <v>Error?</v>
      </c>
    </row>
    <row r="4365" spans="1:4">
      <c r="A4365" s="5">
        <v>4304</v>
      </c>
      <c r="B4365" s="137">
        <f>'Revenues 9-14'!H176</f>
        <v>0</v>
      </c>
      <c r="D4365" s="2" t="str">
        <f t="shared" si="67"/>
        <v>Error?</v>
      </c>
    </row>
    <row r="4366" spans="1:4">
      <c r="A4366" s="5">
        <v>4305</v>
      </c>
      <c r="B4366" s="137">
        <f>'Revenues 9-14'!I176</f>
        <v>0</v>
      </c>
      <c r="D4366" s="2" t="str">
        <f t="shared" si="67"/>
        <v>Error?</v>
      </c>
    </row>
    <row r="4367" spans="1:4">
      <c r="A4367" s="10">
        <v>4306</v>
      </c>
      <c r="D4367" s="2" t="str">
        <f t="shared" si="67"/>
        <v>OK</v>
      </c>
    </row>
    <row r="4368" spans="1:4">
      <c r="A4368" s="5">
        <v>4307</v>
      </c>
      <c r="B4368" s="137">
        <f>'Revenues 9-14'!K176</f>
        <v>0</v>
      </c>
      <c r="D4368" s="2" t="str">
        <f t="shared" si="67"/>
        <v>Error?</v>
      </c>
    </row>
    <row r="4369" spans="1:4">
      <c r="A4369" s="5">
        <v>4308</v>
      </c>
      <c r="B4369" s="137">
        <f>'Revenues 9-14'!E177</f>
        <v>0</v>
      </c>
      <c r="D4369" s="2" t="str">
        <f t="shared" si="67"/>
        <v>Error?</v>
      </c>
    </row>
    <row r="4370" spans="1:4">
      <c r="A4370" s="5">
        <v>4309</v>
      </c>
      <c r="B4370" s="137">
        <f>'Revenues 9-14'!I177</f>
        <v>0</v>
      </c>
      <c r="D4370" s="2" t="str">
        <f t="shared" si="67"/>
        <v>Error?</v>
      </c>
    </row>
    <row r="4371" spans="1:4">
      <c r="A4371" s="10">
        <v>4310</v>
      </c>
      <c r="D4371" s="2" t="str">
        <f t="shared" si="67"/>
        <v>OK</v>
      </c>
    </row>
    <row r="4372" spans="1:4">
      <c r="A4372" s="5">
        <v>4311</v>
      </c>
      <c r="B4372" s="137">
        <f>'Revenues 9-14'!E178</f>
        <v>0</v>
      </c>
      <c r="C4372" s="2" t="s">
        <v>594</v>
      </c>
      <c r="D4372" s="2" t="str">
        <f t="shared" si="67"/>
        <v>Error?</v>
      </c>
    </row>
    <row r="4373" spans="1:4">
      <c r="A4373" s="5">
        <v>4312</v>
      </c>
      <c r="B4373" s="137">
        <f>'Revenues 9-14'!I178</f>
        <v>0</v>
      </c>
      <c r="C4373" s="2" t="s">
        <v>594</v>
      </c>
      <c r="D4373" s="2" t="str">
        <f t="shared" si="67"/>
        <v>Error?</v>
      </c>
    </row>
    <row r="4374" spans="1:4">
      <c r="A4374" s="10">
        <v>4313</v>
      </c>
      <c r="C4374" s="2" t="s">
        <v>594</v>
      </c>
      <c r="D4374" s="2" t="str">
        <f t="shared" si="67"/>
        <v>OK</v>
      </c>
    </row>
    <row r="4375" spans="1:4">
      <c r="A4375" s="5">
        <v>4314</v>
      </c>
      <c r="B4375" s="137">
        <f>'Revenues 9-14'!C188</f>
        <v>0</v>
      </c>
      <c r="D4375" s="2" t="str">
        <f t="shared" si="67"/>
        <v>Error?</v>
      </c>
    </row>
    <row r="4376" spans="1:4">
      <c r="A4376" s="5">
        <v>4315</v>
      </c>
      <c r="B4376" s="137">
        <f>'Revenues 9-14'!D188</f>
        <v>0</v>
      </c>
      <c r="D4376" s="2" t="str">
        <f t="shared" si="67"/>
        <v>Error?</v>
      </c>
    </row>
    <row r="4377" spans="1:4">
      <c r="A4377" s="5">
        <v>4316</v>
      </c>
      <c r="B4377" s="137">
        <f>'Revenues 9-14'!F188</f>
        <v>0</v>
      </c>
      <c r="D4377" s="2" t="str">
        <f t="shared" si="67"/>
        <v>Error?</v>
      </c>
    </row>
    <row r="4378" spans="1:4">
      <c r="A4378" s="5">
        <v>4317</v>
      </c>
      <c r="B4378" s="137">
        <f>'Revenues 9-14'!G188</f>
        <v>0</v>
      </c>
      <c r="D4378" s="2" t="str">
        <f t="shared" si="67"/>
        <v>Error?</v>
      </c>
    </row>
    <row r="4379" spans="1:4">
      <c r="A4379" s="5">
        <v>4318</v>
      </c>
      <c r="B4379" s="137">
        <f>'Revenues 9-14'!C189</f>
        <v>0</v>
      </c>
      <c r="D4379" s="2" t="str">
        <f t="shared" si="67"/>
        <v>Error?</v>
      </c>
    </row>
    <row r="4380" spans="1:4">
      <c r="A4380" s="5">
        <v>4319</v>
      </c>
      <c r="B4380" s="137">
        <f>'Revenues 9-14'!D189</f>
        <v>0</v>
      </c>
      <c r="D4380" s="2" t="str">
        <f t="shared" si="67"/>
        <v>Error?</v>
      </c>
    </row>
    <row r="4381" spans="1:4">
      <c r="A4381" s="5">
        <v>4320</v>
      </c>
      <c r="B4381" s="137">
        <f>'Revenues 9-14'!F189</f>
        <v>0</v>
      </c>
      <c r="D4381" s="2" t="str">
        <f t="shared" si="67"/>
        <v>Error?</v>
      </c>
    </row>
    <row r="4382" spans="1:4">
      <c r="A4382" s="5">
        <v>4321</v>
      </c>
      <c r="B4382" s="137">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7">
        <f>'Revenues 9-14'!C190</f>
        <v>0</v>
      </c>
      <c r="D4391" s="2" t="str">
        <f t="shared" si="67"/>
        <v>Error?</v>
      </c>
    </row>
    <row r="4392" spans="1:4">
      <c r="A4392" s="5">
        <v>4331</v>
      </c>
      <c r="B4392" s="137">
        <f>'Revenues 9-14'!D190</f>
        <v>0</v>
      </c>
      <c r="D4392" s="2" t="str">
        <f t="shared" si="67"/>
        <v>Error?</v>
      </c>
    </row>
    <row r="4393" spans="1:4">
      <c r="A4393" s="5">
        <v>4332</v>
      </c>
      <c r="B4393" s="137">
        <f>'Revenues 9-14'!F190</f>
        <v>0</v>
      </c>
      <c r="D4393" s="2" t="str">
        <f t="shared" si="67"/>
        <v>Error?</v>
      </c>
    </row>
    <row r="4394" spans="1:4">
      <c r="A4394" s="5">
        <v>4333</v>
      </c>
      <c r="B4394" s="137">
        <f>'Revenues 9-14'!G190</f>
        <v>0</v>
      </c>
      <c r="D4394" s="2" t="str">
        <f t="shared" si="67"/>
        <v>Error?</v>
      </c>
    </row>
    <row r="4395" spans="1:4">
      <c r="A4395" s="5">
        <v>4334</v>
      </c>
      <c r="B4395" s="137">
        <f>'Revenues 9-14'!C191</f>
        <v>0</v>
      </c>
      <c r="C4395" s="2" t="s">
        <v>594</v>
      </c>
      <c r="D4395" s="2" t="str">
        <f t="shared" si="67"/>
        <v>Error?</v>
      </c>
    </row>
    <row r="4396" spans="1:4">
      <c r="A4396" s="5">
        <v>4335</v>
      </c>
      <c r="B4396" s="137">
        <f>'Revenues 9-14'!D191</f>
        <v>0</v>
      </c>
      <c r="C4396" s="2" t="s">
        <v>594</v>
      </c>
      <c r="D4396" s="2" t="str">
        <f t="shared" si="67"/>
        <v>Error?</v>
      </c>
    </row>
    <row r="4397" spans="1:4">
      <c r="A4397" s="5">
        <v>4336</v>
      </c>
      <c r="B4397" s="137">
        <f>'Revenues 9-14'!F191</f>
        <v>0</v>
      </c>
      <c r="C4397" s="2" t="s">
        <v>594</v>
      </c>
      <c r="D4397" s="2" t="str">
        <f t="shared" si="67"/>
        <v>Error?</v>
      </c>
    </row>
    <row r="4398" spans="1:4">
      <c r="A4398" s="5">
        <v>4337</v>
      </c>
      <c r="B4398" s="137">
        <f>'Revenues 9-14'!G191</f>
        <v>0</v>
      </c>
      <c r="C4398" s="2" t="s">
        <v>594</v>
      </c>
      <c r="D4398" s="2" t="str">
        <f t="shared" si="67"/>
        <v>Error?</v>
      </c>
    </row>
    <row r="4399" spans="1:4">
      <c r="A4399" s="5">
        <v>4338</v>
      </c>
      <c r="B4399" s="137">
        <f>'Revenues 9-14'!C206</f>
        <v>0</v>
      </c>
      <c r="D4399" s="2" t="str">
        <f t="shared" si="67"/>
        <v>Error?</v>
      </c>
    </row>
    <row r="4400" spans="1:4">
      <c r="A4400" s="5">
        <v>4339</v>
      </c>
      <c r="B4400" s="137">
        <f>'Revenues 9-14'!D206</f>
        <v>0</v>
      </c>
      <c r="D4400" s="2" t="str">
        <f t="shared" si="67"/>
        <v>Error?</v>
      </c>
    </row>
    <row r="4401" spans="1:4">
      <c r="A4401" s="5">
        <v>4340</v>
      </c>
      <c r="B4401" s="137">
        <f>'Revenues 9-14'!F206</f>
        <v>0</v>
      </c>
      <c r="D4401" s="2" t="str">
        <f t="shared" si="67"/>
        <v>Error?</v>
      </c>
    </row>
    <row r="4402" spans="1:4">
      <c r="A4402" s="5">
        <v>4341</v>
      </c>
      <c r="B4402" s="137">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7">
        <f>'Revenues 9-14'!C214</f>
        <v>0</v>
      </c>
      <c r="D4407" s="2" t="str">
        <f t="shared" si="67"/>
        <v>Error?</v>
      </c>
    </row>
    <row r="4408" spans="1:4">
      <c r="A4408" s="5">
        <v>4347</v>
      </c>
      <c r="B4408" s="137">
        <f>'Revenues 9-14'!D214</f>
        <v>0</v>
      </c>
      <c r="D4408" s="2" t="str">
        <f t="shared" si="67"/>
        <v>Error?</v>
      </c>
    </row>
    <row r="4409" spans="1:4">
      <c r="A4409" s="5">
        <v>4348</v>
      </c>
      <c r="B4409" s="137">
        <f>'Revenues 9-14'!F214</f>
        <v>0</v>
      </c>
      <c r="D4409" s="2" t="str">
        <f t="shared" si="67"/>
        <v>Error?</v>
      </c>
    </row>
    <row r="4410" spans="1:4">
      <c r="A4410" s="5">
        <v>4349</v>
      </c>
      <c r="B4410" s="137">
        <f>'Revenues 9-14'!G214</f>
        <v>0</v>
      </c>
      <c r="D4410" s="2" t="str">
        <f t="shared" si="67"/>
        <v>Error?</v>
      </c>
    </row>
    <row r="4411" spans="1:4">
      <c r="A4411" s="5">
        <v>4350</v>
      </c>
      <c r="B4411" s="137">
        <f>'Revenues 9-14'!C216</f>
        <v>0</v>
      </c>
      <c r="C4411" s="2" t="s">
        <v>594</v>
      </c>
      <c r="D4411" s="2" t="str">
        <f t="shared" si="67"/>
        <v>Error?</v>
      </c>
    </row>
    <row r="4412" spans="1:4">
      <c r="A4412" s="5">
        <v>4351</v>
      </c>
      <c r="B4412" s="137">
        <f>'Revenues 9-14'!D216</f>
        <v>0</v>
      </c>
      <c r="C4412" s="2" t="s">
        <v>594</v>
      </c>
      <c r="D4412" s="2" t="str">
        <f t="shared" si="67"/>
        <v>Error?</v>
      </c>
    </row>
    <row r="4413" spans="1:4">
      <c r="A4413" s="5">
        <v>4352</v>
      </c>
      <c r="B4413" s="137">
        <f>'Revenues 9-14'!F216</f>
        <v>0</v>
      </c>
      <c r="C4413" s="2" t="s">
        <v>594</v>
      </c>
      <c r="D4413" s="2" t="str">
        <f t="shared" si="67"/>
        <v>Error?</v>
      </c>
    </row>
    <row r="4414" spans="1:4">
      <c r="A4414" s="5">
        <v>4353</v>
      </c>
      <c r="B4414" s="137">
        <f>'Revenues 9-14'!G216</f>
        <v>0</v>
      </c>
      <c r="C4414" s="2" t="s">
        <v>594</v>
      </c>
      <c r="D4414" s="2" t="str">
        <f t="shared" si="67"/>
        <v>Error?</v>
      </c>
    </row>
    <row r="4415" spans="1:4">
      <c r="A4415" s="5">
        <v>4354</v>
      </c>
      <c r="B4415" s="137">
        <f>'Revenues 9-14'!C264</f>
        <v>693</v>
      </c>
      <c r="D4415" s="2" t="str">
        <f t="shared" ref="D4415:D4478" si="68">IF(ISBLANK(B4415),"OK",IF(A4415-B4415=0,"OK","Error?"))</f>
        <v>Error?</v>
      </c>
    </row>
    <row r="4416" spans="1:4">
      <c r="A4416" s="5">
        <v>4355</v>
      </c>
      <c r="B4416" s="137">
        <f>'Revenues 9-14'!F264</f>
        <v>0</v>
      </c>
      <c r="D4416" s="2" t="str">
        <f t="shared" si="68"/>
        <v>Error?</v>
      </c>
    </row>
    <row r="4417" spans="1:4">
      <c r="A4417" s="5">
        <v>4356</v>
      </c>
      <c r="B4417" s="137">
        <f>'Revenues 9-14'!G264</f>
        <v>0</v>
      </c>
      <c r="D4417" s="2" t="str">
        <f t="shared" si="68"/>
        <v>Error?</v>
      </c>
    </row>
    <row r="4418" spans="1:4">
      <c r="A4418" s="5">
        <v>4357</v>
      </c>
      <c r="B4418" s="137">
        <f>'Revenues 9-14'!C268</f>
        <v>20198</v>
      </c>
      <c r="D4418" s="2" t="str">
        <f t="shared" si="68"/>
        <v>Error?</v>
      </c>
    </row>
    <row r="4419" spans="1:4">
      <c r="A4419" s="5">
        <v>4358</v>
      </c>
      <c r="B4419" s="137">
        <f>'Revenues 9-14'!D268</f>
        <v>0</v>
      </c>
      <c r="D4419" s="2" t="str">
        <f t="shared" si="68"/>
        <v>Error?</v>
      </c>
    </row>
    <row r="4420" spans="1:4">
      <c r="A4420" s="5">
        <v>4359</v>
      </c>
      <c r="B4420" s="137">
        <f>'Revenues 9-14'!F268</f>
        <v>0</v>
      </c>
      <c r="D4420" s="2" t="str">
        <f t="shared" si="68"/>
        <v>Error?</v>
      </c>
    </row>
    <row r="4421" spans="1:4">
      <c r="A4421" s="5">
        <v>4360</v>
      </c>
      <c r="B4421" s="137">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9-14'!E274</f>
        <v>0</v>
      </c>
      <c r="C4434" s="2" t="s">
        <v>594</v>
      </c>
      <c r="D4434" s="2" t="str">
        <f t="shared" si="68"/>
        <v>Error?</v>
      </c>
    </row>
    <row r="4435" spans="1:5">
      <c r="A4435" s="5">
        <v>4374</v>
      </c>
      <c r="B4435" s="137">
        <f>'Revenues 9-14'!I274</f>
        <v>0</v>
      </c>
      <c r="C4435" s="2" t="s">
        <v>594</v>
      </c>
      <c r="D4435" s="2" t="str">
        <f t="shared" si="68"/>
        <v>Error?</v>
      </c>
    </row>
    <row r="4436" spans="1:5">
      <c r="A4436" s="10">
        <v>4375</v>
      </c>
      <c r="C4436" s="2" t="s">
        <v>594</v>
      </c>
      <c r="D4436" s="2" t="str">
        <f t="shared" si="68"/>
        <v>OK</v>
      </c>
      <c r="E4436" s="127"/>
    </row>
    <row r="4437" spans="1:5">
      <c r="A4437" s="12">
        <v>4376</v>
      </c>
      <c r="B4437" s="137">
        <f>('FP Info 3'!L10)*100000</f>
        <v>46.6</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9-14'!H273</f>
        <v>0</v>
      </c>
      <c r="C4441" s="2" t="s">
        <v>594</v>
      </c>
      <c r="D4441" s="2" t="str">
        <f t="shared" si="68"/>
        <v>Error?</v>
      </c>
    </row>
    <row r="4442" spans="1:5">
      <c r="A4442" s="5">
        <v>4381</v>
      </c>
      <c r="B4442" s="137">
        <f>'Revenues 9-14'!K273</f>
        <v>0</v>
      </c>
      <c r="C4442" s="2" t="s">
        <v>594</v>
      </c>
      <c r="D4442" s="2" t="str">
        <f t="shared" si="68"/>
        <v>Error?</v>
      </c>
    </row>
    <row r="4443" spans="1:5">
      <c r="A4443" s="5">
        <v>4382</v>
      </c>
      <c r="B4443" s="137">
        <f>'Acct Summary 7-8'!E7</f>
        <v>0</v>
      </c>
      <c r="C4443" s="2" t="s">
        <v>594</v>
      </c>
      <c r="D4443" s="2" t="str">
        <f t="shared" si="68"/>
        <v>Error?</v>
      </c>
    </row>
    <row r="4444" spans="1:5">
      <c r="A4444" s="5">
        <v>4383</v>
      </c>
      <c r="B4444" s="137">
        <f>'Acct Summary 7-8'!I7</f>
        <v>0</v>
      </c>
      <c r="C4444" s="2" t="s">
        <v>594</v>
      </c>
      <c r="D4444" s="2" t="str">
        <f t="shared" si="68"/>
        <v>Error?</v>
      </c>
    </row>
    <row r="4445" spans="1:5">
      <c r="A4445" s="10">
        <v>4384</v>
      </c>
      <c r="C4445" s="2" t="s">
        <v>594</v>
      </c>
      <c r="D4445" s="2" t="str">
        <f t="shared" si="68"/>
        <v>OK</v>
      </c>
    </row>
    <row r="4446" spans="1:5">
      <c r="A4446" s="5">
        <v>4385</v>
      </c>
      <c r="B4446" s="137">
        <f>'Revenues 9-14'!D271</f>
        <v>0</v>
      </c>
      <c r="D4446" s="2" t="str">
        <f t="shared" si="68"/>
        <v>Error?</v>
      </c>
    </row>
    <row r="4447" spans="1:5">
      <c r="A4447" s="5">
        <v>4386</v>
      </c>
      <c r="B4447" s="137">
        <f>'Revenues 9-14'!F271</f>
        <v>0</v>
      </c>
      <c r="D4447" s="2" t="str">
        <f t="shared" si="68"/>
        <v>Error?</v>
      </c>
    </row>
    <row r="4448" spans="1:5">
      <c r="A4448" s="5">
        <v>4387</v>
      </c>
      <c r="B4448" s="137">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7">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9-14'!C171</f>
        <v>4306</v>
      </c>
      <c r="D4792" s="2" t="str">
        <f t="shared" si="73"/>
        <v>Error?</v>
      </c>
    </row>
    <row r="4793" spans="1:4">
      <c r="A4793" s="5">
        <v>4732</v>
      </c>
      <c r="B4793" s="137">
        <f>'Revenues 9-14'!D171</f>
        <v>0</v>
      </c>
      <c r="D4793" s="2" t="str">
        <f t="shared" si="73"/>
        <v>Error?</v>
      </c>
    </row>
    <row r="4794" spans="1:4">
      <c r="A4794" s="5">
        <v>4733</v>
      </c>
      <c r="B4794" s="137">
        <f>'Revenues 9-14'!E171</f>
        <v>0</v>
      </c>
      <c r="D4794" s="2" t="str">
        <f t="shared" si="73"/>
        <v>Error?</v>
      </c>
    </row>
    <row r="4795" spans="1:4">
      <c r="A4795" s="5">
        <v>4734</v>
      </c>
      <c r="B4795" s="137">
        <f>'Revenues 9-14'!F171</f>
        <v>0</v>
      </c>
      <c r="D4795" s="2" t="str">
        <f t="shared" si="73"/>
        <v>Error?</v>
      </c>
    </row>
    <row r="4796" spans="1:4">
      <c r="A4796" s="5">
        <v>4735</v>
      </c>
      <c r="B4796" s="137">
        <f>'Revenues 9-14'!G171</f>
        <v>0</v>
      </c>
      <c r="D4796" s="2" t="str">
        <f t="shared" si="73"/>
        <v>Error?</v>
      </c>
    </row>
    <row r="4797" spans="1:4">
      <c r="A4797" s="5">
        <v>4736</v>
      </c>
      <c r="B4797" s="137">
        <f>'Revenues 9-14'!H171</f>
        <v>0</v>
      </c>
      <c r="D4797" s="2" t="str">
        <f t="shared" si="73"/>
        <v>Error?</v>
      </c>
    </row>
    <row r="4798" spans="1:4">
      <c r="A4798" s="10">
        <v>4737</v>
      </c>
      <c r="D4798" s="2" t="str">
        <f t="shared" si="73"/>
        <v>OK</v>
      </c>
    </row>
    <row r="4799" spans="1:4">
      <c r="A4799" s="5">
        <v>4738</v>
      </c>
      <c r="B4799" s="137">
        <f>'Revenues 9-14'!K171</f>
        <v>0</v>
      </c>
      <c r="D4799" s="2" t="str">
        <f t="shared" ref="D4799:D4862" si="74">IF(ISBLANK(B4799),"OK",IF(A4799-B4799=0,"OK","Error?"))</f>
        <v>Error?</v>
      </c>
    </row>
    <row r="4800" spans="1:4">
      <c r="A4800" s="10">
        <v>4739</v>
      </c>
      <c r="D4800" s="2" t="str">
        <f t="shared" si="74"/>
        <v>OK</v>
      </c>
    </row>
    <row r="4801" spans="1:4">
      <c r="A4801" s="5">
        <v>4740</v>
      </c>
      <c r="B4801" s="137">
        <f>'Revenues 9-14'!C182</f>
        <v>0</v>
      </c>
      <c r="D4801" s="2" t="str">
        <f t="shared" si="74"/>
        <v>Error?</v>
      </c>
    </row>
    <row r="4802" spans="1:4">
      <c r="A4802" s="5">
        <v>4741</v>
      </c>
      <c r="B4802" s="137">
        <f>'Revenues 9-14'!D182</f>
        <v>0</v>
      </c>
      <c r="D4802" s="2" t="str">
        <f t="shared" si="74"/>
        <v>Error?</v>
      </c>
    </row>
    <row r="4803" spans="1:4">
      <c r="A4803" s="10">
        <v>4742</v>
      </c>
      <c r="D4803" s="2" t="str">
        <f t="shared" si="74"/>
        <v>OK</v>
      </c>
    </row>
    <row r="4804" spans="1:4">
      <c r="A4804" s="5">
        <v>4743</v>
      </c>
      <c r="B4804" s="137">
        <f>'Revenues 9-14'!F182</f>
        <v>0</v>
      </c>
      <c r="D4804" s="2" t="str">
        <f t="shared" si="74"/>
        <v>Error?</v>
      </c>
    </row>
    <row r="4805" spans="1:4">
      <c r="A4805" s="5">
        <v>4744</v>
      </c>
      <c r="B4805" s="137">
        <f>'Revenues 9-14'!C183</f>
        <v>0</v>
      </c>
      <c r="D4805" s="2" t="str">
        <f t="shared" si="74"/>
        <v>Error?</v>
      </c>
    </row>
    <row r="4806" spans="1:4">
      <c r="A4806" s="5">
        <v>4745</v>
      </c>
      <c r="B4806" s="137">
        <f>'Revenues 9-14'!D183</f>
        <v>0</v>
      </c>
      <c r="D4806" s="2" t="str">
        <f t="shared" si="74"/>
        <v>Error?</v>
      </c>
    </row>
    <row r="4807" spans="1:4">
      <c r="A4807" s="10">
        <v>4746</v>
      </c>
      <c r="D4807" s="2" t="str">
        <f t="shared" si="74"/>
        <v>OK</v>
      </c>
    </row>
    <row r="4808" spans="1:4">
      <c r="A4808" s="12">
        <v>4747</v>
      </c>
      <c r="B4808" s="137">
        <f>'Revenues 9-14'!F183</f>
        <v>0</v>
      </c>
      <c r="D4808" s="2" t="str">
        <f t="shared" si="74"/>
        <v>Error?</v>
      </c>
    </row>
    <row r="4809" spans="1:4">
      <c r="A4809" s="5">
        <v>4748</v>
      </c>
      <c r="D4809" s="2" t="str">
        <f t="shared" si="74"/>
        <v>OK</v>
      </c>
    </row>
    <row r="4810" spans="1:4">
      <c r="A4810" s="5">
        <v>4749</v>
      </c>
      <c r="B4810" s="137">
        <f>'Revenues 9-14'!G182</f>
        <v>0</v>
      </c>
      <c r="D4810" s="2" t="str">
        <f t="shared" si="74"/>
        <v>Error?</v>
      </c>
    </row>
    <row r="4811" spans="1:4">
      <c r="A4811" s="5">
        <v>4750</v>
      </c>
      <c r="B4811" s="137">
        <f>'Revenues 9-14'!H182</f>
        <v>0</v>
      </c>
      <c r="D4811" s="2" t="str">
        <f t="shared" si="74"/>
        <v>Error?</v>
      </c>
    </row>
    <row r="4812" spans="1:4">
      <c r="A4812" s="10">
        <v>4751</v>
      </c>
      <c r="D4812" s="2" t="str">
        <f t="shared" si="74"/>
        <v>OK</v>
      </c>
    </row>
    <row r="4813" spans="1:4">
      <c r="A4813" s="5">
        <v>4752</v>
      </c>
      <c r="B4813" s="137">
        <f>'Revenues 9-14'!G183</f>
        <v>0</v>
      </c>
      <c r="D4813" s="2" t="str">
        <f t="shared" si="74"/>
        <v>Error?</v>
      </c>
    </row>
    <row r="4814" spans="1:4">
      <c r="A4814" s="5">
        <v>4753</v>
      </c>
      <c r="B4814" s="137">
        <f>'Revenues 9-14'!H183</f>
        <v>0</v>
      </c>
      <c r="D4814" s="2" t="str">
        <f t="shared" si="74"/>
        <v>Error?</v>
      </c>
    </row>
    <row r="4815" spans="1:4">
      <c r="A4815" s="10">
        <v>4754</v>
      </c>
      <c r="D4815" s="2" t="str">
        <f t="shared" si="74"/>
        <v>OK</v>
      </c>
    </row>
    <row r="4816" spans="1:4">
      <c r="A4816" s="5">
        <v>4755</v>
      </c>
      <c r="B4816" s="137">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9-14'!C272</f>
        <v>2</v>
      </c>
      <c r="D4852" s="2" t="str">
        <f t="shared" si="74"/>
        <v>Error?</v>
      </c>
    </row>
    <row r="4853" spans="1:4">
      <c r="A4853" s="5">
        <v>4792</v>
      </c>
      <c r="B4853" s="137">
        <f>'Revenues 9-14'!D272</f>
        <v>0</v>
      </c>
      <c r="D4853" s="2" t="str">
        <f t="shared" si="74"/>
        <v>Error?</v>
      </c>
    </row>
    <row r="4854" spans="1:4">
      <c r="A4854" s="10">
        <v>4793</v>
      </c>
      <c r="D4854" s="2" t="str">
        <f t="shared" si="74"/>
        <v>OK</v>
      </c>
    </row>
    <row r="4855" spans="1:4">
      <c r="A4855" s="5">
        <v>4794</v>
      </c>
      <c r="B4855" s="137">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9-14'!G272</f>
        <v>0</v>
      </c>
      <c r="D4864" s="2" t="str">
        <f t="shared" si="75"/>
        <v>Error?</v>
      </c>
    </row>
    <row r="4865" spans="1:4">
      <c r="A4865" s="5">
        <v>4804</v>
      </c>
      <c r="B4865" s="137">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9-14'!C120</f>
        <v>0</v>
      </c>
      <c r="D4882" s="2" t="str">
        <f t="shared" si="75"/>
        <v>Error?</v>
      </c>
    </row>
    <row r="4883" spans="1:4">
      <c r="A4883" s="5">
        <v>4822</v>
      </c>
      <c r="B4883" s="137">
        <f>'Revenues 9-14'!D120</f>
        <v>0</v>
      </c>
      <c r="D4883" s="2" t="str">
        <f t="shared" si="75"/>
        <v>Error?</v>
      </c>
    </row>
    <row r="4884" spans="1:4">
      <c r="A4884" s="5">
        <v>4823</v>
      </c>
      <c r="B4884" s="137">
        <f>'Revenues 9-14'!E120</f>
        <v>0</v>
      </c>
      <c r="D4884" s="2" t="str">
        <f t="shared" si="75"/>
        <v>Error?</v>
      </c>
    </row>
    <row r="4885" spans="1:4">
      <c r="A4885" s="5">
        <v>4824</v>
      </c>
      <c r="B4885" s="137">
        <f>'Revenues 9-14'!F120</f>
        <v>0</v>
      </c>
      <c r="D4885" s="2" t="str">
        <f t="shared" si="75"/>
        <v>Error?</v>
      </c>
    </row>
    <row r="4886" spans="1:4">
      <c r="A4886" s="5">
        <v>4825</v>
      </c>
      <c r="B4886" s="137">
        <f>'Revenues 9-14'!G120</f>
        <v>0</v>
      </c>
      <c r="D4886" s="2" t="str">
        <f t="shared" si="75"/>
        <v>Error?</v>
      </c>
    </row>
    <row r="4887" spans="1:4">
      <c r="A4887" s="5">
        <v>4826</v>
      </c>
      <c r="B4887" s="137">
        <f>'Revenues 9-14'!H120</f>
        <v>0</v>
      </c>
      <c r="D4887" s="2" t="str">
        <f t="shared" si="75"/>
        <v>Error?</v>
      </c>
    </row>
    <row r="4888" spans="1:4">
      <c r="A4888" s="10">
        <v>4827</v>
      </c>
      <c r="D4888" s="2" t="str">
        <f t="shared" si="75"/>
        <v>OK</v>
      </c>
    </row>
    <row r="4889" spans="1:4">
      <c r="A4889" s="5">
        <v>4828</v>
      </c>
      <c r="B4889" s="137">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9-14'!C165</f>
        <v>0</v>
      </c>
      <c r="D4915" s="2" t="str">
        <f t="shared" si="75"/>
        <v>Error?</v>
      </c>
    </row>
    <row r="4916" spans="1:4">
      <c r="A4916" s="5">
        <v>4855</v>
      </c>
      <c r="B4916" s="137">
        <f>'Revenues 9-14'!D165</f>
        <v>0</v>
      </c>
      <c r="D4916" s="2" t="str">
        <f t="shared" si="75"/>
        <v>Error?</v>
      </c>
    </row>
    <row r="4917" spans="1:4">
      <c r="A4917" s="5">
        <v>4856</v>
      </c>
      <c r="B4917" s="137">
        <f>'Revenues 9-14'!E165</f>
        <v>0</v>
      </c>
      <c r="D4917" s="2" t="str">
        <f t="shared" si="75"/>
        <v>Error?</v>
      </c>
    </row>
    <row r="4918" spans="1:4">
      <c r="A4918" s="5">
        <v>4857</v>
      </c>
      <c r="B4918" s="137">
        <f>'Revenues 9-14'!F165</f>
        <v>0</v>
      </c>
      <c r="D4918" s="2" t="str">
        <f t="shared" si="75"/>
        <v>Error?</v>
      </c>
    </row>
    <row r="4919" spans="1:4">
      <c r="A4919" s="5">
        <v>4858</v>
      </c>
      <c r="B4919" s="137">
        <f>'Revenues 9-14'!G165</f>
        <v>0</v>
      </c>
      <c r="D4919" s="2" t="str">
        <f t="shared" si="75"/>
        <v>Error?</v>
      </c>
    </row>
    <row r="4920" spans="1:4">
      <c r="A4920" s="5">
        <v>4859</v>
      </c>
      <c r="B4920" s="137">
        <f>'Revenues 9-14'!H165</f>
        <v>0</v>
      </c>
      <c r="D4920" s="2" t="str">
        <f t="shared" si="75"/>
        <v>Error?</v>
      </c>
    </row>
    <row r="4921" spans="1:4">
      <c r="A4921" s="10">
        <v>4860</v>
      </c>
      <c r="D4921" s="2" t="str">
        <f t="shared" si="75"/>
        <v>OK</v>
      </c>
    </row>
    <row r="4922" spans="1:4">
      <c r="A4922" s="5">
        <v>4861</v>
      </c>
      <c r="B4922" s="137">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9-14'!C177</f>
        <v>0</v>
      </c>
      <c r="D4944" s="2" t="str">
        <f t="shared" si="76"/>
        <v>Error?</v>
      </c>
    </row>
    <row r="4945" spans="1:4">
      <c r="A4945" s="5">
        <v>4884</v>
      </c>
      <c r="B4945" s="137">
        <f>'Revenues 9-14'!D177</f>
        <v>0</v>
      </c>
      <c r="D4945" s="2" t="str">
        <f t="shared" si="76"/>
        <v>Error?</v>
      </c>
    </row>
    <row r="4946" spans="1:4">
      <c r="A4946" s="5">
        <v>4885</v>
      </c>
      <c r="B4946" s="137">
        <f>'Revenues 9-14'!F177</f>
        <v>0</v>
      </c>
      <c r="D4946" s="2" t="str">
        <f t="shared" si="76"/>
        <v>Error?</v>
      </c>
    </row>
    <row r="4947" spans="1:4">
      <c r="A4947" s="5">
        <v>4886</v>
      </c>
      <c r="B4947" s="137">
        <f>'Revenues 9-14'!G177</f>
        <v>0</v>
      </c>
      <c r="D4947" s="2" t="str">
        <f t="shared" si="76"/>
        <v>Error?</v>
      </c>
    </row>
    <row r="4948" spans="1:4">
      <c r="A4948" s="5">
        <v>4887</v>
      </c>
      <c r="B4948" s="137">
        <f>'Revenues 9-14'!H177</f>
        <v>0</v>
      </c>
      <c r="D4948" s="2" t="str">
        <f t="shared" si="76"/>
        <v>Error?</v>
      </c>
    </row>
    <row r="4949" spans="1:4">
      <c r="A4949" s="5">
        <v>4888</v>
      </c>
      <c r="B4949" s="137">
        <f>'Revenues 9-14'!K177</f>
        <v>0</v>
      </c>
      <c r="D4949" s="2" t="str">
        <f t="shared" si="76"/>
        <v>Error?</v>
      </c>
    </row>
    <row r="4950" spans="1:4">
      <c r="A4950" s="5">
        <v>4889</v>
      </c>
      <c r="B4950" s="137">
        <f>'Revenues 9-14'!H178</f>
        <v>0</v>
      </c>
      <c r="C4950" s="2" t="s">
        <v>594</v>
      </c>
      <c r="D4950" s="2" t="str">
        <f t="shared" si="76"/>
        <v>Error?</v>
      </c>
    </row>
    <row r="4951" spans="1:4">
      <c r="A4951" s="5">
        <v>4890</v>
      </c>
      <c r="B4951" s="137">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991402957</v>
      </c>
      <c r="D4995" s="2" t="str">
        <f t="shared" si="77"/>
        <v>Error?</v>
      </c>
    </row>
    <row r="4996" spans="1:4">
      <c r="A4996" s="12">
        <v>4935</v>
      </c>
      <c r="B4996" s="137">
        <f>'FP Info 3'!H31</f>
        <v>68406804.033000007</v>
      </c>
      <c r="D4996" s="2" t="str">
        <f t="shared" si="77"/>
        <v>Error?</v>
      </c>
    </row>
    <row r="4997" spans="1:4">
      <c r="A4997" s="12">
        <v>4936</v>
      </c>
      <c r="B4997" s="137">
        <f>'FP Info 3'!H37</f>
        <v>28623233</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7">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7">
        <f>'Acct Summary 7-8'!I6</f>
        <v>0</v>
      </c>
      <c r="C5011" s="2" t="s">
        <v>594</v>
      </c>
      <c r="D5011" s="2" t="str">
        <f t="shared" si="77"/>
        <v>Error?</v>
      </c>
    </row>
    <row r="5012" spans="1:4">
      <c r="A5012" s="5">
        <v>4951</v>
      </c>
      <c r="B5012" s="137">
        <f>'Acct Summary 7-8'!C27</f>
        <v>3000000</v>
      </c>
      <c r="C5012" s="2" t="s">
        <v>594</v>
      </c>
      <c r="D5012" s="2" t="str">
        <f t="shared" si="77"/>
        <v>Error?</v>
      </c>
    </row>
    <row r="5013" spans="1:4">
      <c r="A5013" s="5">
        <v>4952</v>
      </c>
      <c r="B5013" s="137">
        <f>'Acct Summary 7-8'!D27</f>
        <v>0</v>
      </c>
      <c r="D5013" s="2" t="str">
        <f t="shared" si="77"/>
        <v>Error?</v>
      </c>
    </row>
    <row r="5014" spans="1:4">
      <c r="A5014" s="5">
        <v>4953</v>
      </c>
      <c r="B5014" s="137">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3000000</v>
      </c>
      <c r="D5024" s="2" t="str">
        <f t="shared" si="77"/>
        <v>Error?</v>
      </c>
    </row>
    <row r="5025" spans="1:4">
      <c r="A5025" s="10">
        <v>4964</v>
      </c>
      <c r="C5025" s="2" t="s">
        <v>594</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9-14'!C163</f>
        <v>0</v>
      </c>
      <c r="D5056" s="2" t="str">
        <f t="shared" si="78"/>
        <v>Error?</v>
      </c>
    </row>
    <row r="5057" spans="1:4">
      <c r="A5057" s="5">
        <v>4996</v>
      </c>
      <c r="B5057" s="137">
        <f>'Revenues 9-14'!D163</f>
        <v>0</v>
      </c>
      <c r="D5057" s="2" t="str">
        <f t="shared" si="78"/>
        <v>Error?</v>
      </c>
    </row>
    <row r="5058" spans="1:4">
      <c r="A5058" s="5">
        <v>4997</v>
      </c>
      <c r="B5058" s="137">
        <f>'Revenues 9-14'!F163</f>
        <v>0</v>
      </c>
      <c r="D5058" s="2" t="str">
        <f t="shared" si="78"/>
        <v>Error?</v>
      </c>
    </row>
    <row r="5059" spans="1:4">
      <c r="A5059" s="5">
        <v>4998</v>
      </c>
      <c r="B5059" s="137">
        <f>'Revenues 9-14'!G163</f>
        <v>0</v>
      </c>
      <c r="D5059" s="2" t="str">
        <f t="shared" si="78"/>
        <v>Error?</v>
      </c>
    </row>
    <row r="5060" spans="1:4">
      <c r="A5060" s="5">
        <v>4999</v>
      </c>
      <c r="B5060" s="137">
        <f>'Revenues 9-14'!C164</f>
        <v>0</v>
      </c>
      <c r="D5060" s="2" t="str">
        <f t="shared" si="78"/>
        <v>Error?</v>
      </c>
    </row>
    <row r="5061" spans="1:4">
      <c r="A5061" s="5">
        <v>5000</v>
      </c>
      <c r="B5061" s="137">
        <f>'Revenues 9-14'!C5</f>
        <v>31605552</v>
      </c>
      <c r="D5061" s="2" t="str">
        <f t="shared" si="78"/>
        <v>Error?</v>
      </c>
    </row>
    <row r="5062" spans="1:4">
      <c r="A5062" s="10">
        <v>5001</v>
      </c>
      <c r="D5062" s="2" t="str">
        <f t="shared" si="78"/>
        <v>OK</v>
      </c>
    </row>
    <row r="5063" spans="1:4">
      <c r="A5063" s="5">
        <v>5002</v>
      </c>
      <c r="B5063" s="137">
        <f>'Revenues 9-14'!C7</f>
        <v>3175665</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34781217</v>
      </c>
      <c r="C5066" s="2" t="s">
        <v>594</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1202876</v>
      </c>
      <c r="D5069" s="2" t="str">
        <f t="shared" si="78"/>
        <v>Error?</v>
      </c>
    </row>
    <row r="5070" spans="1:4">
      <c r="A5070" s="5">
        <v>5009</v>
      </c>
      <c r="B5070" s="137">
        <f>'Revenues 9-14'!C17</f>
        <v>0</v>
      </c>
      <c r="D5070" s="2" t="str">
        <f t="shared" si="78"/>
        <v>Error?</v>
      </c>
    </row>
    <row r="5071" spans="1:4">
      <c r="A5071" s="5">
        <v>5010</v>
      </c>
      <c r="B5071" s="137">
        <f>'Revenues 9-14'!C18</f>
        <v>1202876</v>
      </c>
      <c r="C5071" s="2" t="s">
        <v>594</v>
      </c>
      <c r="D5071" s="2" t="str">
        <f t="shared" si="78"/>
        <v>Error?</v>
      </c>
    </row>
    <row r="5072" spans="1:4">
      <c r="A5072" s="5">
        <v>5011</v>
      </c>
      <c r="B5072" s="137">
        <f>'Revenues 9-14'!C20</f>
        <v>181812</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6446</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188258</v>
      </c>
      <c r="C5087" s="2" t="s">
        <v>594</v>
      </c>
      <c r="D5087" s="2" t="str">
        <f t="shared" si="78"/>
        <v>Error?</v>
      </c>
    </row>
    <row r="5088" spans="1:4">
      <c r="A5088" s="5">
        <v>5027</v>
      </c>
      <c r="B5088" s="137">
        <f>'Revenues 9-14'!C65</f>
        <v>677711</v>
      </c>
      <c r="D5088" s="2" t="str">
        <f t="shared" si="78"/>
        <v>Error?</v>
      </c>
    </row>
    <row r="5089" spans="1:4">
      <c r="A5089" s="5">
        <v>5028</v>
      </c>
      <c r="B5089" s="137">
        <f>'Revenues 9-14'!C66</f>
        <v>0</v>
      </c>
      <c r="D5089" s="2" t="str">
        <f t="shared" si="78"/>
        <v>Error?</v>
      </c>
    </row>
    <row r="5090" spans="1:4">
      <c r="A5090" s="5">
        <v>5029</v>
      </c>
      <c r="B5090" s="137">
        <f>'Revenues 9-14'!C67</f>
        <v>677711</v>
      </c>
      <c r="C5090" s="2" t="s">
        <v>594</v>
      </c>
      <c r="D5090" s="2" t="str">
        <f t="shared" si="78"/>
        <v>Error?</v>
      </c>
    </row>
    <row r="5091" spans="1:4">
      <c r="A5091" s="5">
        <v>5030</v>
      </c>
      <c r="B5091" s="137">
        <f>'Revenues 9-14'!C70</f>
        <v>19096</v>
      </c>
      <c r="D5091" s="2" t="str">
        <f t="shared" si="78"/>
        <v>Error?</v>
      </c>
    </row>
    <row r="5092" spans="1:4">
      <c r="A5092" s="5">
        <v>5031</v>
      </c>
      <c r="B5092" s="137">
        <f>'Revenues 9-14'!C71</f>
        <v>194918</v>
      </c>
      <c r="D5092" s="2" t="str">
        <f t="shared" si="78"/>
        <v>Error?</v>
      </c>
    </row>
    <row r="5093" spans="1:4">
      <c r="A5093" s="5">
        <v>5032</v>
      </c>
      <c r="B5093" s="137">
        <f>'Revenues 9-14'!C72</f>
        <v>0</v>
      </c>
      <c r="D5093" s="2" t="str">
        <f t="shared" si="78"/>
        <v>Error?</v>
      </c>
    </row>
    <row r="5094" spans="1:4">
      <c r="A5094" s="5">
        <v>5033</v>
      </c>
      <c r="B5094" s="137">
        <f>'Revenues 9-14'!C73</f>
        <v>94957</v>
      </c>
      <c r="D5094" s="2" t="str">
        <f t="shared" si="78"/>
        <v>Error?</v>
      </c>
    </row>
    <row r="5095" spans="1:4">
      <c r="A5095" s="5">
        <v>5034</v>
      </c>
      <c r="B5095" s="137">
        <f>'Revenues 9-14'!C74</f>
        <v>75155</v>
      </c>
      <c r="D5095" s="2" t="str">
        <f t="shared" si="78"/>
        <v>Error?</v>
      </c>
    </row>
    <row r="5096" spans="1:4">
      <c r="A5096" s="5">
        <v>5035</v>
      </c>
      <c r="B5096" s="137">
        <f>'Revenues 9-14'!C75</f>
        <v>502716</v>
      </c>
      <c r="C5096" s="2" t="s">
        <v>594</v>
      </c>
      <c r="D5096" s="2" t="str">
        <f t="shared" si="78"/>
        <v>Error?</v>
      </c>
    </row>
    <row r="5097" spans="1:4">
      <c r="A5097" s="5">
        <v>5036</v>
      </c>
      <c r="B5097" s="137">
        <f>'Revenues 9-14'!C77</f>
        <v>12857</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12857</v>
      </c>
      <c r="C5102" s="2" t="s">
        <v>594</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594</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26</v>
      </c>
      <c r="D5115" s="2" t="str">
        <f t="shared" si="78"/>
        <v>Error?</v>
      </c>
    </row>
    <row r="5116" spans="1:4">
      <c r="A5116" s="5">
        <v>5055</v>
      </c>
      <c r="B5116" s="137">
        <f>'Revenues 9-14'!C99</f>
        <v>47470</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145368</v>
      </c>
      <c r="D5119" s="2" t="str">
        <f t="shared" ref="D5119:D5182" si="79">IF(ISBLANK(B5119),"OK",IF(A5119-B5119=0,"OK","Error?"))</f>
        <v>Error?</v>
      </c>
    </row>
    <row r="5120" spans="1:4">
      <c r="A5120" s="5">
        <v>5059</v>
      </c>
      <c r="B5120" s="137">
        <f>'Revenues 9-14'!C108</f>
        <v>192864</v>
      </c>
      <c r="C5120" s="2" t="s">
        <v>594</v>
      </c>
      <c r="D5120" s="2" t="str">
        <f t="shared" si="79"/>
        <v>Error?</v>
      </c>
    </row>
    <row r="5121" spans="1:4">
      <c r="A5121" s="5">
        <v>5060</v>
      </c>
      <c r="B5121" s="137">
        <f>'Revenues 9-14'!C109</f>
        <v>37558499</v>
      </c>
      <c r="C5121" s="2" t="s">
        <v>594</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594</v>
      </c>
      <c r="D5125" s="2" t="str">
        <f t="shared" si="79"/>
        <v>Error?</v>
      </c>
    </row>
    <row r="5126" spans="1:4">
      <c r="A5126" s="5">
        <v>5065</v>
      </c>
      <c r="B5126" s="137">
        <f>'Revenues 9-14'!C117</f>
        <v>6151664</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9-14'!C121</f>
        <v>6151664</v>
      </c>
      <c r="C5132" s="2" t="s">
        <v>594</v>
      </c>
      <c r="D5132" s="2" t="str">
        <f t="shared" si="79"/>
        <v>Error?</v>
      </c>
    </row>
    <row r="5133" spans="1:4">
      <c r="A5133" s="5">
        <v>5072</v>
      </c>
      <c r="B5133" s="137">
        <f>'Revenues 9-14'!C124</f>
        <v>209429</v>
      </c>
      <c r="D5133" s="2" t="str">
        <f t="shared" si="79"/>
        <v>Error?</v>
      </c>
    </row>
    <row r="5134" spans="1:4">
      <c r="A5134" s="5">
        <v>5073</v>
      </c>
      <c r="B5134" s="137">
        <f>'Revenues 9-14'!C125</f>
        <v>217985</v>
      </c>
      <c r="D5134" s="2" t="str">
        <f t="shared" si="79"/>
        <v>Error?</v>
      </c>
    </row>
    <row r="5135" spans="1:4">
      <c r="A5135" s="5">
        <v>5074</v>
      </c>
      <c r="B5135" s="137">
        <f>'Revenues 9-14'!C126</f>
        <v>387716</v>
      </c>
      <c r="D5135" s="2" t="str">
        <f t="shared" si="79"/>
        <v>Error?</v>
      </c>
    </row>
    <row r="5136" spans="1:4">
      <c r="A5136" s="10">
        <v>5075</v>
      </c>
      <c r="D5136" s="2" t="str">
        <f t="shared" si="79"/>
        <v>OK</v>
      </c>
    </row>
    <row r="5137" spans="1:4">
      <c r="A5137" s="5">
        <v>5076</v>
      </c>
      <c r="B5137" s="137">
        <f>'Revenues 9-14'!C127</f>
        <v>597351</v>
      </c>
      <c r="D5137" s="2" t="str">
        <f t="shared" si="79"/>
        <v>Error?</v>
      </c>
    </row>
    <row r="5138" spans="1:4">
      <c r="A5138" s="10">
        <v>5077</v>
      </c>
      <c r="D5138" s="2" t="str">
        <f t="shared" si="79"/>
        <v>OK</v>
      </c>
    </row>
    <row r="5139" spans="1:4">
      <c r="A5139" s="5">
        <v>5078</v>
      </c>
      <c r="B5139" s="137">
        <f>'Revenues 9-14'!C128</f>
        <v>36987</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9-14'!C129</f>
        <v>53823</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9-14'!C131</f>
        <v>1503291</v>
      </c>
      <c r="C5147" s="2" t="s">
        <v>594</v>
      </c>
      <c r="D5147" s="2" t="str">
        <f t="shared" si="79"/>
        <v>Error?</v>
      </c>
    </row>
    <row r="5148" spans="1:4">
      <c r="A5148" s="5">
        <v>5087</v>
      </c>
      <c r="B5148" s="137">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9-14'!C134</f>
        <v>105004</v>
      </c>
      <c r="D5152" s="2" t="str">
        <f t="shared" si="79"/>
        <v>Error?</v>
      </c>
    </row>
    <row r="5153" spans="1:4">
      <c r="A5153" s="5">
        <v>5092</v>
      </c>
      <c r="B5153" s="137">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9-14'!C140</f>
        <v>105004</v>
      </c>
      <c r="C5161" s="2" t="s">
        <v>594</v>
      </c>
      <c r="D5161" s="2" t="str">
        <f t="shared" si="79"/>
        <v>Error?</v>
      </c>
    </row>
    <row r="5162" spans="1:4">
      <c r="A5162" s="10">
        <v>5101</v>
      </c>
      <c r="D5162" s="2" t="str">
        <f t="shared" si="79"/>
        <v>OK</v>
      </c>
    </row>
    <row r="5163" spans="1:4">
      <c r="A5163" s="5">
        <v>5102</v>
      </c>
      <c r="B5163" s="137">
        <f>'Revenues 9-14'!C142</f>
        <v>17685</v>
      </c>
      <c r="D5163" s="2" t="str">
        <f t="shared" si="79"/>
        <v>Error?</v>
      </c>
    </row>
    <row r="5164" spans="1:4">
      <c r="A5164" s="5">
        <v>5103</v>
      </c>
      <c r="B5164" s="137">
        <f>'Revenues 9-14'!C143</f>
        <v>0</v>
      </c>
      <c r="D5164" s="2" t="str">
        <f t="shared" si="79"/>
        <v>Error?</v>
      </c>
    </row>
    <row r="5165" spans="1:4">
      <c r="A5165" s="5">
        <v>5104</v>
      </c>
      <c r="B5165" s="137">
        <f>'Revenues 9-14'!C144</f>
        <v>17685</v>
      </c>
      <c r="C5165" s="2" t="s">
        <v>594</v>
      </c>
      <c r="D5165" s="2" t="str">
        <f t="shared" si="79"/>
        <v>Error?</v>
      </c>
    </row>
    <row r="5166" spans="1:4">
      <c r="A5166" s="10">
        <v>5105</v>
      </c>
      <c r="D5166" s="2" t="str">
        <f t="shared" si="79"/>
        <v>OK</v>
      </c>
    </row>
    <row r="5167" spans="1:4">
      <c r="A5167" s="5">
        <v>5106</v>
      </c>
      <c r="B5167" s="137">
        <f>'Revenues 9-14'!C145</f>
        <v>20545</v>
      </c>
      <c r="D5167" s="2" t="str">
        <f t="shared" si="79"/>
        <v>Error?</v>
      </c>
    </row>
    <row r="5168" spans="1:4">
      <c r="A5168" s="5">
        <v>5107</v>
      </c>
      <c r="B5168" s="137">
        <f>'Revenues 9-14'!C147</f>
        <v>125145</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9-14'!C151</f>
        <v>0</v>
      </c>
      <c r="D5175" s="2" t="str">
        <f t="shared" si="79"/>
        <v>Error?</v>
      </c>
    </row>
    <row r="5176" spans="1:4">
      <c r="A5176" s="10">
        <v>5115</v>
      </c>
      <c r="D5176" s="2" t="str">
        <f t="shared" si="79"/>
        <v>OK</v>
      </c>
    </row>
    <row r="5177" spans="1:4">
      <c r="A5177" s="5">
        <v>5116</v>
      </c>
      <c r="B5177" s="137">
        <f>'Revenues 9-14'!C152</f>
        <v>0</v>
      </c>
      <c r="D5177" s="2" t="str">
        <f t="shared" si="79"/>
        <v>Error?</v>
      </c>
    </row>
    <row r="5178" spans="1:4">
      <c r="A5178" s="5">
        <v>5117</v>
      </c>
      <c r="B5178" s="137">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7">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7">
        <f>'Revenues 9-14'!C157</f>
        <v>0</v>
      </c>
      <c r="D5194" s="2" t="str">
        <f t="shared" si="80"/>
        <v>Error?</v>
      </c>
    </row>
    <row r="5195" spans="1:4">
      <c r="A5195" s="10">
        <v>5134</v>
      </c>
      <c r="D5195" s="2" t="str">
        <f t="shared" si="80"/>
        <v>OK</v>
      </c>
    </row>
    <row r="5196" spans="1:4">
      <c r="A5196" s="5">
        <v>5135</v>
      </c>
      <c r="B5196" s="137">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7">
        <f>'Revenues 9-14'!C159</f>
        <v>0</v>
      </c>
      <c r="D5199" s="2" t="str">
        <f t="shared" si="80"/>
        <v>Error?</v>
      </c>
    </row>
    <row r="5200" spans="1:4">
      <c r="A5200" s="5">
        <v>5139</v>
      </c>
      <c r="B5200" s="137">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9-14'!C172</f>
        <v>1775976</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9-14'!C173</f>
        <v>7927640</v>
      </c>
      <c r="C5223" s="2" t="s">
        <v>594</v>
      </c>
      <c r="D5223" s="2" t="str">
        <f t="shared" si="80"/>
        <v>Error?</v>
      </c>
    </row>
    <row r="5224" spans="1:4">
      <c r="A5224" s="5">
        <v>5163</v>
      </c>
      <c r="B5224" s="137">
        <f>'Revenues 9-14'!C176</f>
        <v>0</v>
      </c>
      <c r="D5224" s="2" t="str">
        <f t="shared" si="80"/>
        <v>Error?</v>
      </c>
    </row>
    <row r="5225" spans="1:4">
      <c r="A5225" s="5">
        <v>5164</v>
      </c>
      <c r="B5225" s="137">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9-14'!C180</f>
        <v>0</v>
      </c>
      <c r="D5230" s="2" t="str">
        <f t="shared" si="80"/>
        <v>Error?</v>
      </c>
    </row>
    <row r="5231" spans="1:4">
      <c r="A5231" s="5">
        <v>5170</v>
      </c>
      <c r="B5231" s="137">
        <f>'Revenues 9-14'!C181</f>
        <v>0</v>
      </c>
      <c r="D5231" s="2" t="str">
        <f t="shared" si="80"/>
        <v>Error?</v>
      </c>
    </row>
    <row r="5232" spans="1:4">
      <c r="A5232" s="5">
        <v>5171</v>
      </c>
      <c r="B5232" s="137">
        <f>'Revenues 9-14'!C184</f>
        <v>0</v>
      </c>
      <c r="C5232" s="2" t="s">
        <v>594</v>
      </c>
      <c r="D5232" s="2" t="str">
        <f t="shared" si="80"/>
        <v>Error?</v>
      </c>
    </row>
    <row r="5233" spans="1:4">
      <c r="A5233" s="5">
        <v>5172</v>
      </c>
      <c r="B5233" s="137">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9-14'!C194</f>
        <v>945430</v>
      </c>
      <c r="D5239" s="2" t="str">
        <f t="shared" si="80"/>
        <v>Error?</v>
      </c>
    </row>
    <row r="5240" spans="1:4">
      <c r="A5240" s="5">
        <v>5179</v>
      </c>
      <c r="B5240" s="137">
        <f>'Revenues 9-14'!C195</f>
        <v>0</v>
      </c>
      <c r="D5240" s="2" t="str">
        <f t="shared" si="80"/>
        <v>Error?</v>
      </c>
    </row>
    <row r="5241" spans="1:4">
      <c r="A5241" s="5">
        <v>5180</v>
      </c>
      <c r="B5241" s="137">
        <f>'Revenues 9-14'!C196</f>
        <v>266230</v>
      </c>
      <c r="D5241" s="2" t="str">
        <f t="shared" si="80"/>
        <v>Error?</v>
      </c>
    </row>
    <row r="5242" spans="1:4">
      <c r="A5242" s="5">
        <v>5181</v>
      </c>
      <c r="B5242" s="137">
        <f>'Revenues 9-14'!C197</f>
        <v>0</v>
      </c>
      <c r="D5242" s="2" t="str">
        <f t="shared" si="80"/>
        <v>Error?</v>
      </c>
    </row>
    <row r="5243" spans="1:4">
      <c r="A5243" s="5">
        <v>5182</v>
      </c>
      <c r="B5243" s="137">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9-14'!C201</f>
        <v>1211660</v>
      </c>
      <c r="C5246" s="2" t="s">
        <v>594</v>
      </c>
      <c r="D5246" s="2" t="str">
        <f t="shared" si="80"/>
        <v>Error?</v>
      </c>
    </row>
    <row r="5247" spans="1:4">
      <c r="A5247" s="5">
        <v>5186</v>
      </c>
      <c r="B5247" s="137">
        <f>'Revenues 9-14'!C203</f>
        <v>853682</v>
      </c>
      <c r="D5247" s="2" t="str">
        <f t="shared" ref="D5247:D5310" si="81">IF(ISBLANK(B5247),"OK",IF(A5247-B5247=0,"OK","Error?"))</f>
        <v>Error?</v>
      </c>
    </row>
    <row r="5248" spans="1:4">
      <c r="A5248" s="5">
        <v>5187</v>
      </c>
      <c r="B5248" s="137">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7">
        <f>'Revenues 9-14'!C207</f>
        <v>0</v>
      </c>
      <c r="D5254" s="2" t="str">
        <f t="shared" si="81"/>
        <v>Error?</v>
      </c>
    </row>
    <row r="5255" spans="1:4">
      <c r="A5255" s="5">
        <v>5194</v>
      </c>
      <c r="B5255" s="137">
        <f>'Revenues 9-14'!C209</f>
        <v>0</v>
      </c>
      <c r="D5255" s="2" t="str">
        <f t="shared" si="81"/>
        <v>Error?</v>
      </c>
    </row>
    <row r="5256" spans="1:4">
      <c r="A5256" s="5">
        <v>5195</v>
      </c>
      <c r="B5256" s="137">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7">
        <f>'Revenues 9-14'!C211</f>
        <v>853682</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9-14'!C218</f>
        <v>0</v>
      </c>
      <c r="D5274" s="2" t="str">
        <f t="shared" si="81"/>
        <v>Error?</v>
      </c>
    </row>
    <row r="5275" spans="1:4">
      <c r="A5275" s="5">
        <v>5214</v>
      </c>
      <c r="B5275" s="137">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9-14'!C220</f>
        <v>673534</v>
      </c>
      <c r="D5278" s="2" t="str">
        <f t="shared" si="81"/>
        <v>Error?</v>
      </c>
    </row>
    <row r="5279" spans="1:4">
      <c r="A5279" s="5">
        <v>5218</v>
      </c>
      <c r="B5279" s="137">
        <f>'Revenues 9-14'!C221</f>
        <v>38998</v>
      </c>
      <c r="D5279" s="2" t="str">
        <f t="shared" si="81"/>
        <v>Error?</v>
      </c>
    </row>
    <row r="5280" spans="1:4">
      <c r="A5280" s="5">
        <v>5219</v>
      </c>
      <c r="B5280" s="137">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9-14'!C224</f>
        <v>712532</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9-14'!C226</f>
        <v>163731</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9-14'!C228</f>
        <v>163731</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9-14'!C229</f>
        <v>0</v>
      </c>
      <c r="D5310" s="2" t="str">
        <f t="shared" si="81"/>
        <v>Error?</v>
      </c>
    </row>
    <row r="5311" spans="1:4">
      <c r="A5311" s="10">
        <v>5250</v>
      </c>
      <c r="D5311" s="2" t="str">
        <f t="shared" ref="D5311:D5374" si="82">IF(ISBLANK(B5311),"OK",IF(A5311-B5311=0,"OK","Error?"))</f>
        <v>OK</v>
      </c>
    </row>
    <row r="5312" spans="1:4">
      <c r="A5312" s="5">
        <v>5251</v>
      </c>
      <c r="B5312" s="137">
        <f>'Revenues 9-14'!C263</f>
        <v>0</v>
      </c>
      <c r="D5312" s="2" t="str">
        <f t="shared" si="82"/>
        <v>Error?</v>
      </c>
    </row>
    <row r="5313" spans="1:4">
      <c r="A5313" s="5">
        <v>5252</v>
      </c>
      <c r="B5313" s="137">
        <f>'Revenues 9-14'!C265</f>
        <v>0</v>
      </c>
      <c r="D5313" s="2" t="str">
        <f t="shared" si="82"/>
        <v>Error?</v>
      </c>
    </row>
    <row r="5314" spans="1:4">
      <c r="A5314" s="10">
        <v>5253</v>
      </c>
      <c r="D5314" s="2" t="str">
        <f t="shared" si="82"/>
        <v>OK</v>
      </c>
    </row>
    <row r="5315" spans="1:4">
      <c r="A5315" s="5">
        <v>5254</v>
      </c>
      <c r="B5315" s="137">
        <f>'Revenues 9-14'!C266</f>
        <v>0</v>
      </c>
      <c r="D5315" s="2" t="str">
        <f t="shared" si="82"/>
        <v>Error?</v>
      </c>
    </row>
    <row r="5316" spans="1:4">
      <c r="A5316" s="10">
        <v>5255</v>
      </c>
      <c r="D5316" s="2" t="str">
        <f t="shared" si="82"/>
        <v>OK</v>
      </c>
    </row>
    <row r="5317" spans="1:4">
      <c r="A5317" s="5">
        <v>5256</v>
      </c>
      <c r="B5317" s="137">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7">
        <f>'Revenues 9-14'!C273</f>
        <v>3181895</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7">
        <f>'Revenues 9-14'!C274</f>
        <v>3181895</v>
      </c>
      <c r="C5326" s="2" t="s">
        <v>594</v>
      </c>
      <c r="D5326" s="2" t="str">
        <f t="shared" si="82"/>
        <v>Error?</v>
      </c>
    </row>
    <row r="5327" spans="1:4">
      <c r="A5327" s="5">
        <v>5266</v>
      </c>
      <c r="B5327" s="137">
        <f>'Revenues 9-14'!C275</f>
        <v>48668034</v>
      </c>
      <c r="C5327" s="2" t="s">
        <v>594</v>
      </c>
      <c r="D5327" s="2" t="str">
        <f t="shared" si="82"/>
        <v>Error?</v>
      </c>
    </row>
    <row r="5328" spans="1:4">
      <c r="A5328" s="5">
        <v>5267</v>
      </c>
      <c r="B5328" s="137">
        <f>'Revenues 9-14'!D5</f>
        <v>4344147</v>
      </c>
      <c r="D5328" s="2" t="str">
        <f t="shared" si="82"/>
        <v>Error?</v>
      </c>
    </row>
    <row r="5329" spans="1:4">
      <c r="A5329" s="10">
        <v>5268</v>
      </c>
      <c r="D5329" s="2" t="str">
        <f t="shared" si="82"/>
        <v>OK</v>
      </c>
    </row>
    <row r="5330" spans="1:4">
      <c r="A5330" s="5">
        <v>5269</v>
      </c>
      <c r="B5330" s="137">
        <f>'Revenues 9-14'!D6</f>
        <v>152769</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4496916</v>
      </c>
      <c r="C5334" s="2" t="s">
        <v>594</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594</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594</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594</v>
      </c>
      <c r="D5348" s="2" t="str">
        <f t="shared" si="82"/>
        <v>Error?</v>
      </c>
    </row>
    <row r="5349" spans="1:4">
      <c r="A5349" s="5">
        <v>5288</v>
      </c>
      <c r="B5349" s="137">
        <f>'Revenues 9-14'!D95</f>
        <v>79608</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2986</v>
      </c>
      <c r="D5354" s="2" t="str">
        <f t="shared" si="82"/>
        <v>Error?</v>
      </c>
    </row>
    <row r="5355" spans="1:4">
      <c r="A5355" s="5">
        <v>5294</v>
      </c>
      <c r="B5355" s="137">
        <f>'Revenues 9-14'!D108</f>
        <v>82594</v>
      </c>
      <c r="C5355" s="2" t="s">
        <v>594</v>
      </c>
      <c r="D5355" s="2" t="str">
        <f t="shared" si="82"/>
        <v>Error?</v>
      </c>
    </row>
    <row r="5356" spans="1:4">
      <c r="A5356" s="5">
        <v>5295</v>
      </c>
      <c r="B5356" s="137">
        <f>'Revenues 9-14'!D109</f>
        <v>4579510</v>
      </c>
      <c r="C5356" s="2" t="s">
        <v>594</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594</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9-14'!D121</f>
        <v>0</v>
      </c>
      <c r="C5367" s="2" t="s">
        <v>594</v>
      </c>
      <c r="D5367" s="2" t="str">
        <f t="shared" si="82"/>
        <v>Error?</v>
      </c>
    </row>
    <row r="5368" spans="1:4">
      <c r="A5368" s="5">
        <v>5307</v>
      </c>
      <c r="B5368" s="137">
        <f>'Revenues 9-14'!D126</f>
        <v>0</v>
      </c>
      <c r="D5368" s="2" t="str">
        <f t="shared" si="82"/>
        <v>Error?</v>
      </c>
    </row>
    <row r="5369" spans="1:4">
      <c r="A5369" s="5">
        <v>5308</v>
      </c>
      <c r="B5369" s="137">
        <f>'Revenues 9-14'!D131</f>
        <v>0</v>
      </c>
      <c r="C5369" s="2" t="s">
        <v>594</v>
      </c>
      <c r="D5369" s="2" t="str">
        <f t="shared" si="82"/>
        <v>Error?</v>
      </c>
    </row>
    <row r="5370" spans="1:4">
      <c r="A5370" s="5">
        <v>5309</v>
      </c>
      <c r="B5370" s="137">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9-14'!D134</f>
        <v>0</v>
      </c>
      <c r="D5374" s="2" t="str">
        <f t="shared" si="82"/>
        <v>Error?</v>
      </c>
    </row>
    <row r="5375" spans="1:4">
      <c r="A5375" s="5">
        <v>5314</v>
      </c>
      <c r="B5375" s="137">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9-14'!D140</f>
        <v>0</v>
      </c>
      <c r="C5383" s="2" t="s">
        <v>594</v>
      </c>
      <c r="D5383" s="2" t="str">
        <f t="shared" si="83"/>
        <v>Error?</v>
      </c>
    </row>
    <row r="5384" spans="1:4">
      <c r="A5384" s="5">
        <v>5323</v>
      </c>
      <c r="B5384" s="137">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9-14'!D151</f>
        <v>0</v>
      </c>
      <c r="D5391" s="2" t="str">
        <f t="shared" si="83"/>
        <v>Error?</v>
      </c>
    </row>
    <row r="5392" spans="1:4">
      <c r="A5392" s="10">
        <v>5331</v>
      </c>
      <c r="D5392" s="2" t="str">
        <f t="shared" si="83"/>
        <v>OK</v>
      </c>
    </row>
    <row r="5393" spans="1:4">
      <c r="A5393" s="5">
        <v>5332</v>
      </c>
      <c r="B5393" s="137">
        <f>'Revenues 9-14'!D152</f>
        <v>0</v>
      </c>
      <c r="D5393" s="2" t="str">
        <f t="shared" si="83"/>
        <v>Error?</v>
      </c>
    </row>
    <row r="5394" spans="1:4">
      <c r="A5394" s="5">
        <v>5333</v>
      </c>
      <c r="B5394" s="137">
        <f>'Revenues 9-14'!D154</f>
        <v>0</v>
      </c>
      <c r="C5394" s="2" t="s">
        <v>594</v>
      </c>
      <c r="D5394" s="2" t="str">
        <f t="shared" si="83"/>
        <v>Error?</v>
      </c>
    </row>
    <row r="5395" spans="1:4">
      <c r="A5395" s="5">
        <v>5334</v>
      </c>
      <c r="B5395" s="137">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9-14'!D173</f>
        <v>0</v>
      </c>
      <c r="C5421" s="2" t="s">
        <v>594</v>
      </c>
      <c r="D5421" s="2" t="str">
        <f t="shared" si="83"/>
        <v>Error?</v>
      </c>
    </row>
    <row r="5422" spans="1:4">
      <c r="A5422" s="5">
        <v>5361</v>
      </c>
      <c r="B5422" s="137">
        <f>'Revenues 9-14'!D176</f>
        <v>0</v>
      </c>
      <c r="D5422" s="2" t="str">
        <f t="shared" si="83"/>
        <v>Error?</v>
      </c>
    </row>
    <row r="5423" spans="1:4">
      <c r="A5423" s="5">
        <v>5362</v>
      </c>
      <c r="B5423" s="137">
        <f>'Revenues 9-14'!D178</f>
        <v>0</v>
      </c>
      <c r="C5423" s="2" t="s">
        <v>594</v>
      </c>
      <c r="D5423" s="2" t="str">
        <f t="shared" si="83"/>
        <v>Error?</v>
      </c>
    </row>
    <row r="5424" spans="1:4">
      <c r="A5424" s="5">
        <v>5363</v>
      </c>
      <c r="B5424" s="137">
        <f>'Revenues 9-14'!D181</f>
        <v>0</v>
      </c>
      <c r="D5424" s="2" t="str">
        <f t="shared" si="83"/>
        <v>Error?</v>
      </c>
    </row>
    <row r="5425" spans="1:4">
      <c r="A5425" s="5">
        <v>5364</v>
      </c>
      <c r="B5425" s="137">
        <f>'Revenues 9-14'!D184</f>
        <v>0</v>
      </c>
      <c r="C5425" s="2" t="s">
        <v>594</v>
      </c>
      <c r="D5425" s="2" t="str">
        <f t="shared" si="83"/>
        <v>Error?</v>
      </c>
    </row>
    <row r="5426" spans="1:4">
      <c r="A5426" s="5">
        <v>5365</v>
      </c>
      <c r="B5426" s="137">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7">
        <f>'Revenues 9-14'!D203</f>
        <v>0</v>
      </c>
      <c r="D5431" s="2" t="str">
        <f t="shared" si="83"/>
        <v>Error?</v>
      </c>
    </row>
    <row r="5432" spans="1:4">
      <c r="A5432" s="5">
        <v>5371</v>
      </c>
      <c r="B5432" s="137">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7">
        <f>'Revenues 9-14'!D207</f>
        <v>0</v>
      </c>
      <c r="D5438" s="2" t="str">
        <f t="shared" si="83"/>
        <v>Error?</v>
      </c>
    </row>
    <row r="5439" spans="1:4">
      <c r="A5439" s="5">
        <v>5378</v>
      </c>
      <c r="B5439" s="137">
        <f>'Revenues 9-14'!D209</f>
        <v>0</v>
      </c>
      <c r="D5439" s="2" t="str">
        <f t="shared" ref="D5439:D5502" si="84">IF(ISBLANK(B5439),"OK",IF(A5439-B5439=0,"OK","Error?"))</f>
        <v>Error?</v>
      </c>
    </row>
    <row r="5440" spans="1:4">
      <c r="A5440" s="5">
        <v>5379</v>
      </c>
      <c r="B5440" s="137">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9-14'!D218</f>
        <v>0</v>
      </c>
      <c r="D5458" s="2" t="str">
        <f t="shared" si="84"/>
        <v>Error?</v>
      </c>
    </row>
    <row r="5459" spans="1:4">
      <c r="A5459" s="5">
        <v>5398</v>
      </c>
      <c r="B5459" s="137">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9-14'!D220</f>
        <v>0</v>
      </c>
      <c r="D5462" s="2" t="str">
        <f t="shared" si="84"/>
        <v>Error?</v>
      </c>
    </row>
    <row r="5463" spans="1:4">
      <c r="A5463" s="5">
        <v>5402</v>
      </c>
      <c r="B5463" s="137">
        <f>'Revenues 9-14'!D221</f>
        <v>0</v>
      </c>
      <c r="D5463" s="2" t="str">
        <f t="shared" si="84"/>
        <v>Error?</v>
      </c>
    </row>
    <row r="5464" spans="1:4">
      <c r="A5464" s="5">
        <v>5403</v>
      </c>
      <c r="B5464" s="137">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9-14'!D229</f>
        <v>0</v>
      </c>
      <c r="D5494" s="2" t="str">
        <f t="shared" si="84"/>
        <v>Error?</v>
      </c>
    </row>
    <row r="5495" spans="1:4">
      <c r="A5495" s="10">
        <v>5434</v>
      </c>
      <c r="D5495" s="2" t="str">
        <f t="shared" si="84"/>
        <v>OK</v>
      </c>
    </row>
    <row r="5496" spans="1:4">
      <c r="A5496" s="5">
        <v>5435</v>
      </c>
      <c r="B5496" s="137">
        <f>'Revenues 9-14'!D266</f>
        <v>0</v>
      </c>
      <c r="D5496" s="2" t="str">
        <f t="shared" si="84"/>
        <v>Error?</v>
      </c>
    </row>
    <row r="5497" spans="1:4">
      <c r="A5497" s="10">
        <v>5436</v>
      </c>
      <c r="D5497" s="2" t="str">
        <f t="shared" si="84"/>
        <v>OK</v>
      </c>
    </row>
    <row r="5498" spans="1:4">
      <c r="A5498" s="5">
        <v>5437</v>
      </c>
      <c r="B5498" s="137">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9-14'!D274</f>
        <v>0</v>
      </c>
      <c r="C5507" s="2" t="s">
        <v>594</v>
      </c>
      <c r="D5507" s="2" t="str">
        <f t="shared" si="85"/>
        <v>Error?</v>
      </c>
    </row>
    <row r="5508" spans="1:4">
      <c r="A5508" s="5">
        <v>5447</v>
      </c>
      <c r="B5508" s="137">
        <f>'Revenues 9-14'!D275</f>
        <v>4579510</v>
      </c>
      <c r="C5508" s="2" t="s">
        <v>594</v>
      </c>
      <c r="D5508" s="2" t="str">
        <f t="shared" si="85"/>
        <v>Error?</v>
      </c>
    </row>
    <row r="5509" spans="1:4">
      <c r="A5509" s="5">
        <v>5448</v>
      </c>
      <c r="B5509" s="137">
        <f>'Revenues 9-14'!E5</f>
        <v>4319168</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4319168</v>
      </c>
      <c r="C5513" s="2" t="s">
        <v>594</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594</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594</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594</v>
      </c>
      <c r="D5526" s="2" t="str">
        <f t="shared" si="85"/>
        <v>Error?</v>
      </c>
    </row>
    <row r="5527" spans="1:4">
      <c r="A5527" s="5">
        <v>5466</v>
      </c>
      <c r="B5527" s="137">
        <f>'Revenues 9-14'!E109</f>
        <v>4319168</v>
      </c>
      <c r="C5527" s="2" t="s">
        <v>594</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9-14'!E275</f>
        <v>4319168</v>
      </c>
      <c r="C5552" s="2" t="s">
        <v>594</v>
      </c>
      <c r="D5552" s="2" t="str">
        <f t="shared" si="85"/>
        <v>Error?</v>
      </c>
    </row>
    <row r="5553" spans="1:4">
      <c r="A5553" s="5">
        <v>5492</v>
      </c>
      <c r="B5553" s="137">
        <f>'Revenues 9-14'!F5</f>
        <v>3203586</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3203586</v>
      </c>
      <c r="C5557" s="2" t="s">
        <v>594</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594</v>
      </c>
      <c r="D5562" s="2" t="str">
        <f t="shared" si="85"/>
        <v>Error?</v>
      </c>
    </row>
    <row r="5563" spans="1:4">
      <c r="A5563" s="5">
        <v>5502</v>
      </c>
      <c r="B5563" s="137">
        <f>'Revenues 9-14'!F42</f>
        <v>0</v>
      </c>
      <c r="D5563" s="2" t="str">
        <f t="shared" si="85"/>
        <v>Error?</v>
      </c>
    </row>
    <row r="5564" spans="1:4">
      <c r="A5564" s="5">
        <v>5503</v>
      </c>
      <c r="B5564" s="137">
        <f>'Revenues 9-14'!F43</f>
        <v>39255</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39255</v>
      </c>
      <c r="C5579" s="2" t="s">
        <v>594</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594</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594</v>
      </c>
      <c r="D5587" s="2" t="str">
        <f t="shared" si="86"/>
        <v>Error?</v>
      </c>
    </row>
    <row r="5588" spans="1:4">
      <c r="A5588" s="5">
        <v>5527</v>
      </c>
      <c r="B5588" s="137">
        <f>'Revenues 9-14'!F109</f>
        <v>3242841</v>
      </c>
      <c r="C5588" s="2" t="s">
        <v>594</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594</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9-14'!F121</f>
        <v>0</v>
      </c>
      <c r="C5599" s="2" t="s">
        <v>594</v>
      </c>
      <c r="D5599" s="2" t="str">
        <f t="shared" si="86"/>
        <v>Error?</v>
      </c>
    </row>
    <row r="5600" spans="1:4">
      <c r="A5600" s="5">
        <v>5539</v>
      </c>
      <c r="B5600" s="137">
        <f>'Revenues 9-14'!F124</f>
        <v>0</v>
      </c>
      <c r="D5600" s="2" t="str">
        <f t="shared" si="86"/>
        <v>Error?</v>
      </c>
    </row>
    <row r="5601" spans="1:4">
      <c r="A5601" s="5">
        <v>5540</v>
      </c>
      <c r="B5601" s="137">
        <f>'Revenues 9-14'!F125</f>
        <v>0</v>
      </c>
      <c r="D5601" s="2" t="str">
        <f t="shared" si="86"/>
        <v>Error?</v>
      </c>
    </row>
    <row r="5602" spans="1:4">
      <c r="A5602" s="5">
        <v>5541</v>
      </c>
      <c r="B5602" s="137">
        <f>'Revenues 9-14'!F126</f>
        <v>0</v>
      </c>
      <c r="D5602" s="2" t="str">
        <f t="shared" si="86"/>
        <v>Error?</v>
      </c>
    </row>
    <row r="5603" spans="1:4">
      <c r="A5603" s="10">
        <v>5542</v>
      </c>
      <c r="D5603" s="2" t="str">
        <f t="shared" si="86"/>
        <v>OK</v>
      </c>
    </row>
    <row r="5604" spans="1:4">
      <c r="A5604" s="5">
        <v>5543</v>
      </c>
      <c r="B5604" s="137">
        <f>'Revenues 9-14'!F127</f>
        <v>0</v>
      </c>
      <c r="D5604" s="2" t="str">
        <f t="shared" si="86"/>
        <v>Error?</v>
      </c>
    </row>
    <row r="5605" spans="1:4">
      <c r="A5605" s="10">
        <v>5544</v>
      </c>
      <c r="D5605" s="2" t="str">
        <f t="shared" si="86"/>
        <v>OK</v>
      </c>
    </row>
    <row r="5606" spans="1:4">
      <c r="A5606" s="5">
        <v>5545</v>
      </c>
      <c r="B5606" s="137">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9-14'!F131</f>
        <v>0</v>
      </c>
      <c r="C5614" s="2" t="s">
        <v>594</v>
      </c>
      <c r="D5614" s="2" t="str">
        <f t="shared" si="86"/>
        <v>Error?</v>
      </c>
    </row>
    <row r="5615" spans="1:4">
      <c r="A5615" s="5">
        <v>5554</v>
      </c>
      <c r="B5615" s="137">
        <f>'Revenues 9-14'!F151</f>
        <v>1764260</v>
      </c>
      <c r="D5615" s="2" t="str">
        <f t="shared" si="86"/>
        <v>Error?</v>
      </c>
    </row>
    <row r="5616" spans="1:4">
      <c r="A5616" s="10">
        <v>5555</v>
      </c>
      <c r="D5616" s="2" t="str">
        <f t="shared" si="86"/>
        <v>OK</v>
      </c>
    </row>
    <row r="5617" spans="1:4">
      <c r="A5617" s="5">
        <v>5556</v>
      </c>
      <c r="B5617" s="137">
        <f>'Revenues 9-14'!F152</f>
        <v>1510597</v>
      </c>
      <c r="D5617" s="2" t="str">
        <f t="shared" si="86"/>
        <v>Error?</v>
      </c>
    </row>
    <row r="5618" spans="1:4">
      <c r="A5618" s="5">
        <v>5557</v>
      </c>
      <c r="B5618" s="137">
        <f>'Revenues 9-14'!F154</f>
        <v>3274857</v>
      </c>
      <c r="C5618" s="2" t="s">
        <v>594</v>
      </c>
      <c r="D5618" s="2" t="str">
        <f t="shared" si="86"/>
        <v>Error?</v>
      </c>
    </row>
    <row r="5619" spans="1:4">
      <c r="A5619" s="5">
        <v>5558</v>
      </c>
      <c r="B5619" s="137">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7">
        <f>'Revenues 9-14'!F157</f>
        <v>0</v>
      </c>
      <c r="D5625" s="2" t="str">
        <f t="shared" si="86"/>
        <v>Error?</v>
      </c>
    </row>
    <row r="5626" spans="1:4">
      <c r="A5626" s="10">
        <v>5565</v>
      </c>
      <c r="D5626" s="2" t="str">
        <f t="shared" si="86"/>
        <v>OK</v>
      </c>
    </row>
    <row r="5627" spans="1:4">
      <c r="A5627" s="5">
        <v>5566</v>
      </c>
      <c r="B5627" s="137">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7">
        <f>'Revenues 9-14'!F159</f>
        <v>0</v>
      </c>
      <c r="D5630" s="2" t="str">
        <f t="shared" si="86"/>
        <v>Error?</v>
      </c>
    </row>
    <row r="5631" spans="1:4">
      <c r="A5631" s="5">
        <v>5570</v>
      </c>
      <c r="B5631" s="137">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9-14'!F172</f>
        <v>3274857</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9-14'!F173</f>
        <v>3274857</v>
      </c>
      <c r="C5653" s="2" t="s">
        <v>594</v>
      </c>
      <c r="D5653" s="2" t="str">
        <f t="shared" si="87"/>
        <v>Error?</v>
      </c>
    </row>
    <row r="5654" spans="1:4">
      <c r="A5654" s="5">
        <v>5593</v>
      </c>
      <c r="B5654" s="137">
        <f>'Revenues 9-14'!F176</f>
        <v>0</v>
      </c>
      <c r="D5654" s="2" t="str">
        <f t="shared" si="87"/>
        <v>Error?</v>
      </c>
    </row>
    <row r="5655" spans="1:4">
      <c r="A5655" s="5">
        <v>5594</v>
      </c>
      <c r="B5655" s="137">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9-14'!F184</f>
        <v>0</v>
      </c>
      <c r="C5658" s="2" t="s">
        <v>594</v>
      </c>
      <c r="D5658" s="2" t="str">
        <f t="shared" si="87"/>
        <v>Error?</v>
      </c>
    </row>
    <row r="5659" spans="1:4">
      <c r="A5659" s="5">
        <v>5598</v>
      </c>
      <c r="B5659" s="137">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9-14'!F203</f>
        <v>0</v>
      </c>
      <c r="D5664" s="2" t="str">
        <f t="shared" si="87"/>
        <v>Error?</v>
      </c>
    </row>
    <row r="5665" spans="1:4">
      <c r="A5665" s="5">
        <v>5604</v>
      </c>
      <c r="B5665" s="137">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7">
        <f>'Revenues 9-14'!F207</f>
        <v>0</v>
      </c>
      <c r="D5671" s="2" t="str">
        <f t="shared" si="87"/>
        <v>Error?</v>
      </c>
    </row>
    <row r="5672" spans="1:4">
      <c r="A5672" s="5">
        <v>5611</v>
      </c>
      <c r="B5672" s="137">
        <f>'Revenues 9-14'!F209</f>
        <v>0</v>
      </c>
      <c r="D5672" s="2" t="str">
        <f t="shared" si="87"/>
        <v>Error?</v>
      </c>
    </row>
    <row r="5673" spans="1:4">
      <c r="A5673" s="5">
        <v>5612</v>
      </c>
      <c r="B5673" s="137">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7">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9-14'!F218</f>
        <v>0</v>
      </c>
      <c r="D5691" s="2" t="str">
        <f t="shared" si="87"/>
        <v>Error?</v>
      </c>
    </row>
    <row r="5692" spans="1:4">
      <c r="A5692" s="5">
        <v>5631</v>
      </c>
      <c r="B5692" s="137">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9-14'!F220</f>
        <v>0</v>
      </c>
      <c r="D5695" s="2" t="str">
        <f t="shared" ref="D5695:D5758" si="88">IF(ISBLANK(B5695),"OK",IF(A5695-B5695=0,"OK","Error?"))</f>
        <v>Error?</v>
      </c>
    </row>
    <row r="5696" spans="1:4">
      <c r="A5696" s="5">
        <v>5635</v>
      </c>
      <c r="B5696" s="137">
        <f>'Revenues 9-14'!F221</f>
        <v>0</v>
      </c>
      <c r="D5696" s="2" t="str">
        <f t="shared" si="88"/>
        <v>Error?</v>
      </c>
    </row>
    <row r="5697" spans="1:4">
      <c r="A5697" s="5">
        <v>5636</v>
      </c>
      <c r="B5697" s="137">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7">
        <f>'Revenues 9-14'!F224</f>
        <v>0</v>
      </c>
      <c r="C5703" s="2" t="s">
        <v>594</v>
      </c>
      <c r="D5703" s="2" t="str">
        <f t="shared" si="88"/>
        <v>Error?</v>
      </c>
    </row>
    <row r="5704" spans="1:4">
      <c r="A5704" s="10">
        <v>5643</v>
      </c>
      <c r="D5704" s="2" t="str">
        <f t="shared" si="88"/>
        <v>OK</v>
      </c>
    </row>
    <row r="5705" spans="1:4">
      <c r="A5705" s="5">
        <v>5644</v>
      </c>
      <c r="B5705" s="137">
        <f>'Revenues 9-14'!F263</f>
        <v>0</v>
      </c>
      <c r="D5705" s="2" t="str">
        <f t="shared" si="88"/>
        <v>Error?</v>
      </c>
    </row>
    <row r="5706" spans="1:4">
      <c r="A5706" s="5">
        <v>5645</v>
      </c>
      <c r="B5706" s="137">
        <f>'Revenues 9-14'!F265</f>
        <v>0</v>
      </c>
      <c r="D5706" s="2" t="str">
        <f t="shared" si="88"/>
        <v>Error?</v>
      </c>
    </row>
    <row r="5707" spans="1:4">
      <c r="A5707" s="10">
        <v>5646</v>
      </c>
      <c r="D5707" s="2" t="str">
        <f t="shared" si="88"/>
        <v>OK</v>
      </c>
    </row>
    <row r="5708" spans="1:4">
      <c r="A5708" s="5">
        <v>5647</v>
      </c>
      <c r="B5708" s="137">
        <f>'Revenues 9-14'!F266</f>
        <v>0</v>
      </c>
      <c r="D5708" s="2" t="str">
        <f t="shared" si="88"/>
        <v>Error?</v>
      </c>
    </row>
    <row r="5709" spans="1:4">
      <c r="A5709" s="10">
        <v>5648</v>
      </c>
      <c r="D5709" s="2" t="str">
        <f t="shared" si="88"/>
        <v>OK</v>
      </c>
    </row>
    <row r="5710" spans="1:4">
      <c r="A5710" s="5">
        <v>5649</v>
      </c>
      <c r="B5710" s="137">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7">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9-14'!F274</f>
        <v>0</v>
      </c>
      <c r="C5719" s="2" t="s">
        <v>594</v>
      </c>
      <c r="D5719" s="2" t="str">
        <f t="shared" si="88"/>
        <v>Error?</v>
      </c>
    </row>
    <row r="5720" spans="1:4">
      <c r="A5720" s="5">
        <v>5659</v>
      </c>
      <c r="B5720" s="137">
        <f>'Revenues 9-14'!F275</f>
        <v>6517698</v>
      </c>
      <c r="C5720" s="2" t="s">
        <v>594</v>
      </c>
      <c r="D5720" s="2" t="str">
        <f t="shared" si="88"/>
        <v>Error?</v>
      </c>
    </row>
    <row r="5721" spans="1:4">
      <c r="A5721" s="5">
        <v>5660</v>
      </c>
      <c r="B5721" s="137">
        <f>'Revenues 9-14'!G5</f>
        <v>458482</v>
      </c>
      <c r="D5721" s="2" t="str">
        <f t="shared" si="88"/>
        <v>Error?</v>
      </c>
    </row>
    <row r="5722" spans="1:4">
      <c r="A5722" s="5">
        <v>5661</v>
      </c>
      <c r="B5722" s="137">
        <f>'Revenues 9-14'!G7</f>
        <v>0</v>
      </c>
      <c r="D5722" s="2" t="str">
        <f t="shared" si="88"/>
        <v>Error?</v>
      </c>
    </row>
    <row r="5723" spans="1:4">
      <c r="A5723" s="5">
        <v>5662</v>
      </c>
      <c r="B5723" s="137">
        <f>'Revenues 9-14'!G8</f>
        <v>537389</v>
      </c>
      <c r="D5723" s="2" t="str">
        <f t="shared" si="88"/>
        <v>Error?</v>
      </c>
    </row>
    <row r="5724" spans="1:4">
      <c r="A5724" s="5">
        <v>5663</v>
      </c>
      <c r="B5724" s="137">
        <f>'Revenues 9-14'!G11</f>
        <v>0</v>
      </c>
      <c r="D5724" s="2" t="str">
        <f t="shared" si="88"/>
        <v>Error?</v>
      </c>
    </row>
    <row r="5725" spans="1:4">
      <c r="A5725" s="5">
        <v>5664</v>
      </c>
      <c r="B5725" s="137">
        <f>'Revenues 9-14'!G12</f>
        <v>995871</v>
      </c>
      <c r="C5725" s="2" t="s">
        <v>594</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49875</v>
      </c>
      <c r="D5728" s="2" t="str">
        <f t="shared" si="88"/>
        <v>Error?</v>
      </c>
    </row>
    <row r="5729" spans="1:4">
      <c r="A5729" s="5">
        <v>5668</v>
      </c>
      <c r="B5729" s="137">
        <f>'Revenues 9-14'!G17</f>
        <v>0</v>
      </c>
      <c r="D5729" s="2" t="str">
        <f t="shared" si="88"/>
        <v>Error?</v>
      </c>
    </row>
    <row r="5730" spans="1:4">
      <c r="A5730" s="5">
        <v>5669</v>
      </c>
      <c r="B5730" s="137">
        <f>'Revenues 9-14'!G18</f>
        <v>49875</v>
      </c>
      <c r="C5730" s="2" t="s">
        <v>594</v>
      </c>
      <c r="D5730" s="2" t="str">
        <f t="shared" si="88"/>
        <v>Error?</v>
      </c>
    </row>
    <row r="5731" spans="1:4">
      <c r="A5731" s="5">
        <v>5670</v>
      </c>
      <c r="B5731" s="137">
        <f>'Revenues 9-14'!G65</f>
        <v>11780</v>
      </c>
      <c r="D5731" s="2" t="str">
        <f t="shared" si="88"/>
        <v>Error?</v>
      </c>
    </row>
    <row r="5732" spans="1:4">
      <c r="A5732" s="5">
        <v>5671</v>
      </c>
      <c r="B5732" s="137">
        <f>'Revenues 9-14'!G66</f>
        <v>0</v>
      </c>
      <c r="D5732" s="2" t="str">
        <f t="shared" si="88"/>
        <v>Error?</v>
      </c>
    </row>
    <row r="5733" spans="1:4">
      <c r="A5733" s="5">
        <v>5672</v>
      </c>
      <c r="B5733" s="137">
        <f>'Revenues 9-14'!G67</f>
        <v>11780</v>
      </c>
      <c r="C5733" s="2" t="s">
        <v>594</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594</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594</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9-14'!G121</f>
        <v>0</v>
      </c>
      <c r="C5748" s="2" t="s">
        <v>594</v>
      </c>
      <c r="D5748" s="2" t="str">
        <f t="shared" si="88"/>
        <v>Error?</v>
      </c>
    </row>
    <row r="5749" spans="1:4">
      <c r="A5749" s="5">
        <v>5688</v>
      </c>
      <c r="B5749" s="137">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9-14'!G140</f>
        <v>0</v>
      </c>
      <c r="C5752" s="2" t="s">
        <v>594</v>
      </c>
      <c r="D5752" s="2" t="str">
        <f t="shared" si="88"/>
        <v>Error?</v>
      </c>
    </row>
    <row r="5753" spans="1:4">
      <c r="A5753" s="10">
        <v>5692</v>
      </c>
      <c r="D5753" s="2" t="str">
        <f t="shared" si="88"/>
        <v>OK</v>
      </c>
    </row>
    <row r="5754" spans="1:4">
      <c r="A5754" s="5">
        <v>5693</v>
      </c>
      <c r="B5754" s="137">
        <f>'Revenues 9-14'!G142</f>
        <v>0</v>
      </c>
      <c r="D5754" s="2" t="str">
        <f t="shared" si="88"/>
        <v>Error?</v>
      </c>
    </row>
    <row r="5755" spans="1:4">
      <c r="A5755" s="5">
        <v>5694</v>
      </c>
      <c r="B5755" s="137">
        <f>'Revenues 9-14'!G143</f>
        <v>0</v>
      </c>
      <c r="D5755" s="2" t="str">
        <f t="shared" si="88"/>
        <v>Error?</v>
      </c>
    </row>
    <row r="5756" spans="1:4">
      <c r="A5756" s="5">
        <v>5695</v>
      </c>
      <c r="B5756" s="137">
        <f>'Revenues 9-14'!G144</f>
        <v>0</v>
      </c>
      <c r="C5756" s="2" t="s">
        <v>594</v>
      </c>
      <c r="D5756" s="2" t="str">
        <f t="shared" si="88"/>
        <v>Error?</v>
      </c>
    </row>
    <row r="5757" spans="1:4">
      <c r="A5757" s="5">
        <v>5696</v>
      </c>
      <c r="B5757" s="137">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7">
        <f>'Revenues 9-14'!G157</f>
        <v>0</v>
      </c>
      <c r="D5763" s="2" t="str">
        <f t="shared" si="89"/>
        <v>Error?</v>
      </c>
    </row>
    <row r="5764" spans="1:4">
      <c r="A5764" s="10">
        <v>5703</v>
      </c>
      <c r="D5764" s="2" t="str">
        <f t="shared" si="89"/>
        <v>OK</v>
      </c>
    </row>
    <row r="5765" spans="1:4">
      <c r="A5765" s="5">
        <v>5704</v>
      </c>
      <c r="B5765" s="137">
        <f>'Revenues 9-14'!G158</f>
        <v>0</v>
      </c>
      <c r="D5765" s="2" t="str">
        <f t="shared" si="89"/>
        <v>Error?</v>
      </c>
    </row>
    <row r="5766" spans="1:4">
      <c r="A5766" s="10">
        <v>5705</v>
      </c>
      <c r="D5766" s="2" t="str">
        <f t="shared" si="89"/>
        <v>OK</v>
      </c>
    </row>
    <row r="5767" spans="1:4">
      <c r="A5767" s="5">
        <v>5706</v>
      </c>
      <c r="B5767" s="137">
        <f>'Revenues 9-14'!G159</f>
        <v>0</v>
      </c>
      <c r="D5767" s="2" t="str">
        <f t="shared" si="89"/>
        <v>Error?</v>
      </c>
    </row>
    <row r="5768" spans="1:4">
      <c r="A5768" s="5">
        <v>5707</v>
      </c>
      <c r="B5768" s="137">
        <f>'Revenues 9-14'!G160</f>
        <v>0</v>
      </c>
      <c r="D5768" s="2" t="str">
        <f t="shared" si="89"/>
        <v>Error?</v>
      </c>
    </row>
    <row r="5769" spans="1:4">
      <c r="A5769" s="10">
        <v>5708</v>
      </c>
      <c r="D5769" s="2" t="str">
        <f t="shared" si="89"/>
        <v>OK</v>
      </c>
    </row>
    <row r="5770" spans="1:4">
      <c r="A5770" s="5">
        <v>5709</v>
      </c>
      <c r="B5770" s="137">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7">
        <f>'Revenues 9-14'!G173</f>
        <v>0</v>
      </c>
      <c r="C5778" s="2" t="s">
        <v>594</v>
      </c>
      <c r="D5778" s="2" t="str">
        <f t="shared" si="89"/>
        <v>Error?</v>
      </c>
    </row>
    <row r="5779" spans="1:4">
      <c r="A5779" s="5">
        <v>5718</v>
      </c>
      <c r="B5779" s="137">
        <f>'Revenues 9-14'!G176</f>
        <v>0</v>
      </c>
      <c r="D5779" s="2" t="str">
        <f t="shared" si="89"/>
        <v>Error?</v>
      </c>
    </row>
    <row r="5780" spans="1:4">
      <c r="A5780" s="5">
        <v>5719</v>
      </c>
      <c r="B5780" s="137">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9-14'!G184</f>
        <v>0</v>
      </c>
      <c r="C5784" s="2" t="s">
        <v>594</v>
      </c>
      <c r="D5784" s="2" t="str">
        <f t="shared" si="89"/>
        <v>Error?</v>
      </c>
    </row>
    <row r="5785" spans="1:4">
      <c r="A5785" s="5">
        <v>5724</v>
      </c>
      <c r="B5785" s="137">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9-14'!G203</f>
        <v>0</v>
      </c>
      <c r="D5790" s="2" t="str">
        <f t="shared" si="89"/>
        <v>Error?</v>
      </c>
    </row>
    <row r="5791" spans="1:4">
      <c r="A5791" s="5">
        <v>5730</v>
      </c>
      <c r="B5791" s="137">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7">
        <f>'Revenues 9-14'!G207</f>
        <v>0</v>
      </c>
      <c r="D5797" s="2" t="str">
        <f t="shared" si="89"/>
        <v>Error?</v>
      </c>
    </row>
    <row r="5798" spans="1:4">
      <c r="A5798" s="5">
        <v>5737</v>
      </c>
      <c r="B5798" s="137">
        <f>'Revenues 9-14'!G209</f>
        <v>0</v>
      </c>
      <c r="D5798" s="2" t="str">
        <f t="shared" si="89"/>
        <v>Error?</v>
      </c>
    </row>
    <row r="5799" spans="1:4">
      <c r="A5799" s="5">
        <v>5738</v>
      </c>
      <c r="B5799" s="137">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7">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9-14'!G218</f>
        <v>0</v>
      </c>
      <c r="D5817" s="2" t="str">
        <f t="shared" si="89"/>
        <v>Error?</v>
      </c>
    </row>
    <row r="5818" spans="1:4">
      <c r="A5818" s="5">
        <v>5757</v>
      </c>
      <c r="B5818" s="137">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9-14'!G220</f>
        <v>0</v>
      </c>
      <c r="D5821" s="2" t="str">
        <f t="shared" si="89"/>
        <v>Error?</v>
      </c>
    </row>
    <row r="5822" spans="1:4">
      <c r="A5822" s="5">
        <v>5761</v>
      </c>
      <c r="B5822" s="137">
        <f>'Revenues 9-14'!G221</f>
        <v>0</v>
      </c>
      <c r="D5822" s="2" t="str">
        <f t="shared" si="89"/>
        <v>Error?</v>
      </c>
    </row>
    <row r="5823" spans="1:4">
      <c r="A5823" s="5">
        <v>5762</v>
      </c>
      <c r="B5823" s="137">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7">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7">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7">
        <f>'Revenues 9-14'!G229</f>
        <v>0</v>
      </c>
      <c r="D5853" s="2" t="str">
        <f t="shared" si="90"/>
        <v>Error?</v>
      </c>
    </row>
    <row r="5854" spans="1:4">
      <c r="A5854" s="10">
        <v>5793</v>
      </c>
      <c r="D5854" s="2" t="str">
        <f t="shared" si="90"/>
        <v>OK</v>
      </c>
    </row>
    <row r="5855" spans="1:4">
      <c r="A5855" s="5">
        <v>5794</v>
      </c>
      <c r="B5855" s="137">
        <f>'Revenues 9-14'!G263</f>
        <v>0</v>
      </c>
      <c r="D5855" s="2" t="str">
        <f t="shared" si="90"/>
        <v>Error?</v>
      </c>
    </row>
    <row r="5856" spans="1:4">
      <c r="A5856" s="5">
        <v>5795</v>
      </c>
      <c r="B5856" s="137">
        <f>'Revenues 9-14'!G265</f>
        <v>0</v>
      </c>
      <c r="D5856" s="2" t="str">
        <f t="shared" si="90"/>
        <v>Error?</v>
      </c>
    </row>
    <row r="5857" spans="1:4">
      <c r="A5857" s="10">
        <v>5796</v>
      </c>
      <c r="D5857" s="2" t="str">
        <f t="shared" si="90"/>
        <v>OK</v>
      </c>
    </row>
    <row r="5858" spans="1:4">
      <c r="A5858" s="5">
        <v>5797</v>
      </c>
      <c r="B5858" s="137">
        <f>'Revenues 9-14'!G266</f>
        <v>0</v>
      </c>
      <c r="D5858" s="2" t="str">
        <f t="shared" si="90"/>
        <v>Error?</v>
      </c>
    </row>
    <row r="5859" spans="1:4">
      <c r="A5859" s="10">
        <v>5798</v>
      </c>
      <c r="D5859" s="2" t="str">
        <f t="shared" si="90"/>
        <v>OK</v>
      </c>
    </row>
    <row r="5860" spans="1:4">
      <c r="A5860" s="5">
        <v>5799</v>
      </c>
      <c r="B5860" s="137">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9-14'!G274</f>
        <v>0</v>
      </c>
      <c r="C5869" s="2" t="s">
        <v>594</v>
      </c>
      <c r="D5869" s="2" t="str">
        <f t="shared" si="90"/>
        <v>Error?</v>
      </c>
    </row>
    <row r="5870" spans="1:4">
      <c r="A5870" s="5">
        <v>5809</v>
      </c>
      <c r="B5870" s="137">
        <f>'Revenues 9-14'!G275</f>
        <v>1057526</v>
      </c>
      <c r="C5870" s="2" t="s">
        <v>594</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594</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594</v>
      </c>
      <c r="D5878" s="2" t="str">
        <f t="shared" si="90"/>
        <v>Error?</v>
      </c>
    </row>
    <row r="5879" spans="1:4">
      <c r="A5879" s="5">
        <v>5818</v>
      </c>
      <c r="B5879" s="137">
        <f>'Revenues 9-14'!H65</f>
        <v>36023</v>
      </c>
      <c r="D5879" s="2" t="str">
        <f t="shared" si="90"/>
        <v>Error?</v>
      </c>
    </row>
    <row r="5880" spans="1:4">
      <c r="A5880" s="5">
        <v>5819</v>
      </c>
      <c r="B5880" s="137">
        <f>'Revenues 9-14'!H66</f>
        <v>0</v>
      </c>
      <c r="D5880" s="2" t="str">
        <f t="shared" si="90"/>
        <v>Error?</v>
      </c>
    </row>
    <row r="5881" spans="1:4">
      <c r="A5881" s="5">
        <v>5820</v>
      </c>
      <c r="B5881" s="137">
        <f>'Revenues 9-14'!H67</f>
        <v>36023</v>
      </c>
      <c r="C5881" s="2" t="s">
        <v>594</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594</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9-14'!H173</f>
        <v>0</v>
      </c>
      <c r="C5906" s="2" t="s">
        <v>594</v>
      </c>
      <c r="D5906" s="2" t="str">
        <f t="shared" si="91"/>
        <v>Error?</v>
      </c>
    </row>
    <row r="5907" spans="1:4">
      <c r="A5907" s="5">
        <v>5846</v>
      </c>
      <c r="B5907" s="137">
        <f>'Revenues 9-14'!H181</f>
        <v>0</v>
      </c>
      <c r="D5907" s="2" t="str">
        <f t="shared" si="91"/>
        <v>Error?</v>
      </c>
    </row>
    <row r="5908" spans="1:4">
      <c r="A5908" s="5">
        <v>5847</v>
      </c>
      <c r="B5908" s="137">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9-14'!H274</f>
        <v>0</v>
      </c>
      <c r="C5914" s="2" t="s">
        <v>594</v>
      </c>
      <c r="D5914" s="2" t="str">
        <f t="shared" si="91"/>
        <v>Error?</v>
      </c>
    </row>
    <row r="5915" spans="1:4">
      <c r="A5915" s="5">
        <v>5854</v>
      </c>
      <c r="B5915" s="137">
        <f>'Revenues 9-14'!H275</f>
        <v>36023</v>
      </c>
      <c r="C5915" s="2" t="s">
        <v>594</v>
      </c>
      <c r="D5915" s="2" t="str">
        <f t="shared" si="91"/>
        <v>Error?</v>
      </c>
    </row>
    <row r="5916" spans="1:4">
      <c r="A5916" s="5">
        <v>5855</v>
      </c>
      <c r="B5916" s="137">
        <f>'Revenues 9-14'!I5</f>
        <v>394918</v>
      </c>
      <c r="D5916" s="2" t="str">
        <f t="shared" si="91"/>
        <v>Error?</v>
      </c>
    </row>
    <row r="5917" spans="1:4">
      <c r="A5917" s="5">
        <v>5856</v>
      </c>
      <c r="B5917" s="137">
        <f>'Revenues 9-14'!I11</f>
        <v>0</v>
      </c>
      <c r="D5917" s="2" t="str">
        <f t="shared" si="91"/>
        <v>Error?</v>
      </c>
    </row>
    <row r="5918" spans="1:4">
      <c r="A5918" s="5">
        <v>5857</v>
      </c>
      <c r="B5918" s="137">
        <f>'Revenues 9-14'!I12</f>
        <v>394918</v>
      </c>
      <c r="C5918" s="2" t="s">
        <v>594</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594</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594</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9-14'!I275</f>
        <v>394918</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7">
        <f>'Revenues 9-14'!K5</f>
        <v>362400</v>
      </c>
      <c r="D5985" s="2" t="str">
        <f t="shared" si="92"/>
        <v>Error?</v>
      </c>
    </row>
    <row r="5986" spans="1:4">
      <c r="A5986" s="5">
        <v>5925</v>
      </c>
      <c r="B5986" s="137">
        <f>'Revenues 9-14'!K11</f>
        <v>0</v>
      </c>
      <c r="D5986" s="2" t="str">
        <f t="shared" si="92"/>
        <v>Error?</v>
      </c>
    </row>
    <row r="5987" spans="1:4">
      <c r="A5987" s="5">
        <v>5926</v>
      </c>
      <c r="B5987" s="137">
        <f>'Revenues 9-14'!K12</f>
        <v>362400</v>
      </c>
      <c r="C5987" s="2" t="s">
        <v>594</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594</v>
      </c>
      <c r="D5992" s="2" t="str">
        <f t="shared" si="92"/>
        <v>Error?</v>
      </c>
    </row>
    <row r="5993" spans="1:4">
      <c r="A5993" s="5">
        <v>5932</v>
      </c>
      <c r="B5993" s="137">
        <f>'Revenues 9-14'!K65</f>
        <v>49673</v>
      </c>
      <c r="D5993" s="2" t="str">
        <f t="shared" si="92"/>
        <v>Error?</v>
      </c>
    </row>
    <row r="5994" spans="1:4">
      <c r="A5994" s="5">
        <v>5933</v>
      </c>
      <c r="B5994" s="137">
        <f>'Revenues 9-14'!K66</f>
        <v>0</v>
      </c>
      <c r="D5994" s="2" t="str">
        <f t="shared" si="92"/>
        <v>Error?</v>
      </c>
    </row>
    <row r="5995" spans="1:4">
      <c r="A5995" s="5">
        <v>5934</v>
      </c>
      <c r="B5995" s="137">
        <f>'Revenues 9-14'!K67</f>
        <v>49673</v>
      </c>
      <c r="C5995" s="2" t="s">
        <v>594</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594</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7">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9-14'!K274</f>
        <v>0</v>
      </c>
      <c r="C6022" s="2" t="s">
        <v>594</v>
      </c>
      <c r="D6022" s="2" t="str">
        <f t="shared" si="93"/>
        <v>Error?</v>
      </c>
    </row>
    <row r="6023" spans="1:5">
      <c r="A6023" s="5">
        <v>5962</v>
      </c>
      <c r="B6023" s="137">
        <f>'Revenues 9-14'!K275</f>
        <v>412073</v>
      </c>
      <c r="C6023" s="2" t="s">
        <v>594</v>
      </c>
      <c r="D6023" s="2" t="str">
        <f t="shared" si="93"/>
        <v>Error?</v>
      </c>
    </row>
    <row r="6024" spans="1:5">
      <c r="A6024" s="5">
        <v>5963</v>
      </c>
      <c r="B6024" s="137">
        <f>'Revenues 9-14'!G109</f>
        <v>1057526</v>
      </c>
      <c r="C6024" s="2" t="s">
        <v>594</v>
      </c>
      <c r="D6024" s="2" t="str">
        <f t="shared" si="93"/>
        <v>Error?</v>
      </c>
    </row>
    <row r="6025" spans="1:5">
      <c r="A6025" s="5">
        <v>5964</v>
      </c>
      <c r="B6025" s="137">
        <f>'Revenues 9-14'!H109</f>
        <v>36023</v>
      </c>
      <c r="C6025" s="2" t="s">
        <v>594</v>
      </c>
      <c r="D6025" s="2" t="str">
        <f t="shared" si="93"/>
        <v>Error?</v>
      </c>
    </row>
    <row r="6026" spans="1:5">
      <c r="A6026" s="5">
        <v>5965</v>
      </c>
      <c r="B6026" s="137">
        <f>'Revenues 9-14'!I109</f>
        <v>394918</v>
      </c>
      <c r="C6026" s="2" t="s">
        <v>594</v>
      </c>
      <c r="D6026" s="2" t="str">
        <f t="shared" si="93"/>
        <v>Error?</v>
      </c>
    </row>
    <row r="6027" spans="1:5">
      <c r="A6027" s="10">
        <v>5966</v>
      </c>
      <c r="C6027" s="2" t="s">
        <v>594</v>
      </c>
      <c r="D6027" s="2" t="str">
        <f t="shared" si="93"/>
        <v>OK</v>
      </c>
    </row>
    <row r="6028" spans="1:5">
      <c r="A6028" s="5">
        <v>5967</v>
      </c>
      <c r="B6028" s="137">
        <f>'Revenues 9-14'!K109</f>
        <v>412073</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118590</v>
      </c>
      <c r="D6031" s="2" t="str">
        <f t="shared" si="93"/>
        <v>Error?</v>
      </c>
    </row>
    <row r="6032" spans="1:5">
      <c r="A6032" s="5">
        <v>5971</v>
      </c>
      <c r="B6032" s="137">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8"/>
      <c r="C6034" s="2" t="s">
        <v>594</v>
      </c>
      <c r="D6034" s="2" t="str">
        <f t="shared" si="93"/>
        <v>OK</v>
      </c>
      <c r="E6034" s="2" t="s">
        <v>777</v>
      </c>
    </row>
    <row r="6035" spans="1:5">
      <c r="A6035" s="13">
        <v>5974</v>
      </c>
      <c r="B6035" s="138">
        <f>'ICR Computation 30'!E11</f>
        <v>136085</v>
      </c>
      <c r="C6035" s="2" t="s">
        <v>594</v>
      </c>
      <c r="D6035" s="2" t="str">
        <f t="shared" si="93"/>
        <v>Error?</v>
      </c>
      <c r="E6035" s="2" t="s">
        <v>977</v>
      </c>
    </row>
    <row r="6036" spans="1:5">
      <c r="A6036" s="35">
        <v>5975</v>
      </c>
      <c r="B6036" s="138"/>
      <c r="D6036" s="2" t="str">
        <f t="shared" si="93"/>
        <v>OK</v>
      </c>
      <c r="E6036" s="2" t="s">
        <v>977</v>
      </c>
    </row>
    <row r="6037" spans="1:5">
      <c r="A6037" s="35">
        <v>5976</v>
      </c>
      <c r="B6037" s="138"/>
      <c r="D6037" s="2" t="str">
        <f t="shared" si="93"/>
        <v>OK</v>
      </c>
      <c r="E6037" s="2" t="s">
        <v>977</v>
      </c>
    </row>
    <row r="6038" spans="1:5">
      <c r="A6038" s="35">
        <v>5977</v>
      </c>
      <c r="B6038" s="138"/>
      <c r="D6038" s="2" t="str">
        <f t="shared" si="93"/>
        <v>OK</v>
      </c>
      <c r="E6038" s="2" t="s">
        <v>977</v>
      </c>
    </row>
    <row r="6039" spans="1:5">
      <c r="A6039" s="35">
        <v>5978</v>
      </c>
      <c r="B6039" s="138"/>
      <c r="D6039" s="2" t="str">
        <f t="shared" si="93"/>
        <v>OK</v>
      </c>
      <c r="E6039" s="2" t="s">
        <v>977</v>
      </c>
    </row>
    <row r="6040" spans="1:5">
      <c r="A6040" s="35">
        <v>5979</v>
      </c>
      <c r="B6040" s="138"/>
      <c r="D6040" s="2" t="str">
        <f t="shared" si="93"/>
        <v>OK</v>
      </c>
      <c r="E6040" s="2" t="s">
        <v>977</v>
      </c>
    </row>
    <row r="6041" spans="1:5">
      <c r="A6041" s="35">
        <v>5980</v>
      </c>
      <c r="B6041" s="138"/>
      <c r="D6041" s="2" t="str">
        <f t="shared" si="93"/>
        <v>OK</v>
      </c>
      <c r="E6041" s="2" t="s">
        <v>977</v>
      </c>
    </row>
    <row r="6042" spans="1:5">
      <c r="A6042" s="35">
        <v>5981</v>
      </c>
      <c r="B6042" s="138"/>
      <c r="D6042" s="2" t="str">
        <f t="shared" si="93"/>
        <v>OK</v>
      </c>
      <c r="E6042" s="2" t="s">
        <v>977</v>
      </c>
    </row>
    <row r="6043" spans="1:5">
      <c r="A6043" s="35">
        <v>5982</v>
      </c>
      <c r="B6043" s="138"/>
      <c r="D6043" s="2" t="str">
        <f t="shared" si="93"/>
        <v>OK</v>
      </c>
      <c r="E6043" s="2" t="s">
        <v>977</v>
      </c>
    </row>
    <row r="6044" spans="1:5">
      <c r="A6044" s="35">
        <v>5983</v>
      </c>
      <c r="B6044" s="138"/>
      <c r="D6044" s="2" t="str">
        <f t="shared" si="93"/>
        <v>OK</v>
      </c>
      <c r="E6044" s="2" t="s">
        <v>977</v>
      </c>
    </row>
    <row r="6045" spans="1:5">
      <c r="A6045" s="35">
        <v>5984</v>
      </c>
      <c r="B6045" s="138"/>
      <c r="D6045" s="2" t="str">
        <f t="shared" si="93"/>
        <v>OK</v>
      </c>
      <c r="E6045" s="2" t="s">
        <v>977</v>
      </c>
    </row>
    <row r="6046" spans="1:5">
      <c r="A6046" s="35">
        <v>5985</v>
      </c>
      <c r="B6046" s="138"/>
      <c r="D6046" s="2" t="str">
        <f t="shared" si="93"/>
        <v>OK</v>
      </c>
      <c r="E6046" s="2" t="s">
        <v>977</v>
      </c>
    </row>
    <row r="6047" spans="1:5">
      <c r="A6047" s="35">
        <v>5986</v>
      </c>
      <c r="B6047" s="138"/>
      <c r="D6047" s="2" t="str">
        <f t="shared" si="93"/>
        <v>OK</v>
      </c>
      <c r="E6047" s="2" t="s">
        <v>977</v>
      </c>
    </row>
    <row r="6048" spans="1:5">
      <c r="A6048" s="35">
        <v>5987</v>
      </c>
      <c r="B6048" s="138"/>
      <c r="D6048" s="2" t="str">
        <f t="shared" si="93"/>
        <v>OK</v>
      </c>
      <c r="E6048" s="2" t="s">
        <v>977</v>
      </c>
    </row>
    <row r="6049" spans="1:5">
      <c r="A6049" s="35">
        <v>5988</v>
      </c>
      <c r="B6049" s="138"/>
      <c r="D6049" s="2" t="str">
        <f t="shared" si="93"/>
        <v>OK</v>
      </c>
      <c r="E6049" s="2" t="s">
        <v>977</v>
      </c>
    </row>
    <row r="6050" spans="1:5">
      <c r="A6050" s="35">
        <v>5989</v>
      </c>
      <c r="B6050" s="138"/>
      <c r="D6050" s="2" t="str">
        <f t="shared" si="93"/>
        <v>OK</v>
      </c>
      <c r="E6050" s="2" t="s">
        <v>977</v>
      </c>
    </row>
    <row r="6051" spans="1:5">
      <c r="A6051" s="35">
        <v>5990</v>
      </c>
      <c r="B6051" s="138"/>
      <c r="D6051" s="2" t="str">
        <f t="shared" si="93"/>
        <v>OK</v>
      </c>
      <c r="E6051" s="2" t="s">
        <v>977</v>
      </c>
    </row>
    <row r="6052" spans="1:5">
      <c r="A6052" s="35">
        <v>5991</v>
      </c>
      <c r="B6052" s="138"/>
      <c r="D6052" s="2" t="str">
        <f t="shared" si="93"/>
        <v>OK</v>
      </c>
      <c r="E6052" s="2" t="s">
        <v>977</v>
      </c>
    </row>
    <row r="6053" spans="1:5">
      <c r="A6053" s="35">
        <v>5992</v>
      </c>
      <c r="B6053" s="138"/>
      <c r="D6053" s="2" t="str">
        <f t="shared" si="93"/>
        <v>OK</v>
      </c>
      <c r="E6053" s="2" t="s">
        <v>977</v>
      </c>
    </row>
    <row r="6054" spans="1:5">
      <c r="A6054" s="35">
        <v>5993</v>
      </c>
      <c r="B6054" s="138"/>
      <c r="C6054" s="2" t="s">
        <v>594</v>
      </c>
      <c r="D6054" s="2" t="str">
        <f t="shared" si="93"/>
        <v>OK</v>
      </c>
      <c r="E6054" s="2" t="s">
        <v>977</v>
      </c>
    </row>
    <row r="6055" spans="1:5">
      <c r="A6055" s="35">
        <v>5994</v>
      </c>
      <c r="B6055" s="138"/>
      <c r="D6055" s="2" t="str">
        <f t="shared" si="93"/>
        <v>OK</v>
      </c>
      <c r="E6055" s="2" t="s">
        <v>977</v>
      </c>
    </row>
    <row r="6056" spans="1:5">
      <c r="A6056" s="35">
        <v>5995</v>
      </c>
      <c r="B6056" s="138"/>
      <c r="D6056" s="2" t="str">
        <f t="shared" si="93"/>
        <v>OK</v>
      </c>
      <c r="E6056" s="2" t="s">
        <v>977</v>
      </c>
    </row>
    <row r="6057" spans="1:5">
      <c r="A6057" s="35">
        <v>5996</v>
      </c>
      <c r="B6057" s="138"/>
      <c r="D6057" s="2" t="str">
        <f t="shared" si="93"/>
        <v>OK</v>
      </c>
      <c r="E6057" s="2" t="s">
        <v>977</v>
      </c>
    </row>
    <row r="6058" spans="1:5">
      <c r="A6058" s="35">
        <v>5997</v>
      </c>
      <c r="B6058" s="138"/>
      <c r="D6058" s="2" t="str">
        <f t="shared" si="93"/>
        <v>OK</v>
      </c>
      <c r="E6058" s="2" t="s">
        <v>977</v>
      </c>
    </row>
    <row r="6059" spans="1:5">
      <c r="A6059" s="35">
        <v>5998</v>
      </c>
      <c r="B6059" s="138"/>
      <c r="D6059" s="2" t="str">
        <f t="shared" si="93"/>
        <v>OK</v>
      </c>
      <c r="E6059" s="2" t="s">
        <v>977</v>
      </c>
    </row>
    <row r="6060" spans="1:5">
      <c r="A6060" s="35">
        <v>5999</v>
      </c>
      <c r="B6060" s="138"/>
      <c r="D6060" s="2" t="str">
        <f t="shared" si="93"/>
        <v>OK</v>
      </c>
      <c r="E6060" s="2" t="s">
        <v>977</v>
      </c>
    </row>
    <row r="6061" spans="1:5">
      <c r="A6061" s="35">
        <v>6000</v>
      </c>
      <c r="B6061" s="138"/>
      <c r="D6061" s="2" t="str">
        <f t="shared" si="93"/>
        <v>OK</v>
      </c>
      <c r="E6061" s="2" t="s">
        <v>977</v>
      </c>
    </row>
    <row r="6062" spans="1:5">
      <c r="A6062" s="35">
        <v>6001</v>
      </c>
      <c r="B6062" s="138"/>
      <c r="D6062" s="2" t="str">
        <f t="shared" si="93"/>
        <v>OK</v>
      </c>
      <c r="E6062" s="2" t="s">
        <v>977</v>
      </c>
    </row>
    <row r="6063" spans="1:5">
      <c r="A6063" s="35">
        <v>6002</v>
      </c>
      <c r="B6063" s="138"/>
      <c r="D6063" s="2" t="str">
        <f t="shared" si="93"/>
        <v>OK</v>
      </c>
      <c r="E6063" s="2" t="s">
        <v>977</v>
      </c>
    </row>
    <row r="6064" spans="1:5">
      <c r="A6064" s="35">
        <v>6003</v>
      </c>
      <c r="B6064" s="138"/>
      <c r="D6064" s="2" t="str">
        <f t="shared" si="93"/>
        <v>OK</v>
      </c>
      <c r="E6064" s="2" t="s">
        <v>977</v>
      </c>
    </row>
    <row r="6065" spans="1:5">
      <c r="A6065" s="35">
        <v>6004</v>
      </c>
      <c r="B6065" s="138"/>
      <c r="D6065" s="2" t="str">
        <f t="shared" si="93"/>
        <v>OK</v>
      </c>
      <c r="E6065" s="2" t="s">
        <v>977</v>
      </c>
    </row>
    <row r="6066" spans="1:5">
      <c r="A6066" s="35">
        <v>6005</v>
      </c>
      <c r="B6066" s="138"/>
      <c r="D6066" s="2" t="str">
        <f t="shared" si="93"/>
        <v>OK</v>
      </c>
      <c r="E6066" s="2" t="s">
        <v>977</v>
      </c>
    </row>
    <row r="6067" spans="1:5">
      <c r="A6067" s="126">
        <v>6006</v>
      </c>
      <c r="B6067" s="138"/>
      <c r="D6067" s="2" t="str">
        <f t="shared" si="93"/>
        <v>OK</v>
      </c>
      <c r="E6067" s="2" t="s">
        <v>977</v>
      </c>
    </row>
    <row r="6068" spans="1:5">
      <c r="A6068" s="126">
        <v>6007</v>
      </c>
      <c r="B6068" s="138"/>
      <c r="D6068" s="2" t="str">
        <f t="shared" si="93"/>
        <v>OK</v>
      </c>
      <c r="E6068" s="2" t="s">
        <v>977</v>
      </c>
    </row>
    <row r="6069" spans="1:5">
      <c r="A6069" s="126">
        <v>6008</v>
      </c>
      <c r="B6069" s="138"/>
      <c r="D6069" s="2" t="str">
        <f t="shared" si="93"/>
        <v>OK</v>
      </c>
      <c r="E6069" s="2" t="s">
        <v>977</v>
      </c>
    </row>
    <row r="6070" spans="1:5">
      <c r="A6070" s="126">
        <v>6009</v>
      </c>
      <c r="B6070" s="138"/>
      <c r="D6070" s="2" t="str">
        <f t="shared" si="93"/>
        <v>OK</v>
      </c>
      <c r="E6070" s="2" t="s">
        <v>977</v>
      </c>
    </row>
    <row r="6071" spans="1:5">
      <c r="A6071" s="126">
        <v>6010</v>
      </c>
      <c r="B6071" s="138"/>
      <c r="D6071" s="2" t="str">
        <f t="shared" si="93"/>
        <v>OK</v>
      </c>
      <c r="E6071" s="2" t="s">
        <v>977</v>
      </c>
    </row>
    <row r="6072" spans="1:5">
      <c r="A6072" s="126">
        <v>6011</v>
      </c>
      <c r="B6072" s="138"/>
      <c r="D6072" s="2" t="str">
        <f t="shared" si="93"/>
        <v>OK</v>
      </c>
      <c r="E6072" s="2" t="s">
        <v>977</v>
      </c>
    </row>
    <row r="6073" spans="1:5">
      <c r="A6073" s="126">
        <v>6012</v>
      </c>
      <c r="B6073" s="138"/>
      <c r="C6073" s="2" t="s">
        <v>594</v>
      </c>
      <c r="D6073" s="2" t="str">
        <f t="shared" si="93"/>
        <v>OK</v>
      </c>
      <c r="E6073" s="2" t="s">
        <v>977</v>
      </c>
    </row>
    <row r="6074" spans="1:5">
      <c r="A6074" s="8">
        <v>6013</v>
      </c>
      <c r="B6074" s="138">
        <f>'PCTC-OEPP 27-28'!F78</f>
        <v>2628.7</v>
      </c>
      <c r="D6074" s="2" t="str">
        <f t="shared" si="93"/>
        <v>Error?</v>
      </c>
      <c r="E6074" s="2" t="s">
        <v>987</v>
      </c>
    </row>
    <row r="6075" spans="1:5">
      <c r="A6075" s="126">
        <v>6014</v>
      </c>
      <c r="B6075" s="138"/>
      <c r="D6075" s="2" t="str">
        <f t="shared" si="93"/>
        <v>OK</v>
      </c>
      <c r="E6075" s="2" t="s">
        <v>987</v>
      </c>
    </row>
    <row r="6076" spans="1:5">
      <c r="A6076">
        <v>6015</v>
      </c>
      <c r="B6076" s="137">
        <f>'Short-Term Long-Term Debt 24'!C27</f>
        <v>0</v>
      </c>
      <c r="D6076" s="2" t="str">
        <f t="shared" si="93"/>
        <v>Error?</v>
      </c>
      <c r="E6076" s="2" t="s">
        <v>987</v>
      </c>
    </row>
    <row r="6077" spans="1:5">
      <c r="A6077">
        <v>6016</v>
      </c>
      <c r="B6077" s="137">
        <f>'Short-Term Long-Term Debt 24'!D27</f>
        <v>0</v>
      </c>
      <c r="D6077" s="2" t="str">
        <f t="shared" si="93"/>
        <v>Error?</v>
      </c>
      <c r="E6077" s="2" t="s">
        <v>987</v>
      </c>
    </row>
    <row r="6078" spans="1:5">
      <c r="A6078">
        <v>6017</v>
      </c>
      <c r="B6078" s="137">
        <f>'Short-Term Long-Term Debt 24'!E27</f>
        <v>0</v>
      </c>
      <c r="D6078" s="2" t="str">
        <f t="shared" si="93"/>
        <v>Error?</v>
      </c>
      <c r="E6078" s="2" t="s">
        <v>987</v>
      </c>
    </row>
    <row r="6079" spans="1:5">
      <c r="A6079">
        <v>6018</v>
      </c>
      <c r="B6079" s="137">
        <f>'Short-Term Long-Term Debt 24'!F27</f>
        <v>0</v>
      </c>
      <c r="D6079" s="2" t="str">
        <f t="shared" ref="D6079:D6142" si="94">IF(ISBLANK(B6079),"OK",IF(A6079-B6079=0,"OK","Error?"))</f>
        <v>Error?</v>
      </c>
      <c r="E6079" s="2" t="s">
        <v>156</v>
      </c>
    </row>
    <row r="6080" spans="1:5">
      <c r="A6080" s="128">
        <v>6019</v>
      </c>
      <c r="D6080" s="2" t="str">
        <f t="shared" si="94"/>
        <v>OK</v>
      </c>
      <c r="E6080" s="2" t="s">
        <v>503</v>
      </c>
    </row>
    <row r="6081" spans="1:5">
      <c r="A6081">
        <v>6020</v>
      </c>
      <c r="B6081" s="137">
        <f>'Assets-Liab 5-6'!C7</f>
        <v>0</v>
      </c>
      <c r="D6081" s="2" t="str">
        <f t="shared" si="94"/>
        <v>Error?</v>
      </c>
      <c r="E6081" s="2" t="s">
        <v>199</v>
      </c>
    </row>
    <row r="6082" spans="1:5">
      <c r="A6082">
        <v>6021</v>
      </c>
      <c r="B6082" s="137">
        <f>'Assets-Liab 5-6'!D7</f>
        <v>0</v>
      </c>
      <c r="D6082" s="2" t="str">
        <f t="shared" si="94"/>
        <v>Error?</v>
      </c>
      <c r="E6082" s="2" t="s">
        <v>199</v>
      </c>
    </row>
    <row r="6083" spans="1:5">
      <c r="A6083">
        <v>6022</v>
      </c>
      <c r="B6083" s="137">
        <f>'Assets-Liab 5-6'!E7</f>
        <v>0</v>
      </c>
      <c r="D6083" s="2" t="str">
        <f t="shared" si="94"/>
        <v>Error?</v>
      </c>
      <c r="E6083" s="2" t="s">
        <v>199</v>
      </c>
    </row>
    <row r="6084" spans="1:5">
      <c r="A6084">
        <v>6023</v>
      </c>
      <c r="B6084" s="137">
        <f>'Assets-Liab 5-6'!F7</f>
        <v>0</v>
      </c>
      <c r="D6084" s="2" t="str">
        <f t="shared" si="94"/>
        <v>Error?</v>
      </c>
      <c r="E6084" s="2" t="s">
        <v>199</v>
      </c>
    </row>
    <row r="6085" spans="1:5">
      <c r="A6085">
        <v>6024</v>
      </c>
      <c r="B6085" s="137">
        <f>'Assets-Liab 5-6'!G7</f>
        <v>0</v>
      </c>
      <c r="D6085" s="2" t="str">
        <f t="shared" si="94"/>
        <v>Error?</v>
      </c>
      <c r="E6085" s="2" t="s">
        <v>199</v>
      </c>
    </row>
    <row r="6086" spans="1:5">
      <c r="A6086">
        <v>6025</v>
      </c>
      <c r="B6086" s="137">
        <f>'Assets-Liab 5-6'!H7</f>
        <v>0</v>
      </c>
      <c r="D6086" s="2" t="str">
        <f t="shared" si="94"/>
        <v>Error?</v>
      </c>
      <c r="E6086" s="2" t="s">
        <v>199</v>
      </c>
    </row>
    <row r="6087" spans="1:5">
      <c r="A6087">
        <v>6026</v>
      </c>
      <c r="B6087" s="137">
        <f>'Assets-Liab 5-6'!I7</f>
        <v>0</v>
      </c>
      <c r="D6087" s="2" t="str">
        <f t="shared" si="94"/>
        <v>Error?</v>
      </c>
      <c r="E6087" s="2" t="s">
        <v>199</v>
      </c>
    </row>
    <row r="6088" spans="1:5">
      <c r="A6088">
        <v>6027</v>
      </c>
      <c r="B6088" s="137">
        <f>'Assets-Liab 5-6'!J7</f>
        <v>0</v>
      </c>
      <c r="D6088" s="2" t="str">
        <f t="shared" si="94"/>
        <v>Error?</v>
      </c>
      <c r="E6088" s="2" t="s">
        <v>199</v>
      </c>
    </row>
    <row r="6089" spans="1:5">
      <c r="A6089">
        <v>6028</v>
      </c>
      <c r="B6089" s="137">
        <f>'Assets-Liab 5-6'!K7</f>
        <v>0</v>
      </c>
      <c r="D6089" s="2" t="str">
        <f t="shared" si="94"/>
        <v>Error?</v>
      </c>
      <c r="E6089" s="2" t="s">
        <v>199</v>
      </c>
    </row>
    <row r="6090" spans="1:5">
      <c r="A6090">
        <v>6029</v>
      </c>
      <c r="B6090" s="137">
        <f>'Assets-Liab 5-6'!C8</f>
        <v>0</v>
      </c>
      <c r="D6090" s="2" t="str">
        <f t="shared" si="94"/>
        <v>Error?</v>
      </c>
      <c r="E6090" s="2" t="s">
        <v>199</v>
      </c>
    </row>
    <row r="6091" spans="1:5">
      <c r="A6091">
        <v>6030</v>
      </c>
      <c r="B6091" s="137">
        <f>'Assets-Liab 5-6'!D8</f>
        <v>0</v>
      </c>
      <c r="D6091" s="2" t="str">
        <f t="shared" si="94"/>
        <v>Error?</v>
      </c>
      <c r="E6091" s="2" t="s">
        <v>199</v>
      </c>
    </row>
    <row r="6092" spans="1:5">
      <c r="A6092">
        <v>6031</v>
      </c>
      <c r="B6092" s="137">
        <f>'Assets-Liab 5-6'!E8</f>
        <v>0</v>
      </c>
      <c r="D6092" s="2" t="str">
        <f t="shared" si="94"/>
        <v>Error?</v>
      </c>
      <c r="E6092" s="2" t="s">
        <v>199</v>
      </c>
    </row>
    <row r="6093" spans="1:5">
      <c r="A6093">
        <v>6032</v>
      </c>
      <c r="B6093" s="137">
        <f>'Assets-Liab 5-6'!F8</f>
        <v>0</v>
      </c>
      <c r="D6093" s="2" t="str">
        <f t="shared" si="94"/>
        <v>Error?</v>
      </c>
      <c r="E6093" s="2" t="s">
        <v>199</v>
      </c>
    </row>
    <row r="6094" spans="1:5">
      <c r="A6094">
        <v>6033</v>
      </c>
      <c r="B6094" s="137">
        <f>'Assets-Liab 5-6'!G8</f>
        <v>0</v>
      </c>
      <c r="D6094" s="2" t="str">
        <f t="shared" si="94"/>
        <v>Error?</v>
      </c>
      <c r="E6094" s="2" t="s">
        <v>199</v>
      </c>
    </row>
    <row r="6095" spans="1:5">
      <c r="A6095">
        <v>6034</v>
      </c>
      <c r="B6095" s="137">
        <f>'Assets-Liab 5-6'!H8</f>
        <v>0</v>
      </c>
      <c r="D6095" s="2" t="str">
        <f t="shared" si="94"/>
        <v>Error?</v>
      </c>
      <c r="E6095" s="2" t="s">
        <v>199</v>
      </c>
    </row>
    <row r="6096" spans="1:5">
      <c r="A6096">
        <v>6035</v>
      </c>
      <c r="B6096" s="137">
        <f>'Assets-Liab 5-6'!I8</f>
        <v>0</v>
      </c>
      <c r="D6096" s="2" t="str">
        <f t="shared" si="94"/>
        <v>Error?</v>
      </c>
      <c r="E6096" s="2" t="s">
        <v>199</v>
      </c>
    </row>
    <row r="6097" spans="1:5">
      <c r="A6097">
        <v>6036</v>
      </c>
      <c r="B6097" s="137">
        <f>'Assets-Liab 5-6'!J8</f>
        <v>0</v>
      </c>
      <c r="D6097" s="2" t="str">
        <f t="shared" si="94"/>
        <v>Error?</v>
      </c>
      <c r="E6097" s="2" t="s">
        <v>199</v>
      </c>
    </row>
    <row r="6098" spans="1:5">
      <c r="A6098">
        <v>6037</v>
      </c>
      <c r="B6098" s="137">
        <f>'Assets-Liab 5-6'!K8</f>
        <v>0</v>
      </c>
      <c r="D6098" s="2" t="str">
        <f t="shared" si="94"/>
        <v>Error?</v>
      </c>
      <c r="E6098" s="2" t="s">
        <v>199</v>
      </c>
    </row>
    <row r="6099" spans="1:5">
      <c r="A6099">
        <v>6038</v>
      </c>
      <c r="B6099" s="137">
        <f>'Assets-Liab 5-6'!C9</f>
        <v>0</v>
      </c>
      <c r="D6099" s="2" t="str">
        <f t="shared" si="94"/>
        <v>Error?</v>
      </c>
      <c r="E6099" s="2" t="s">
        <v>199</v>
      </c>
    </row>
    <row r="6100" spans="1:5">
      <c r="A6100">
        <v>6039</v>
      </c>
      <c r="B6100" s="137">
        <f>'Assets-Liab 5-6'!D9</f>
        <v>0</v>
      </c>
      <c r="D6100" s="2" t="str">
        <f t="shared" si="94"/>
        <v>Error?</v>
      </c>
      <c r="E6100" s="2" t="s">
        <v>199</v>
      </c>
    </row>
    <row r="6101" spans="1:5">
      <c r="A6101">
        <v>6040</v>
      </c>
      <c r="B6101" s="137">
        <f>'Assets-Liab 5-6'!E9</f>
        <v>0</v>
      </c>
      <c r="D6101" s="2" t="str">
        <f t="shared" si="94"/>
        <v>Error?</v>
      </c>
      <c r="E6101" s="2" t="s">
        <v>199</v>
      </c>
    </row>
    <row r="6102" spans="1:5">
      <c r="A6102">
        <v>6041</v>
      </c>
      <c r="B6102" s="137">
        <f>'Assets-Liab 5-6'!F9</f>
        <v>0</v>
      </c>
      <c r="D6102" s="2" t="str">
        <f t="shared" si="94"/>
        <v>Error?</v>
      </c>
      <c r="E6102" s="2" t="s">
        <v>199</v>
      </c>
    </row>
    <row r="6103" spans="1:5">
      <c r="A6103">
        <f>A6102+1</f>
        <v>6042</v>
      </c>
      <c r="B6103" s="137">
        <f>'Assets-Liab 5-6'!G9</f>
        <v>0</v>
      </c>
      <c r="D6103" s="2" t="str">
        <f t="shared" si="94"/>
        <v>Error?</v>
      </c>
      <c r="E6103" s="2" t="s">
        <v>199</v>
      </c>
    </row>
    <row r="6104" spans="1:5">
      <c r="A6104">
        <v>6043</v>
      </c>
      <c r="B6104" s="137">
        <f>'Assets-Liab 5-6'!H9</f>
        <v>0</v>
      </c>
      <c r="D6104" s="2" t="str">
        <f t="shared" si="94"/>
        <v>Error?</v>
      </c>
      <c r="E6104" s="2" t="s">
        <v>199</v>
      </c>
    </row>
    <row r="6105" spans="1:5">
      <c r="A6105">
        <v>6044</v>
      </c>
      <c r="B6105" s="137">
        <f>'Assets-Liab 5-6'!I9</f>
        <v>0</v>
      </c>
      <c r="D6105" s="2" t="str">
        <f t="shared" si="94"/>
        <v>Error?</v>
      </c>
      <c r="E6105" s="2" t="s">
        <v>199</v>
      </c>
    </row>
    <row r="6106" spans="1:5">
      <c r="A6106">
        <v>6045</v>
      </c>
      <c r="B6106" s="137">
        <f>'Assets-Liab 5-6'!J9</f>
        <v>0</v>
      </c>
      <c r="D6106" s="2" t="str">
        <f t="shared" si="94"/>
        <v>Error?</v>
      </c>
      <c r="E6106" s="2" t="s">
        <v>199</v>
      </c>
    </row>
    <row r="6107" spans="1:5">
      <c r="A6107">
        <v>6046</v>
      </c>
      <c r="B6107" s="137">
        <f>'Assets-Liab 5-6'!K9</f>
        <v>0</v>
      </c>
      <c r="D6107" s="2" t="str">
        <f t="shared" si="94"/>
        <v>Error?</v>
      </c>
      <c r="E6107" s="2" t="s">
        <v>199</v>
      </c>
    </row>
    <row r="6108" spans="1:5">
      <c r="A6108">
        <v>6047</v>
      </c>
      <c r="B6108" s="137">
        <f>'Assets-Liab 5-6'!L9</f>
        <v>0</v>
      </c>
      <c r="D6108" s="2" t="str">
        <f t="shared" si="94"/>
        <v>Error?</v>
      </c>
      <c r="E6108" s="2" t="s">
        <v>199</v>
      </c>
    </row>
    <row r="6109" spans="1:5">
      <c r="A6109">
        <v>6048</v>
      </c>
      <c r="B6109" s="137">
        <f>'Assets-Liab 5-6'!E10</f>
        <v>0</v>
      </c>
      <c r="D6109" s="2" t="str">
        <f t="shared" si="94"/>
        <v>Error?</v>
      </c>
      <c r="E6109" s="2" t="s">
        <v>199</v>
      </c>
    </row>
    <row r="6110" spans="1:5">
      <c r="A6110">
        <v>6049</v>
      </c>
      <c r="B6110" s="137">
        <f>'Assets-Liab 5-6'!G10</f>
        <v>0</v>
      </c>
      <c r="D6110" s="2" t="str">
        <f t="shared" si="94"/>
        <v>Error?</v>
      </c>
      <c r="E6110" s="2" t="s">
        <v>199</v>
      </c>
    </row>
    <row r="6111" spans="1:5">
      <c r="A6111">
        <v>6050</v>
      </c>
      <c r="B6111" s="137">
        <f>'Assets-Liab 5-6'!I10</f>
        <v>0</v>
      </c>
      <c r="D6111" s="2" t="str">
        <f t="shared" si="94"/>
        <v>Error?</v>
      </c>
      <c r="E6111" s="2" t="s">
        <v>199</v>
      </c>
    </row>
    <row r="6112" spans="1:5">
      <c r="A6112">
        <v>6051</v>
      </c>
      <c r="B6112" s="137">
        <f>'Assets-Liab 5-6'!J10</f>
        <v>0</v>
      </c>
      <c r="D6112" s="2" t="str">
        <f t="shared" si="94"/>
        <v>Error?</v>
      </c>
      <c r="E6112" s="2" t="s">
        <v>199</v>
      </c>
    </row>
    <row r="6113" spans="1:5">
      <c r="A6113">
        <v>6052</v>
      </c>
      <c r="B6113" s="137">
        <f>'Assets-Liab 5-6'!C11</f>
        <v>0</v>
      </c>
      <c r="D6113" s="2" t="str">
        <f t="shared" si="94"/>
        <v>Error?</v>
      </c>
      <c r="E6113" s="2" t="s">
        <v>199</v>
      </c>
    </row>
    <row r="6114" spans="1:5">
      <c r="A6114">
        <v>6053</v>
      </c>
      <c r="B6114" s="137">
        <f>'Assets-Liab 5-6'!D11</f>
        <v>0</v>
      </c>
      <c r="D6114" s="2" t="str">
        <f t="shared" si="94"/>
        <v>Error?</v>
      </c>
      <c r="E6114" s="2" t="s">
        <v>199</v>
      </c>
    </row>
    <row r="6115" spans="1:5">
      <c r="A6115">
        <v>6054</v>
      </c>
      <c r="B6115" s="137">
        <f>'Assets-Liab 5-6'!E11</f>
        <v>0</v>
      </c>
      <c r="D6115" s="2" t="str">
        <f t="shared" si="94"/>
        <v>Error?</v>
      </c>
      <c r="E6115" s="2" t="s">
        <v>199</v>
      </c>
    </row>
    <row r="6116" spans="1:5">
      <c r="A6116">
        <v>6055</v>
      </c>
      <c r="B6116" s="137">
        <f>'Assets-Liab 5-6'!F11</f>
        <v>0</v>
      </c>
      <c r="D6116" s="2" t="str">
        <f t="shared" si="94"/>
        <v>Error?</v>
      </c>
      <c r="E6116" s="2" t="s">
        <v>199</v>
      </c>
    </row>
    <row r="6117" spans="1:5">
      <c r="A6117">
        <v>6056</v>
      </c>
      <c r="B6117" s="137">
        <f>'Assets-Liab 5-6'!G11</f>
        <v>0</v>
      </c>
      <c r="D6117" s="2" t="str">
        <f t="shared" si="94"/>
        <v>Error?</v>
      </c>
      <c r="E6117" s="2" t="s">
        <v>199</v>
      </c>
    </row>
    <row r="6118" spans="1:5">
      <c r="A6118">
        <v>6057</v>
      </c>
      <c r="B6118" s="137">
        <f>'Assets-Liab 5-6'!H11</f>
        <v>0</v>
      </c>
      <c r="D6118" s="2" t="str">
        <f t="shared" si="94"/>
        <v>Error?</v>
      </c>
      <c r="E6118" s="2" t="s">
        <v>199</v>
      </c>
    </row>
    <row r="6119" spans="1:5">
      <c r="A6119">
        <v>6058</v>
      </c>
      <c r="B6119" s="137">
        <f>'Assets-Liab 5-6'!I11</f>
        <v>0</v>
      </c>
      <c r="D6119" s="2" t="str">
        <f t="shared" si="94"/>
        <v>Error?</v>
      </c>
      <c r="E6119" s="2" t="s">
        <v>199</v>
      </c>
    </row>
    <row r="6120" spans="1:5">
      <c r="A6120">
        <v>6059</v>
      </c>
      <c r="B6120" s="137">
        <f>'Assets-Liab 5-6'!J11</f>
        <v>0</v>
      </c>
      <c r="D6120" s="2" t="str">
        <f t="shared" si="94"/>
        <v>Error?</v>
      </c>
      <c r="E6120" s="2" t="s">
        <v>199</v>
      </c>
    </row>
    <row r="6121" spans="1:5">
      <c r="A6121">
        <v>6060</v>
      </c>
      <c r="B6121" s="137">
        <f>'Assets-Liab 5-6'!K11</f>
        <v>0</v>
      </c>
      <c r="D6121" s="2" t="str">
        <f t="shared" si="94"/>
        <v>Error?</v>
      </c>
      <c r="E6121" s="2" t="s">
        <v>199</v>
      </c>
    </row>
    <row r="6122" spans="1:5">
      <c r="A6122">
        <v>6061</v>
      </c>
      <c r="B6122" s="137">
        <f>'Assets-Liab 5-6'!L11</f>
        <v>0</v>
      </c>
      <c r="D6122" s="2" t="str">
        <f t="shared" si="94"/>
        <v>Error?</v>
      </c>
      <c r="E6122" s="2" t="s">
        <v>199</v>
      </c>
    </row>
    <row r="6123" spans="1:5">
      <c r="A6123">
        <v>6062</v>
      </c>
      <c r="B6123" s="137">
        <f>'Assets-Liab 5-6'!J12</f>
        <v>0</v>
      </c>
      <c r="D6123" s="2" t="str">
        <f t="shared" si="94"/>
        <v>Error?</v>
      </c>
      <c r="E6123" s="2" t="s">
        <v>199</v>
      </c>
    </row>
    <row r="6124" spans="1:5">
      <c r="A6124">
        <v>6063</v>
      </c>
      <c r="B6124" s="137">
        <f>'Assets-Liab 5-6'!J13</f>
        <v>2286096</v>
      </c>
      <c r="D6124" s="2" t="str">
        <f t="shared" si="94"/>
        <v>Error?</v>
      </c>
      <c r="E6124" s="2" t="s">
        <v>199</v>
      </c>
    </row>
    <row r="6125" spans="1:5">
      <c r="A6125">
        <v>6064</v>
      </c>
      <c r="B6125" s="137">
        <f>'Assets-Liab 5-6'!C25</f>
        <v>0</v>
      </c>
      <c r="D6125" s="2" t="str">
        <f t="shared" si="94"/>
        <v>Error?</v>
      </c>
      <c r="E6125" s="2" t="s">
        <v>199</v>
      </c>
    </row>
    <row r="6126" spans="1:5">
      <c r="A6126">
        <v>6065</v>
      </c>
      <c r="B6126" s="137">
        <f>'Assets-Liab 5-6'!D25</f>
        <v>0</v>
      </c>
      <c r="D6126" s="2" t="str">
        <f t="shared" si="94"/>
        <v>Error?</v>
      </c>
      <c r="E6126" s="2" t="s">
        <v>199</v>
      </c>
    </row>
    <row r="6127" spans="1:5">
      <c r="A6127">
        <v>6066</v>
      </c>
      <c r="B6127" s="137">
        <f>'Assets-Liab 5-6'!E25</f>
        <v>0</v>
      </c>
      <c r="D6127" s="2" t="str">
        <f t="shared" si="94"/>
        <v>Error?</v>
      </c>
      <c r="E6127" s="2" t="s">
        <v>199</v>
      </c>
    </row>
    <row r="6128" spans="1:5">
      <c r="A6128">
        <v>6067</v>
      </c>
      <c r="B6128" s="137">
        <f>'Assets-Liab 5-6'!F25</f>
        <v>0</v>
      </c>
      <c r="D6128" s="2" t="str">
        <f t="shared" si="94"/>
        <v>Error?</v>
      </c>
      <c r="E6128" s="2" t="s">
        <v>199</v>
      </c>
    </row>
    <row r="6129" spans="1:5">
      <c r="A6129">
        <v>6068</v>
      </c>
      <c r="B6129" s="137">
        <f>'Assets-Liab 5-6'!G25</f>
        <v>0</v>
      </c>
      <c r="D6129" s="2" t="str">
        <f t="shared" si="94"/>
        <v>Error?</v>
      </c>
      <c r="E6129" s="2" t="s">
        <v>199</v>
      </c>
    </row>
    <row r="6130" spans="1:5">
      <c r="A6130">
        <v>6069</v>
      </c>
      <c r="B6130" s="137">
        <f>'Assets-Liab 5-6'!H25</f>
        <v>0</v>
      </c>
      <c r="D6130" s="2" t="str">
        <f t="shared" si="94"/>
        <v>Error?</v>
      </c>
      <c r="E6130" s="2" t="s">
        <v>199</v>
      </c>
    </row>
    <row r="6131" spans="1:5">
      <c r="A6131">
        <v>6070</v>
      </c>
      <c r="B6131" s="137">
        <f>'Assets-Liab 5-6'!J25</f>
        <v>0</v>
      </c>
      <c r="D6131" s="2" t="str">
        <f t="shared" si="94"/>
        <v>Error?</v>
      </c>
      <c r="E6131" s="2" t="s">
        <v>199</v>
      </c>
    </row>
    <row r="6132" spans="1:5">
      <c r="A6132">
        <v>6071</v>
      </c>
      <c r="B6132" s="137">
        <f>'Assets-Liab 5-6'!K25</f>
        <v>0</v>
      </c>
      <c r="D6132" s="2" t="str">
        <f t="shared" si="94"/>
        <v>Error?</v>
      </c>
      <c r="E6132" s="2" t="s">
        <v>199</v>
      </c>
    </row>
    <row r="6133" spans="1:5">
      <c r="A6133">
        <v>6072</v>
      </c>
      <c r="B6133" s="137">
        <f>'Assets-Liab 5-6'!C26</f>
        <v>0</v>
      </c>
      <c r="D6133" s="2" t="str">
        <f t="shared" si="94"/>
        <v>Error?</v>
      </c>
      <c r="E6133" s="2" t="s">
        <v>199</v>
      </c>
    </row>
    <row r="6134" spans="1:5">
      <c r="A6134">
        <v>6073</v>
      </c>
      <c r="B6134" s="137">
        <f>'Assets-Liab 5-6'!D26</f>
        <v>0</v>
      </c>
      <c r="D6134" s="2" t="str">
        <f t="shared" si="94"/>
        <v>Error?</v>
      </c>
      <c r="E6134" s="2" t="s">
        <v>199</v>
      </c>
    </row>
    <row r="6135" spans="1:5">
      <c r="A6135">
        <v>6074</v>
      </c>
      <c r="B6135" s="137">
        <f>'Assets-Liab 5-6'!E26</f>
        <v>0</v>
      </c>
      <c r="D6135" s="2" t="str">
        <f t="shared" si="94"/>
        <v>Error?</v>
      </c>
      <c r="E6135" s="2" t="s">
        <v>199</v>
      </c>
    </row>
    <row r="6136" spans="1:5">
      <c r="A6136">
        <v>6075</v>
      </c>
      <c r="B6136" s="137">
        <f>'Assets-Liab 5-6'!F26</f>
        <v>0</v>
      </c>
      <c r="D6136" s="2" t="str">
        <f t="shared" si="94"/>
        <v>Error?</v>
      </c>
      <c r="E6136" s="2" t="s">
        <v>199</v>
      </c>
    </row>
    <row r="6137" spans="1:5">
      <c r="A6137">
        <v>6076</v>
      </c>
      <c r="B6137" s="137">
        <f>'Assets-Liab 5-6'!G26</f>
        <v>0</v>
      </c>
      <c r="D6137" s="2" t="str">
        <f t="shared" si="94"/>
        <v>Error?</v>
      </c>
      <c r="E6137" s="2" t="s">
        <v>199</v>
      </c>
    </row>
    <row r="6138" spans="1:5">
      <c r="A6138">
        <v>6077</v>
      </c>
      <c r="B6138" s="137">
        <f>'Assets-Liab 5-6'!H26</f>
        <v>0</v>
      </c>
      <c r="D6138" s="2" t="str">
        <f t="shared" si="94"/>
        <v>Error?</v>
      </c>
      <c r="E6138" s="2" t="s">
        <v>199</v>
      </c>
    </row>
    <row r="6139" spans="1:5">
      <c r="A6139">
        <v>6078</v>
      </c>
      <c r="B6139" s="137">
        <f>'Assets-Liab 5-6'!I26</f>
        <v>0</v>
      </c>
      <c r="D6139" s="2" t="str">
        <f t="shared" si="94"/>
        <v>Error?</v>
      </c>
      <c r="E6139" s="2" t="s">
        <v>199</v>
      </c>
    </row>
    <row r="6140" spans="1:5">
      <c r="A6140">
        <v>6079</v>
      </c>
      <c r="B6140" s="137">
        <f>'Assets-Liab 5-6'!J26</f>
        <v>0</v>
      </c>
      <c r="D6140" s="2" t="str">
        <f t="shared" si="94"/>
        <v>Error?</v>
      </c>
      <c r="E6140" s="2" t="s">
        <v>199</v>
      </c>
    </row>
    <row r="6141" spans="1:5">
      <c r="A6141">
        <v>6080</v>
      </c>
      <c r="B6141" s="137">
        <f>'Assets-Liab 5-6'!K26</f>
        <v>0</v>
      </c>
      <c r="D6141" s="2" t="str">
        <f t="shared" si="94"/>
        <v>Error?</v>
      </c>
      <c r="E6141" s="2" t="s">
        <v>199</v>
      </c>
    </row>
    <row r="6142" spans="1:5">
      <c r="A6142">
        <v>6081</v>
      </c>
      <c r="B6142" s="137">
        <f>'Assets-Liab 5-6'!C27</f>
        <v>0</v>
      </c>
      <c r="D6142" s="2" t="str">
        <f t="shared" si="94"/>
        <v>Error?</v>
      </c>
      <c r="E6142" s="2" t="s">
        <v>199</v>
      </c>
    </row>
    <row r="6143" spans="1:5">
      <c r="A6143">
        <v>6082</v>
      </c>
      <c r="B6143" s="137">
        <f>'Assets-Liab 5-6'!D27</f>
        <v>0</v>
      </c>
      <c r="D6143" s="2" t="str">
        <f t="shared" ref="D6143:D6206" si="95">IF(ISBLANK(B6143),"OK",IF(A6143-B6143=0,"OK","Error?"))</f>
        <v>Error?</v>
      </c>
      <c r="E6143" s="2" t="s">
        <v>199</v>
      </c>
    </row>
    <row r="6144" spans="1:5">
      <c r="A6144">
        <v>6083</v>
      </c>
      <c r="B6144" s="137">
        <f>'Assets-Liab 5-6'!E27</f>
        <v>0</v>
      </c>
      <c r="D6144" s="2" t="str">
        <f t="shared" si="95"/>
        <v>Error?</v>
      </c>
      <c r="E6144" s="2" t="s">
        <v>199</v>
      </c>
    </row>
    <row r="6145" spans="1:5">
      <c r="A6145">
        <v>6084</v>
      </c>
      <c r="B6145" s="137">
        <f>'Assets-Liab 5-6'!F27</f>
        <v>0</v>
      </c>
      <c r="D6145" s="2" t="str">
        <f t="shared" si="95"/>
        <v>Error?</v>
      </c>
      <c r="E6145" s="2" t="s">
        <v>199</v>
      </c>
    </row>
    <row r="6146" spans="1:5">
      <c r="A6146">
        <v>6085</v>
      </c>
      <c r="B6146" s="137">
        <f>'Assets-Liab 5-6'!G27</f>
        <v>0</v>
      </c>
      <c r="D6146" s="2" t="str">
        <f t="shared" si="95"/>
        <v>Error?</v>
      </c>
      <c r="E6146" s="2" t="s">
        <v>199</v>
      </c>
    </row>
    <row r="6147" spans="1:5">
      <c r="A6147">
        <v>6086</v>
      </c>
      <c r="B6147" s="137">
        <f>'Assets-Liab 5-6'!H27</f>
        <v>0</v>
      </c>
      <c r="D6147" s="2" t="str">
        <f t="shared" si="95"/>
        <v>Error?</v>
      </c>
      <c r="E6147" s="2" t="s">
        <v>199</v>
      </c>
    </row>
    <row r="6148" spans="1:5">
      <c r="A6148">
        <v>6087</v>
      </c>
      <c r="B6148" s="137">
        <f>'Assets-Liab 5-6'!I27</f>
        <v>0</v>
      </c>
      <c r="D6148" s="2" t="str">
        <f t="shared" si="95"/>
        <v>Error?</v>
      </c>
      <c r="E6148" s="2" t="s">
        <v>199</v>
      </c>
    </row>
    <row r="6149" spans="1:5">
      <c r="A6149">
        <v>6088</v>
      </c>
      <c r="B6149" s="137">
        <f>'Assets-Liab 5-6'!J27</f>
        <v>0</v>
      </c>
      <c r="D6149" s="2" t="str">
        <f t="shared" si="95"/>
        <v>Error?</v>
      </c>
      <c r="E6149" s="2" t="s">
        <v>199</v>
      </c>
    </row>
    <row r="6150" spans="1:5">
      <c r="A6150">
        <v>6089</v>
      </c>
      <c r="B6150" s="137">
        <f>'Assets-Liab 5-6'!K27</f>
        <v>0</v>
      </c>
      <c r="D6150" s="2" t="str">
        <f t="shared" si="95"/>
        <v>Error?</v>
      </c>
      <c r="E6150" s="2" t="s">
        <v>199</v>
      </c>
    </row>
    <row r="6151" spans="1:5">
      <c r="A6151">
        <v>6090</v>
      </c>
      <c r="B6151" s="137">
        <f>'Assets-Liab 5-6'!C28</f>
        <v>0</v>
      </c>
      <c r="D6151" s="2" t="str">
        <f t="shared" si="95"/>
        <v>Error?</v>
      </c>
      <c r="E6151" s="2" t="s">
        <v>199</v>
      </c>
    </row>
    <row r="6152" spans="1:5">
      <c r="A6152">
        <v>6091</v>
      </c>
      <c r="B6152" s="137">
        <f>'Assets-Liab 5-6'!D28</f>
        <v>0</v>
      </c>
      <c r="D6152" s="2" t="str">
        <f t="shared" si="95"/>
        <v>Error?</v>
      </c>
      <c r="E6152" s="2" t="s">
        <v>199</v>
      </c>
    </row>
    <row r="6153" spans="1:5">
      <c r="A6153">
        <v>6092</v>
      </c>
      <c r="B6153" s="137">
        <f>'Assets-Liab 5-6'!E28</f>
        <v>0</v>
      </c>
      <c r="D6153" s="2" t="str">
        <f t="shared" si="95"/>
        <v>Error?</v>
      </c>
      <c r="E6153" s="2" t="s">
        <v>199</v>
      </c>
    </row>
    <row r="6154" spans="1:5">
      <c r="A6154">
        <v>6093</v>
      </c>
      <c r="B6154" s="137">
        <f>'Assets-Liab 5-6'!F28</f>
        <v>0</v>
      </c>
      <c r="D6154" s="2" t="str">
        <f t="shared" si="95"/>
        <v>Error?</v>
      </c>
      <c r="E6154" s="2" t="s">
        <v>199</v>
      </c>
    </row>
    <row r="6155" spans="1:5">
      <c r="A6155">
        <v>6094</v>
      </c>
      <c r="B6155" s="137">
        <f>'Assets-Liab 5-6'!G28</f>
        <v>0</v>
      </c>
      <c r="D6155" s="2" t="str">
        <f t="shared" si="95"/>
        <v>Error?</v>
      </c>
      <c r="E6155" s="2" t="s">
        <v>199</v>
      </c>
    </row>
    <row r="6156" spans="1:5">
      <c r="A6156">
        <v>6095</v>
      </c>
      <c r="B6156" s="137">
        <f>'Assets-Liab 5-6'!H28</f>
        <v>0</v>
      </c>
      <c r="D6156" s="2" t="str">
        <f t="shared" si="95"/>
        <v>Error?</v>
      </c>
      <c r="E6156" s="2" t="s">
        <v>199</v>
      </c>
    </row>
    <row r="6157" spans="1:5">
      <c r="A6157">
        <v>6096</v>
      </c>
      <c r="B6157" s="137">
        <f>'Assets-Liab 5-6'!I28</f>
        <v>0</v>
      </c>
      <c r="D6157" s="2" t="str">
        <f t="shared" si="95"/>
        <v>Error?</v>
      </c>
      <c r="E6157" s="2" t="s">
        <v>199</v>
      </c>
    </row>
    <row r="6158" spans="1:5">
      <c r="A6158">
        <v>6097</v>
      </c>
      <c r="B6158" s="137">
        <f>'Assets-Liab 5-6'!J28</f>
        <v>0</v>
      </c>
      <c r="D6158" s="2" t="str">
        <f t="shared" si="95"/>
        <v>Error?</v>
      </c>
      <c r="E6158" s="2" t="s">
        <v>199</v>
      </c>
    </row>
    <row r="6159" spans="1:5">
      <c r="A6159">
        <v>6098</v>
      </c>
      <c r="B6159" s="137">
        <f>'Assets-Liab 5-6'!K28</f>
        <v>0</v>
      </c>
      <c r="D6159" s="2" t="str">
        <f t="shared" si="95"/>
        <v>Error?</v>
      </c>
      <c r="E6159" s="2" t="s">
        <v>199</v>
      </c>
    </row>
    <row r="6160" spans="1:5">
      <c r="A6160">
        <v>6099</v>
      </c>
      <c r="B6160" s="137">
        <f>'Assets-Liab 5-6'!C29</f>
        <v>0</v>
      </c>
      <c r="D6160" s="2" t="str">
        <f t="shared" si="95"/>
        <v>Error?</v>
      </c>
      <c r="E6160" s="2" t="s">
        <v>199</v>
      </c>
    </row>
    <row r="6161" spans="1:5">
      <c r="A6161">
        <v>6100</v>
      </c>
      <c r="B6161" s="137">
        <f>'Assets-Liab 5-6'!D29</f>
        <v>0</v>
      </c>
      <c r="D6161" s="2" t="str">
        <f t="shared" si="95"/>
        <v>Error?</v>
      </c>
      <c r="E6161" s="2" t="s">
        <v>199</v>
      </c>
    </row>
    <row r="6162" spans="1:5">
      <c r="A6162">
        <v>6101</v>
      </c>
      <c r="B6162" s="137">
        <f>'Assets-Liab 5-6'!E29</f>
        <v>0</v>
      </c>
      <c r="D6162" s="2" t="str">
        <f t="shared" si="95"/>
        <v>Error?</v>
      </c>
      <c r="E6162" s="2" t="s">
        <v>199</v>
      </c>
    </row>
    <row r="6163" spans="1:5">
      <c r="A6163">
        <v>6102</v>
      </c>
      <c r="B6163" s="137">
        <f>'Assets-Liab 5-6'!F29</f>
        <v>0</v>
      </c>
      <c r="D6163" s="2" t="str">
        <f t="shared" si="95"/>
        <v>Error?</v>
      </c>
      <c r="E6163" s="2" t="s">
        <v>199</v>
      </c>
    </row>
    <row r="6164" spans="1:5">
      <c r="A6164">
        <v>6103</v>
      </c>
      <c r="B6164" s="137">
        <f>'Assets-Liab 5-6'!G29</f>
        <v>0</v>
      </c>
      <c r="D6164" s="2" t="str">
        <f t="shared" si="95"/>
        <v>Error?</v>
      </c>
      <c r="E6164" s="2" t="s">
        <v>199</v>
      </c>
    </row>
    <row r="6165" spans="1:5">
      <c r="A6165">
        <v>6104</v>
      </c>
      <c r="B6165" s="137">
        <f>'Assets-Liab 5-6'!H29</f>
        <v>0</v>
      </c>
      <c r="D6165" s="2" t="str">
        <f t="shared" si="95"/>
        <v>Error?</v>
      </c>
      <c r="E6165" s="2" t="s">
        <v>199</v>
      </c>
    </row>
    <row r="6166" spans="1:5">
      <c r="A6166">
        <v>6105</v>
      </c>
      <c r="B6166" s="137">
        <f>'Assets-Liab 5-6'!I29</f>
        <v>0</v>
      </c>
      <c r="D6166" s="2" t="str">
        <f t="shared" si="95"/>
        <v>Error?</v>
      </c>
      <c r="E6166" s="2" t="s">
        <v>199</v>
      </c>
    </row>
    <row r="6167" spans="1:5">
      <c r="A6167">
        <v>6106</v>
      </c>
      <c r="B6167" s="137">
        <f>'Assets-Liab 5-6'!J29</f>
        <v>0</v>
      </c>
      <c r="D6167" s="2" t="str">
        <f t="shared" si="95"/>
        <v>Error?</v>
      </c>
      <c r="E6167" s="2" t="s">
        <v>199</v>
      </c>
    </row>
    <row r="6168" spans="1:5">
      <c r="A6168">
        <v>6107</v>
      </c>
      <c r="B6168" s="137">
        <f>'Assets-Liab 5-6'!K29</f>
        <v>0</v>
      </c>
      <c r="D6168" s="2" t="str">
        <f t="shared" si="95"/>
        <v>Error?</v>
      </c>
      <c r="E6168" s="2" t="s">
        <v>199</v>
      </c>
    </row>
    <row r="6169" spans="1:5">
      <c r="A6169">
        <v>6108</v>
      </c>
      <c r="B6169" s="137">
        <f>'Assets-Liab 5-6'!C30</f>
        <v>0</v>
      </c>
      <c r="D6169" s="2" t="str">
        <f t="shared" si="95"/>
        <v>Error?</v>
      </c>
      <c r="E6169" s="2" t="s">
        <v>199</v>
      </c>
    </row>
    <row r="6170" spans="1:5">
      <c r="A6170">
        <v>6109</v>
      </c>
      <c r="B6170" s="137">
        <f>'Assets-Liab 5-6'!D30</f>
        <v>0</v>
      </c>
      <c r="D6170" s="2" t="str">
        <f t="shared" si="95"/>
        <v>Error?</v>
      </c>
      <c r="E6170" s="2" t="s">
        <v>199</v>
      </c>
    </row>
    <row r="6171" spans="1:5">
      <c r="A6171">
        <v>6110</v>
      </c>
      <c r="B6171" s="137">
        <f>'Assets-Liab 5-6'!E30</f>
        <v>0</v>
      </c>
      <c r="D6171" s="2" t="str">
        <f t="shared" si="95"/>
        <v>Error?</v>
      </c>
      <c r="E6171" s="2" t="s">
        <v>199</v>
      </c>
    </row>
    <row r="6172" spans="1:5">
      <c r="A6172">
        <v>6111</v>
      </c>
      <c r="B6172" s="137">
        <f>'Assets-Liab 5-6'!F30</f>
        <v>0</v>
      </c>
      <c r="D6172" s="2" t="str">
        <f t="shared" si="95"/>
        <v>Error?</v>
      </c>
      <c r="E6172" s="2" t="s">
        <v>199</v>
      </c>
    </row>
    <row r="6173" spans="1:5">
      <c r="A6173">
        <v>6112</v>
      </c>
      <c r="B6173" s="137">
        <f>'Assets-Liab 5-6'!G30</f>
        <v>0</v>
      </c>
      <c r="D6173" s="2" t="str">
        <f t="shared" si="95"/>
        <v>Error?</v>
      </c>
      <c r="E6173" s="2" t="s">
        <v>199</v>
      </c>
    </row>
    <row r="6174" spans="1:5">
      <c r="A6174">
        <v>6113</v>
      </c>
      <c r="B6174" s="137">
        <f>'Assets-Liab 5-6'!H30</f>
        <v>0</v>
      </c>
      <c r="D6174" s="2" t="str">
        <f t="shared" si="95"/>
        <v>Error?</v>
      </c>
      <c r="E6174" s="2" t="s">
        <v>199</v>
      </c>
    </row>
    <row r="6175" spans="1:5">
      <c r="A6175">
        <v>6114</v>
      </c>
      <c r="B6175" s="137">
        <f>'Assets-Liab 5-6'!I30</f>
        <v>0</v>
      </c>
      <c r="D6175" s="2" t="str">
        <f t="shared" si="95"/>
        <v>Error?</v>
      </c>
      <c r="E6175" s="2" t="s">
        <v>199</v>
      </c>
    </row>
    <row r="6176" spans="1:5">
      <c r="A6176">
        <v>6115</v>
      </c>
      <c r="B6176" s="137">
        <f>'Assets-Liab 5-6'!J30</f>
        <v>0</v>
      </c>
      <c r="D6176" s="2" t="str">
        <f t="shared" si="95"/>
        <v>Error?</v>
      </c>
      <c r="E6176" s="2" t="s">
        <v>199</v>
      </c>
    </row>
    <row r="6177" spans="1:5">
      <c r="A6177">
        <v>6116</v>
      </c>
      <c r="B6177" s="137">
        <f>'Assets-Liab 5-6'!K30</f>
        <v>0</v>
      </c>
      <c r="D6177" s="2" t="str">
        <f t="shared" si="95"/>
        <v>Error?</v>
      </c>
      <c r="E6177" s="2" t="s">
        <v>199</v>
      </c>
    </row>
    <row r="6178" spans="1:5">
      <c r="A6178">
        <v>6117</v>
      </c>
      <c r="B6178" s="137">
        <f>'Assets-Liab 5-6'!E31</f>
        <v>0</v>
      </c>
      <c r="D6178" s="2" t="str">
        <f t="shared" si="95"/>
        <v>Error?</v>
      </c>
      <c r="E6178" s="2" t="s">
        <v>199</v>
      </c>
    </row>
    <row r="6179" spans="1:5">
      <c r="A6179">
        <v>6118</v>
      </c>
      <c r="B6179" s="137">
        <f>'Assets-Liab 5-6'!I31</f>
        <v>0</v>
      </c>
      <c r="D6179" s="2" t="str">
        <f t="shared" si="95"/>
        <v>Error?</v>
      </c>
      <c r="E6179" s="2" t="s">
        <v>199</v>
      </c>
    </row>
    <row r="6180" spans="1:5">
      <c r="A6180">
        <v>6119</v>
      </c>
      <c r="B6180" s="137">
        <f>'Assets-Liab 5-6'!J31</f>
        <v>0</v>
      </c>
      <c r="D6180" s="2" t="str">
        <f t="shared" si="95"/>
        <v>Error?</v>
      </c>
      <c r="E6180" s="2" t="s">
        <v>199</v>
      </c>
    </row>
    <row r="6181" spans="1:5">
      <c r="A6181">
        <v>6120</v>
      </c>
      <c r="B6181" s="137">
        <f>'Assets-Liab 5-6'!J32</f>
        <v>0</v>
      </c>
      <c r="D6181" s="2" t="str">
        <f t="shared" si="95"/>
        <v>Error?</v>
      </c>
      <c r="E6181" s="2" t="s">
        <v>199</v>
      </c>
    </row>
    <row r="6182" spans="1:5">
      <c r="A6182">
        <v>6121</v>
      </c>
      <c r="B6182" s="137">
        <f>'Assets-Liab 5-6'!C33</f>
        <v>0</v>
      </c>
      <c r="D6182" s="2" t="str">
        <f t="shared" si="95"/>
        <v>Error?</v>
      </c>
      <c r="E6182" s="2" t="s">
        <v>199</v>
      </c>
    </row>
    <row r="6183" spans="1:5">
      <c r="A6183">
        <v>6122</v>
      </c>
      <c r="B6183" s="137">
        <f>'Assets-Liab 5-6'!D33</f>
        <v>0</v>
      </c>
      <c r="D6183" s="2" t="str">
        <f t="shared" si="95"/>
        <v>Error?</v>
      </c>
      <c r="E6183" s="2" t="s">
        <v>199</v>
      </c>
    </row>
    <row r="6184" spans="1:5">
      <c r="A6184">
        <v>6123</v>
      </c>
      <c r="B6184" s="137">
        <f>'Assets-Liab 5-6'!E33</f>
        <v>0</v>
      </c>
      <c r="D6184" s="2" t="str">
        <f t="shared" si="95"/>
        <v>Error?</v>
      </c>
      <c r="E6184" s="2" t="s">
        <v>199</v>
      </c>
    </row>
    <row r="6185" spans="1:5">
      <c r="A6185">
        <v>6124</v>
      </c>
      <c r="B6185" s="137">
        <f>'Assets-Liab 5-6'!F33</f>
        <v>0</v>
      </c>
      <c r="D6185" s="2" t="str">
        <f t="shared" si="95"/>
        <v>Error?</v>
      </c>
      <c r="E6185" s="2" t="s">
        <v>199</v>
      </c>
    </row>
    <row r="6186" spans="1:5">
      <c r="A6186">
        <v>6125</v>
      </c>
      <c r="B6186" s="137">
        <f>'Assets-Liab 5-6'!G33</f>
        <v>0</v>
      </c>
      <c r="D6186" s="2" t="str">
        <f t="shared" si="95"/>
        <v>Error?</v>
      </c>
      <c r="E6186" s="2" t="s">
        <v>199</v>
      </c>
    </row>
    <row r="6187" spans="1:5">
      <c r="A6187">
        <v>6126</v>
      </c>
      <c r="B6187" s="137">
        <f>'Assets-Liab 5-6'!H33</f>
        <v>0</v>
      </c>
      <c r="D6187" s="2" t="str">
        <f t="shared" si="95"/>
        <v>Error?</v>
      </c>
      <c r="E6187" s="2" t="s">
        <v>199</v>
      </c>
    </row>
    <row r="6188" spans="1:5">
      <c r="A6188">
        <v>6127</v>
      </c>
      <c r="B6188" s="137">
        <f>'Assets-Liab 5-6'!I33</f>
        <v>0</v>
      </c>
      <c r="D6188" s="2" t="str">
        <f t="shared" si="95"/>
        <v>Error?</v>
      </c>
      <c r="E6188" s="2" t="s">
        <v>199</v>
      </c>
    </row>
    <row r="6189" spans="1:5">
      <c r="A6189">
        <v>6128</v>
      </c>
      <c r="B6189" s="137">
        <f>'Assets-Liab 5-6'!J33</f>
        <v>0</v>
      </c>
      <c r="D6189" s="2" t="str">
        <f t="shared" si="95"/>
        <v>Error?</v>
      </c>
      <c r="E6189" s="2" t="s">
        <v>199</v>
      </c>
    </row>
    <row r="6190" spans="1:5">
      <c r="A6190">
        <v>6129</v>
      </c>
      <c r="B6190" s="137">
        <f>'Assets-Liab 5-6'!K33</f>
        <v>0</v>
      </c>
      <c r="D6190" s="2" t="str">
        <f t="shared" si="95"/>
        <v>Error?</v>
      </c>
      <c r="E6190" s="2" t="s">
        <v>199</v>
      </c>
    </row>
    <row r="6191" spans="1:5">
      <c r="A6191">
        <v>6130</v>
      </c>
      <c r="B6191" s="137">
        <f>'Assets-Liab 5-6'!J34</f>
        <v>0</v>
      </c>
      <c r="D6191" s="2" t="str">
        <f t="shared" si="95"/>
        <v>Error?</v>
      </c>
      <c r="E6191" s="2" t="s">
        <v>199</v>
      </c>
    </row>
    <row r="6192" spans="1:5">
      <c r="A6192" s="128">
        <v>6131</v>
      </c>
      <c r="D6192" s="2" t="str">
        <f t="shared" si="95"/>
        <v>OK</v>
      </c>
      <c r="E6192" s="2" t="s">
        <v>138</v>
      </c>
    </row>
    <row r="6193" spans="1:5">
      <c r="A6193" s="128">
        <v>6132</v>
      </c>
      <c r="D6193" s="2" t="str">
        <f t="shared" si="95"/>
        <v>OK</v>
      </c>
      <c r="E6193" s="2" t="s">
        <v>138</v>
      </c>
    </row>
    <row r="6194" spans="1:5">
      <c r="A6194" s="128">
        <v>6133</v>
      </c>
      <c r="D6194" s="2" t="str">
        <f t="shared" si="95"/>
        <v>OK</v>
      </c>
      <c r="E6194" s="2" t="s">
        <v>138</v>
      </c>
    </row>
    <row r="6195" spans="1:5">
      <c r="A6195" s="128">
        <v>6134</v>
      </c>
      <c r="D6195" s="2" t="str">
        <f t="shared" si="95"/>
        <v>OK</v>
      </c>
      <c r="E6195" s="2" t="s">
        <v>138</v>
      </c>
    </row>
    <row r="6196" spans="1:5">
      <c r="A6196" s="128">
        <v>6135</v>
      </c>
      <c r="D6196" s="2" t="str">
        <f t="shared" si="95"/>
        <v>OK</v>
      </c>
      <c r="E6196" s="2" t="s">
        <v>138</v>
      </c>
    </row>
    <row r="6197" spans="1:5">
      <c r="A6197" s="128">
        <v>6136</v>
      </c>
      <c r="D6197" s="2" t="str">
        <f t="shared" si="95"/>
        <v>OK</v>
      </c>
      <c r="E6197" s="2" t="s">
        <v>138</v>
      </c>
    </row>
    <row r="6198" spans="1:5">
      <c r="A6198" s="128">
        <v>6137</v>
      </c>
      <c r="D6198" s="2" t="str">
        <f t="shared" si="95"/>
        <v>OK</v>
      </c>
      <c r="E6198" s="2" t="s">
        <v>138</v>
      </c>
    </row>
    <row r="6199" spans="1:5">
      <c r="A6199" s="128">
        <v>6138</v>
      </c>
      <c r="D6199" s="2" t="str">
        <f t="shared" si="95"/>
        <v>OK</v>
      </c>
      <c r="E6199" s="2" t="s">
        <v>138</v>
      </c>
    </row>
    <row r="6200" spans="1:5">
      <c r="A6200" s="128">
        <v>6139</v>
      </c>
      <c r="D6200" s="2" t="str">
        <f t="shared" si="95"/>
        <v>OK</v>
      </c>
      <c r="E6200" s="2" t="s">
        <v>138</v>
      </c>
    </row>
    <row r="6201" spans="1:5">
      <c r="A6201" s="128">
        <v>6140</v>
      </c>
      <c r="D6201" s="2" t="str">
        <f t="shared" si="95"/>
        <v>OK</v>
      </c>
      <c r="E6201" s="2" t="s">
        <v>138</v>
      </c>
    </row>
    <row r="6202" spans="1:5">
      <c r="A6202" s="128">
        <v>6141</v>
      </c>
      <c r="D6202" s="2" t="str">
        <f t="shared" si="95"/>
        <v>OK</v>
      </c>
      <c r="E6202" s="2" t="s">
        <v>138</v>
      </c>
    </row>
    <row r="6203" spans="1:5">
      <c r="A6203" s="128">
        <v>6142</v>
      </c>
      <c r="D6203" s="2" t="str">
        <f t="shared" si="95"/>
        <v>OK</v>
      </c>
      <c r="E6203" s="2" t="s">
        <v>138</v>
      </c>
    </row>
    <row r="6204" spans="1:5">
      <c r="A6204" s="128">
        <v>6143</v>
      </c>
      <c r="D6204" s="2" t="str">
        <f t="shared" si="95"/>
        <v>OK</v>
      </c>
      <c r="E6204" s="2" t="s">
        <v>138</v>
      </c>
    </row>
    <row r="6205" spans="1:5">
      <c r="A6205" s="128">
        <v>6144</v>
      </c>
      <c r="D6205" s="2" t="str">
        <f t="shared" si="95"/>
        <v>OK</v>
      </c>
      <c r="E6205" s="2" t="s">
        <v>138</v>
      </c>
    </row>
    <row r="6206" spans="1:5">
      <c r="A6206" s="128">
        <v>6145</v>
      </c>
      <c r="D6206" s="2" t="str">
        <f t="shared" si="95"/>
        <v>OK</v>
      </c>
      <c r="E6206" s="2" t="s">
        <v>138</v>
      </c>
    </row>
    <row r="6207" spans="1:5">
      <c r="A6207" s="128">
        <v>6146</v>
      </c>
      <c r="D6207" s="2" t="str">
        <f t="shared" ref="D6207:D6270" si="96">IF(ISBLANK(B6207),"OK",IF(A6207-B6207=0,"OK","Error?"))</f>
        <v>OK</v>
      </c>
      <c r="E6207" s="2" t="s">
        <v>138</v>
      </c>
    </row>
    <row r="6208" spans="1:5">
      <c r="A6208" s="128">
        <v>6147</v>
      </c>
      <c r="D6208" s="2" t="str">
        <f t="shared" si="96"/>
        <v>OK</v>
      </c>
      <c r="E6208" s="2" t="s">
        <v>138</v>
      </c>
    </row>
    <row r="6209" spans="1:5">
      <c r="A6209" s="128">
        <v>6148</v>
      </c>
      <c r="D6209" s="2" t="str">
        <f t="shared" si="96"/>
        <v>OK</v>
      </c>
      <c r="E6209" s="2" t="s">
        <v>138</v>
      </c>
    </row>
    <row r="6210" spans="1:5">
      <c r="A6210" s="128">
        <v>6149</v>
      </c>
      <c r="D6210" s="2" t="str">
        <f t="shared" si="96"/>
        <v>OK</v>
      </c>
      <c r="E6210" s="2" t="s">
        <v>138</v>
      </c>
    </row>
    <row r="6211" spans="1:5">
      <c r="A6211" s="128">
        <v>6150</v>
      </c>
      <c r="D6211" s="2" t="str">
        <f t="shared" si="96"/>
        <v>OK</v>
      </c>
      <c r="E6211" s="2" t="s">
        <v>138</v>
      </c>
    </row>
    <row r="6212" spans="1:5">
      <c r="A6212" s="128">
        <v>6151</v>
      </c>
      <c r="D6212" s="2" t="str">
        <f t="shared" si="96"/>
        <v>OK</v>
      </c>
      <c r="E6212" s="2" t="s">
        <v>138</v>
      </c>
    </row>
    <row r="6213" spans="1:5">
      <c r="A6213" s="128">
        <v>6152</v>
      </c>
      <c r="D6213" s="2" t="str">
        <f t="shared" si="96"/>
        <v>OK</v>
      </c>
      <c r="E6213" s="2" t="s">
        <v>138</v>
      </c>
    </row>
    <row r="6214" spans="1:5">
      <c r="A6214">
        <v>6153</v>
      </c>
      <c r="B6214" s="137">
        <f>'Assets-Liab 5-6'!J38</f>
        <v>0</v>
      </c>
      <c r="D6214" s="2" t="str">
        <f t="shared" si="96"/>
        <v>Error?</v>
      </c>
      <c r="E6214" s="2" t="s">
        <v>199</v>
      </c>
    </row>
    <row r="6215" spans="1:5">
      <c r="A6215">
        <v>6154</v>
      </c>
      <c r="B6215" s="137">
        <f>'Assets-Liab 5-6'!J39</f>
        <v>2286096</v>
      </c>
      <c r="D6215" s="2" t="str">
        <f t="shared" si="96"/>
        <v>Error?</v>
      </c>
      <c r="E6215" s="2" t="s">
        <v>199</v>
      </c>
    </row>
    <row r="6216" spans="1:5">
      <c r="A6216">
        <v>6155</v>
      </c>
      <c r="B6216" s="137">
        <f>'Assets-Liab 5-6'!J41</f>
        <v>2286096</v>
      </c>
      <c r="D6216" s="2" t="str">
        <f t="shared" si="96"/>
        <v>Error?</v>
      </c>
      <c r="E6216" s="2" t="s">
        <v>199</v>
      </c>
    </row>
    <row r="6217" spans="1:5">
      <c r="A6217">
        <v>6156</v>
      </c>
      <c r="B6217" s="137">
        <f>'Assets-Liab 5-6'!J4</f>
        <v>2286096</v>
      </c>
      <c r="D6217" s="2" t="str">
        <f t="shared" si="96"/>
        <v>Error?</v>
      </c>
      <c r="E6217" s="2" t="s">
        <v>199</v>
      </c>
    </row>
    <row r="6218" spans="1:5">
      <c r="A6218">
        <v>6157</v>
      </c>
      <c r="B6218" s="137">
        <f>'Assets-Liab 5-6'!J5</f>
        <v>0</v>
      </c>
      <c r="D6218" s="2" t="str">
        <f t="shared" si="96"/>
        <v>Error?</v>
      </c>
      <c r="E6218" s="2" t="s">
        <v>199</v>
      </c>
    </row>
    <row r="6219" spans="1:5">
      <c r="A6219">
        <v>6158</v>
      </c>
      <c r="B6219" s="137">
        <f>'Assets-Liab 5-6'!J6</f>
        <v>0</v>
      </c>
      <c r="D6219" s="2" t="str">
        <f t="shared" si="96"/>
        <v>Error?</v>
      </c>
      <c r="E6219" s="2" t="s">
        <v>199</v>
      </c>
    </row>
    <row r="6220" spans="1:5">
      <c r="A6220">
        <v>6159</v>
      </c>
      <c r="B6220" s="137">
        <f>'Acct Summary 7-8'!J4</f>
        <v>1989247</v>
      </c>
      <c r="D6220" s="2" t="str">
        <f t="shared" si="96"/>
        <v>Error?</v>
      </c>
      <c r="E6220" s="2" t="s">
        <v>199</v>
      </c>
    </row>
    <row r="6221" spans="1:5">
      <c r="A6221">
        <v>6160</v>
      </c>
      <c r="B6221" s="137">
        <f>'Acct Summary 7-8'!J6</f>
        <v>0</v>
      </c>
      <c r="D6221" s="2" t="str">
        <f t="shared" si="96"/>
        <v>Error?</v>
      </c>
      <c r="E6221" s="2" t="s">
        <v>199</v>
      </c>
    </row>
    <row r="6222" spans="1:5">
      <c r="A6222">
        <v>6161</v>
      </c>
      <c r="B6222" s="137">
        <f>'Acct Summary 7-8'!J7</f>
        <v>0</v>
      </c>
      <c r="D6222" s="2" t="str">
        <f t="shared" si="96"/>
        <v>Error?</v>
      </c>
      <c r="E6222" s="2" t="s">
        <v>199</v>
      </c>
    </row>
    <row r="6223" spans="1:5">
      <c r="A6223">
        <v>6162</v>
      </c>
      <c r="B6223" s="137">
        <f>'Acct Summary 7-8'!J8</f>
        <v>1989247</v>
      </c>
      <c r="D6223" s="2" t="str">
        <f t="shared" si="96"/>
        <v>Error?</v>
      </c>
      <c r="E6223" s="2" t="s">
        <v>199</v>
      </c>
    </row>
    <row r="6224" spans="1:5">
      <c r="A6224">
        <v>6163</v>
      </c>
      <c r="B6224" s="137">
        <f>'Acct Summary 7-8'!J9</f>
        <v>0</v>
      </c>
      <c r="D6224" s="2" t="str">
        <f t="shared" si="96"/>
        <v>Error?</v>
      </c>
      <c r="E6224" s="2" t="s">
        <v>199</v>
      </c>
    </row>
    <row r="6225" spans="1:5">
      <c r="A6225">
        <v>6164</v>
      </c>
      <c r="B6225" s="137">
        <f>'Acct Summary 7-8'!J10</f>
        <v>1989247</v>
      </c>
      <c r="D6225" s="2" t="str">
        <f t="shared" si="96"/>
        <v>Error?</v>
      </c>
      <c r="E6225" s="2" t="s">
        <v>199</v>
      </c>
    </row>
    <row r="6226" spans="1:5">
      <c r="A6226">
        <v>6165</v>
      </c>
      <c r="B6226" s="137">
        <f>'Acct Summary 7-8'!J16</f>
        <v>0</v>
      </c>
      <c r="D6226" s="2" t="str">
        <f t="shared" si="96"/>
        <v>Error?</v>
      </c>
      <c r="E6226" s="2" t="s">
        <v>199</v>
      </c>
    </row>
    <row r="6227" spans="1:5">
      <c r="A6227">
        <v>6166</v>
      </c>
      <c r="B6227" s="137">
        <f>'Acct Summary 7-8'!J17</f>
        <v>1932061</v>
      </c>
      <c r="D6227" s="2" t="str">
        <f t="shared" si="96"/>
        <v>Error?</v>
      </c>
      <c r="E6227" s="2" t="s">
        <v>199</v>
      </c>
    </row>
    <row r="6228" spans="1:5">
      <c r="A6228">
        <v>6167</v>
      </c>
      <c r="B6228" s="137">
        <f>'Acct Summary 7-8'!J18</f>
        <v>0</v>
      </c>
      <c r="D6228" s="2" t="str">
        <f t="shared" si="96"/>
        <v>Error?</v>
      </c>
      <c r="E6228" s="2" t="s">
        <v>199</v>
      </c>
    </row>
    <row r="6229" spans="1:5">
      <c r="A6229">
        <v>6168</v>
      </c>
      <c r="B6229" s="137">
        <f>'Acct Summary 7-8'!J19</f>
        <v>1932061</v>
      </c>
      <c r="D6229" s="2" t="str">
        <f t="shared" si="96"/>
        <v>Error?</v>
      </c>
      <c r="E6229" s="2" t="s">
        <v>199</v>
      </c>
    </row>
    <row r="6230" spans="1:5">
      <c r="A6230">
        <v>6169</v>
      </c>
      <c r="B6230" s="137">
        <f>'Acct Summary 7-8'!J20</f>
        <v>57186</v>
      </c>
      <c r="D6230" s="2" t="str">
        <f t="shared" si="96"/>
        <v>Error?</v>
      </c>
      <c r="E6230" s="2" t="s">
        <v>199</v>
      </c>
    </row>
    <row r="6231" spans="1:5">
      <c r="A6231">
        <v>6170</v>
      </c>
      <c r="B6231" s="137">
        <f>'Acct Summary 7-8'!J26</f>
        <v>0</v>
      </c>
      <c r="D6231" s="2" t="str">
        <f t="shared" si="96"/>
        <v>Error?</v>
      </c>
      <c r="E6231" s="2" t="s">
        <v>199</v>
      </c>
    </row>
    <row r="6232" spans="1:5">
      <c r="A6232">
        <v>6171</v>
      </c>
      <c r="B6232" s="137">
        <f>'Acct Summary 7-8'!J28</f>
        <v>0</v>
      </c>
      <c r="D6232" s="2" t="str">
        <f t="shared" si="96"/>
        <v>Error?</v>
      </c>
      <c r="E6232" s="2" t="s">
        <v>199</v>
      </c>
    </row>
    <row r="6233" spans="1:5">
      <c r="A6233">
        <v>6172</v>
      </c>
      <c r="B6233" s="137">
        <f>'Acct Summary 7-8'!J33</f>
        <v>0</v>
      </c>
      <c r="D6233" s="2" t="str">
        <f t="shared" si="96"/>
        <v>Error?</v>
      </c>
      <c r="E6233" s="2" t="s">
        <v>199</v>
      </c>
    </row>
    <row r="6234" spans="1:5">
      <c r="A6234">
        <v>6173</v>
      </c>
      <c r="B6234" s="137">
        <f>'Acct Summary 7-8'!J34</f>
        <v>0</v>
      </c>
      <c r="D6234" s="2" t="str">
        <f t="shared" si="96"/>
        <v>Error?</v>
      </c>
      <c r="E6234" s="2" t="s">
        <v>199</v>
      </c>
    </row>
    <row r="6235" spans="1:5">
      <c r="A6235">
        <v>6174</v>
      </c>
      <c r="B6235" s="137">
        <f>'Acct Summary 7-8'!J35</f>
        <v>0</v>
      </c>
      <c r="D6235" s="2" t="str">
        <f t="shared" si="96"/>
        <v>Error?</v>
      </c>
      <c r="E6235" s="2" t="s">
        <v>199</v>
      </c>
    </row>
    <row r="6236" spans="1:5">
      <c r="A6236">
        <v>6175</v>
      </c>
      <c r="B6236" s="137">
        <f>'Acct Summary 7-8'!J36</f>
        <v>0</v>
      </c>
      <c r="D6236" s="2" t="str">
        <f t="shared" si="96"/>
        <v>Error?</v>
      </c>
      <c r="E6236" s="2" t="s">
        <v>199</v>
      </c>
    </row>
    <row r="6237" spans="1:5">
      <c r="A6237">
        <v>6176</v>
      </c>
      <c r="B6237" s="137">
        <f>'Acct Summary 7-8'!J43</f>
        <v>0</v>
      </c>
      <c r="D6237" s="2" t="str">
        <f t="shared" si="96"/>
        <v>Error?</v>
      </c>
      <c r="E6237" s="2" t="s">
        <v>199</v>
      </c>
    </row>
    <row r="6238" spans="1:5">
      <c r="A6238">
        <v>6177</v>
      </c>
      <c r="B6238" s="137">
        <f>'Acct Summary 7-8'!J44</f>
        <v>0</v>
      </c>
      <c r="D6238" s="2" t="str">
        <f t="shared" si="96"/>
        <v>Error?</v>
      </c>
      <c r="E6238" s="2" t="s">
        <v>199</v>
      </c>
    </row>
    <row r="6239" spans="1:5">
      <c r="A6239">
        <v>6178</v>
      </c>
      <c r="B6239" s="137">
        <f>'Acct Summary 7-8'!J50</f>
        <v>0</v>
      </c>
      <c r="D6239" s="2" t="str">
        <f t="shared" si="96"/>
        <v>Error?</v>
      </c>
      <c r="E6239" s="2" t="s">
        <v>199</v>
      </c>
    </row>
    <row r="6240" spans="1:5">
      <c r="A6240">
        <v>6179</v>
      </c>
      <c r="B6240" s="137">
        <f>'Acct Summary 7-8'!C54</f>
        <v>0</v>
      </c>
      <c r="D6240" s="2" t="str">
        <f t="shared" si="96"/>
        <v>Error?</v>
      </c>
      <c r="E6240" s="2" t="s">
        <v>199</v>
      </c>
    </row>
    <row r="6241" spans="1:5">
      <c r="A6241">
        <v>6180</v>
      </c>
      <c r="B6241" s="137">
        <f>'Acct Summary 7-8'!D54</f>
        <v>0</v>
      </c>
      <c r="D6241" s="2" t="str">
        <f t="shared" si="96"/>
        <v>Error?</v>
      </c>
      <c r="E6241" s="2" t="s">
        <v>199</v>
      </c>
    </row>
    <row r="6242" spans="1:5">
      <c r="A6242">
        <v>6181</v>
      </c>
      <c r="B6242" s="137">
        <f>'Acct Summary 7-8'!H54</f>
        <v>0</v>
      </c>
      <c r="D6242" s="2" t="str">
        <f t="shared" si="96"/>
        <v>Error?</v>
      </c>
      <c r="E6242" s="2" t="s">
        <v>199</v>
      </c>
    </row>
    <row r="6243" spans="1:5">
      <c r="A6243">
        <v>6182</v>
      </c>
      <c r="B6243" s="137">
        <f>'Acct Summary 7-8'!C58</f>
        <v>0</v>
      </c>
      <c r="D6243" s="2" t="str">
        <f t="shared" si="96"/>
        <v>Error?</v>
      </c>
      <c r="E6243" s="2" t="s">
        <v>199</v>
      </c>
    </row>
    <row r="6244" spans="1:5">
      <c r="A6244">
        <v>6183</v>
      </c>
      <c r="B6244" s="137">
        <f>'Acct Summary 7-8'!D58</f>
        <v>0</v>
      </c>
      <c r="D6244" s="2" t="str">
        <f t="shared" si="96"/>
        <v>Error?</v>
      </c>
      <c r="E6244" s="2" t="s">
        <v>199</v>
      </c>
    </row>
    <row r="6245" spans="1:5">
      <c r="A6245">
        <v>6184</v>
      </c>
      <c r="B6245" s="137">
        <f>'Acct Summary 7-8'!H58</f>
        <v>0</v>
      </c>
      <c r="D6245" s="2" t="str">
        <f t="shared" si="96"/>
        <v>Error?</v>
      </c>
      <c r="E6245" s="2" t="s">
        <v>199</v>
      </c>
    </row>
    <row r="6246" spans="1:5">
      <c r="A6246">
        <v>6185</v>
      </c>
      <c r="B6246" s="137">
        <f>'Acct Summary 7-8'!C62</f>
        <v>0</v>
      </c>
      <c r="D6246" s="2" t="str">
        <f t="shared" si="96"/>
        <v>Error?</v>
      </c>
      <c r="E6246" s="2" t="s">
        <v>199</v>
      </c>
    </row>
    <row r="6247" spans="1:5">
      <c r="A6247">
        <v>6186</v>
      </c>
      <c r="B6247" s="137">
        <f>'Acct Summary 7-8'!D62</f>
        <v>0</v>
      </c>
      <c r="D6247" s="2" t="str">
        <f t="shared" si="96"/>
        <v>Error?</v>
      </c>
      <c r="E6247" s="2" t="s">
        <v>199</v>
      </c>
    </row>
    <row r="6248" spans="1:5">
      <c r="A6248">
        <v>6187</v>
      </c>
      <c r="B6248" s="137">
        <f>'Acct Summary 7-8'!C66</f>
        <v>0</v>
      </c>
      <c r="D6248" s="2" t="str">
        <f t="shared" si="96"/>
        <v>Error?</v>
      </c>
      <c r="E6248" s="2" t="s">
        <v>199</v>
      </c>
    </row>
    <row r="6249" spans="1:5">
      <c r="A6249">
        <v>6188</v>
      </c>
      <c r="B6249" s="137">
        <f>'Acct Summary 7-8'!D66</f>
        <v>0</v>
      </c>
      <c r="D6249" s="2" t="str">
        <f t="shared" si="96"/>
        <v>Error?</v>
      </c>
      <c r="E6249" s="2" t="s">
        <v>199</v>
      </c>
    </row>
    <row r="6250" spans="1:5">
      <c r="A6250">
        <v>6189</v>
      </c>
      <c r="B6250" s="137">
        <f>'Acct Summary 7-8'!C70</f>
        <v>0</v>
      </c>
      <c r="D6250" s="2" t="str">
        <f t="shared" si="96"/>
        <v>Error?</v>
      </c>
      <c r="E6250" s="2" t="s">
        <v>199</v>
      </c>
    </row>
    <row r="6251" spans="1:5">
      <c r="A6251">
        <v>6190</v>
      </c>
      <c r="B6251" s="137">
        <f>'Acct Summary 7-8'!D70</f>
        <v>0</v>
      </c>
      <c r="D6251" s="2" t="str">
        <f t="shared" si="96"/>
        <v>Error?</v>
      </c>
      <c r="E6251" s="2" t="s">
        <v>199</v>
      </c>
    </row>
    <row r="6252" spans="1:5">
      <c r="A6252">
        <v>6191</v>
      </c>
      <c r="B6252" s="137">
        <f>'Acct Summary 7-8'!C74</f>
        <v>0</v>
      </c>
      <c r="D6252" s="2" t="str">
        <f t="shared" si="96"/>
        <v>Error?</v>
      </c>
      <c r="E6252" s="2" t="s">
        <v>199</v>
      </c>
    </row>
    <row r="6253" spans="1:5">
      <c r="A6253">
        <v>6192</v>
      </c>
      <c r="B6253" s="137">
        <f>'Acct Summary 7-8'!D74</f>
        <v>0</v>
      </c>
      <c r="D6253" s="2" t="str">
        <f t="shared" si="96"/>
        <v>Error?</v>
      </c>
      <c r="E6253" s="2" t="s">
        <v>199</v>
      </c>
    </row>
    <row r="6254" spans="1:5">
      <c r="A6254">
        <v>6193</v>
      </c>
      <c r="B6254" s="137">
        <f>'Acct Summary 7-8'!F74</f>
        <v>0</v>
      </c>
      <c r="D6254" s="2" t="str">
        <f t="shared" si="96"/>
        <v>Error?</v>
      </c>
      <c r="E6254" s="2" t="s">
        <v>199</v>
      </c>
    </row>
    <row r="6255" spans="1:5">
      <c r="A6255">
        <v>6194</v>
      </c>
      <c r="B6255" s="137">
        <f>'Acct Summary 7-8'!G74</f>
        <v>0</v>
      </c>
      <c r="D6255" s="2" t="str">
        <f t="shared" si="96"/>
        <v>Error?</v>
      </c>
      <c r="E6255" s="2" t="s">
        <v>199</v>
      </c>
    </row>
    <row r="6256" spans="1:5">
      <c r="A6256">
        <v>6195</v>
      </c>
      <c r="B6256" s="137">
        <f>'Acct Summary 7-8'!H74</f>
        <v>0</v>
      </c>
      <c r="D6256" s="2" t="str">
        <f t="shared" si="96"/>
        <v>Error?</v>
      </c>
      <c r="E6256" s="2" t="s">
        <v>199</v>
      </c>
    </row>
    <row r="6257" spans="1:5">
      <c r="A6257">
        <v>6196</v>
      </c>
      <c r="B6257" s="137">
        <f>'Acct Summary 7-8'!K74</f>
        <v>0</v>
      </c>
      <c r="D6257" s="2" t="str">
        <f t="shared" si="96"/>
        <v>Error?</v>
      </c>
      <c r="E6257" s="2" t="s">
        <v>199</v>
      </c>
    </row>
    <row r="6258" spans="1:5">
      <c r="A6258">
        <v>6197</v>
      </c>
      <c r="B6258" s="137">
        <f>'Acct Summary 7-8'!G75</f>
        <v>0</v>
      </c>
      <c r="D6258" s="2" t="str">
        <f t="shared" si="96"/>
        <v>Error?</v>
      </c>
      <c r="E6258" s="2" t="s">
        <v>199</v>
      </c>
    </row>
    <row r="6259" spans="1:5">
      <c r="A6259">
        <v>6198</v>
      </c>
      <c r="B6259" s="137">
        <f>'Acct Summary 7-8'!I75</f>
        <v>0</v>
      </c>
      <c r="D6259" s="2" t="str">
        <f t="shared" si="96"/>
        <v>Error?</v>
      </c>
      <c r="E6259" s="2" t="s">
        <v>199</v>
      </c>
    </row>
    <row r="6260" spans="1:5">
      <c r="A6260">
        <v>6199</v>
      </c>
      <c r="B6260" s="137">
        <f>'Acct Summary 7-8'!J75</f>
        <v>0</v>
      </c>
      <c r="D6260" s="2" t="str">
        <f t="shared" si="96"/>
        <v>Error?</v>
      </c>
      <c r="E6260" s="2" t="s">
        <v>199</v>
      </c>
    </row>
    <row r="6261" spans="1:5">
      <c r="A6261">
        <v>6200</v>
      </c>
      <c r="B6261" s="137">
        <f>'Acct Summary 7-8'!J76</f>
        <v>0</v>
      </c>
      <c r="D6261" s="2" t="str">
        <f t="shared" si="96"/>
        <v>Error?</v>
      </c>
      <c r="E6261" s="2" t="s">
        <v>199</v>
      </c>
    </row>
    <row r="6262" spans="1:5">
      <c r="A6262">
        <v>6201</v>
      </c>
      <c r="B6262" s="137">
        <f>'Acct Summary 7-8'!J77</f>
        <v>0</v>
      </c>
      <c r="D6262" s="2" t="str">
        <f t="shared" si="96"/>
        <v>Error?</v>
      </c>
      <c r="E6262" s="2" t="s">
        <v>199</v>
      </c>
    </row>
    <row r="6263" spans="1:5">
      <c r="A6263">
        <v>6202</v>
      </c>
      <c r="B6263" s="137">
        <f>'Acct Summary 7-8'!J78</f>
        <v>57186</v>
      </c>
      <c r="D6263" s="2" t="str">
        <f t="shared" si="96"/>
        <v>Error?</v>
      </c>
      <c r="E6263" s="2" t="s">
        <v>199</v>
      </c>
    </row>
    <row r="6264" spans="1:5">
      <c r="A6264">
        <v>6203</v>
      </c>
      <c r="B6264" s="137">
        <f>'Acct Summary 7-8'!J79</f>
        <v>2228910</v>
      </c>
      <c r="D6264" s="2" t="str">
        <f t="shared" si="96"/>
        <v>Error?</v>
      </c>
      <c r="E6264" s="2" t="s">
        <v>199</v>
      </c>
    </row>
    <row r="6265" spans="1:5">
      <c r="A6265">
        <v>6204</v>
      </c>
      <c r="B6265" s="137">
        <f>'Acct Summary 7-8'!J80</f>
        <v>0</v>
      </c>
      <c r="D6265" s="2" t="str">
        <f t="shared" si="96"/>
        <v>Error?</v>
      </c>
      <c r="E6265" s="2" t="s">
        <v>199</v>
      </c>
    </row>
    <row r="6266" spans="1:5">
      <c r="A6266">
        <v>6205</v>
      </c>
      <c r="B6266" s="137">
        <f>'Acct Summary 7-8'!J81</f>
        <v>2286096</v>
      </c>
      <c r="D6266" s="2" t="str">
        <f t="shared" si="96"/>
        <v>Error?</v>
      </c>
      <c r="E6266" s="2" t="s">
        <v>199</v>
      </c>
    </row>
    <row r="6267" spans="1:5">
      <c r="A6267">
        <v>6206</v>
      </c>
      <c r="B6267" s="137">
        <f>'Acct Summary 7-8'!C82</f>
        <v>4149657</v>
      </c>
      <c r="D6267" s="2" t="str">
        <f t="shared" si="96"/>
        <v>Error?</v>
      </c>
      <c r="E6267" s="2" t="s">
        <v>199</v>
      </c>
    </row>
    <row r="6268" spans="1:5">
      <c r="A6268">
        <v>6207</v>
      </c>
      <c r="B6268" s="137">
        <f>'Acct Summary 7-8'!D82</f>
        <v>-706256</v>
      </c>
      <c r="D6268" s="2" t="str">
        <f t="shared" si="96"/>
        <v>Error?</v>
      </c>
      <c r="E6268" s="2" t="s">
        <v>199</v>
      </c>
    </row>
    <row r="6269" spans="1:5">
      <c r="A6269">
        <v>6208</v>
      </c>
      <c r="B6269" s="137">
        <f>'Acct Summary 7-8'!E82</f>
        <v>-323199</v>
      </c>
      <c r="D6269" s="2" t="str">
        <f t="shared" si="96"/>
        <v>Error?</v>
      </c>
      <c r="E6269" s="2" t="s">
        <v>199</v>
      </c>
    </row>
    <row r="6270" spans="1:5">
      <c r="A6270">
        <v>6209</v>
      </c>
      <c r="B6270" s="137">
        <f>'Acct Summary 7-8'!F82</f>
        <v>-1305593</v>
      </c>
      <c r="D6270" s="2" t="str">
        <f t="shared" si="96"/>
        <v>Error?</v>
      </c>
      <c r="E6270" s="2" t="s">
        <v>199</v>
      </c>
    </row>
    <row r="6271" spans="1:5">
      <c r="A6271">
        <v>6210</v>
      </c>
      <c r="B6271" s="137">
        <f>'Acct Summary 7-8'!G82</f>
        <v>-879939</v>
      </c>
      <c r="D6271" s="2" t="str">
        <f t="shared" ref="D6271:D6334" si="97">IF(ISBLANK(B6271),"OK",IF(A6271-B6271=0,"OK","Error?"))</f>
        <v>Error?</v>
      </c>
      <c r="E6271" s="2" t="s">
        <v>199</v>
      </c>
    </row>
    <row r="6272" spans="1:5">
      <c r="A6272">
        <v>6211</v>
      </c>
      <c r="B6272" s="137">
        <f>'Acct Summary 7-8'!H82</f>
        <v>33387</v>
      </c>
      <c r="D6272" s="2" t="str">
        <f t="shared" si="97"/>
        <v>Error?</v>
      </c>
      <c r="E6272" s="2" t="s">
        <v>199</v>
      </c>
    </row>
    <row r="6273" spans="1:5">
      <c r="A6273">
        <v>6212</v>
      </c>
      <c r="B6273" s="137">
        <f>'Acct Summary 7-8'!I82</f>
        <v>394918</v>
      </c>
      <c r="D6273" s="2" t="str">
        <f t="shared" si="97"/>
        <v>Error?</v>
      </c>
      <c r="E6273" s="2" t="s">
        <v>199</v>
      </c>
    </row>
    <row r="6274" spans="1:5">
      <c r="A6274">
        <v>6213</v>
      </c>
      <c r="B6274" s="137">
        <f>'Acct Summary 7-8'!J82</f>
        <v>57186</v>
      </c>
      <c r="D6274" s="2" t="str">
        <f t="shared" si="97"/>
        <v>Error?</v>
      </c>
      <c r="E6274" s="2" t="s">
        <v>199</v>
      </c>
    </row>
    <row r="6275" spans="1:5">
      <c r="A6275">
        <v>6214</v>
      </c>
      <c r="B6275" s="137">
        <f>'Acct Summary 7-8'!K82</f>
        <v>412073</v>
      </c>
      <c r="D6275" s="2" t="str">
        <f t="shared" si="97"/>
        <v>Error?</v>
      </c>
      <c r="E6275" s="2" t="s">
        <v>199</v>
      </c>
    </row>
    <row r="6276" spans="1:5">
      <c r="A6276">
        <v>6215</v>
      </c>
      <c r="B6276" s="137">
        <f>'Acct Summary 7-8'!C83</f>
        <v>0.19528050363004698</v>
      </c>
      <c r="D6276" s="2" t="str">
        <f t="shared" si="97"/>
        <v>Error?</v>
      </c>
      <c r="E6276" s="2" t="s">
        <v>199</v>
      </c>
    </row>
    <row r="6277" spans="1:5">
      <c r="A6277">
        <v>6216</v>
      </c>
      <c r="B6277" s="137">
        <f>'Acct Summary 7-8'!D83</f>
        <v>-0.19169454639416461</v>
      </c>
      <c r="D6277" s="2" t="str">
        <f t="shared" si="97"/>
        <v>Error?</v>
      </c>
      <c r="E6277" s="2" t="s">
        <v>199</v>
      </c>
    </row>
    <row r="6278" spans="1:5">
      <c r="A6278">
        <v>6217</v>
      </c>
      <c r="B6278" s="137">
        <f>'Acct Summary 7-8'!E83</f>
        <v>-9.0919141351571225E-2</v>
      </c>
      <c r="D6278" s="2" t="str">
        <f t="shared" si="97"/>
        <v>Error?</v>
      </c>
      <c r="E6278" s="2" t="s">
        <v>199</v>
      </c>
    </row>
    <row r="6279" spans="1:5">
      <c r="A6279">
        <v>6218</v>
      </c>
      <c r="B6279" s="137">
        <f>'Acct Summary 7-8'!F83</f>
        <v>-0.31072230948641061</v>
      </c>
      <c r="D6279" s="2" t="str">
        <f t="shared" si="97"/>
        <v>Error?</v>
      </c>
      <c r="E6279" s="2" t="s">
        <v>199</v>
      </c>
    </row>
    <row r="6280" spans="1:5">
      <c r="A6280">
        <v>6219</v>
      </c>
      <c r="B6280" s="137">
        <f>'Acct Summary 7-8'!G83</f>
        <v>-2.5354088630208031</v>
      </c>
      <c r="D6280" s="2" t="str">
        <f t="shared" si="97"/>
        <v>Error?</v>
      </c>
      <c r="E6280" s="2" t="s">
        <v>199</v>
      </c>
    </row>
    <row r="6281" spans="1:5">
      <c r="A6281">
        <v>6220</v>
      </c>
      <c r="B6281" s="137">
        <f>'Acct Summary 7-8'!H83</f>
        <v>1.3947659202041997E-2</v>
      </c>
      <c r="D6281" s="2" t="str">
        <f t="shared" si="97"/>
        <v>Error?</v>
      </c>
      <c r="E6281" s="2" t="s">
        <v>199</v>
      </c>
    </row>
    <row r="6282" spans="1:5">
      <c r="A6282">
        <v>6221</v>
      </c>
      <c r="B6282" s="137">
        <f>'Acct Summary 7-8'!I83</f>
        <v>7.4787342066521156E-2</v>
      </c>
      <c r="D6282" s="2" t="str">
        <f t="shared" si="97"/>
        <v>Error?</v>
      </c>
      <c r="E6282" s="2" t="s">
        <v>199</v>
      </c>
    </row>
    <row r="6283" spans="1:5">
      <c r="A6283">
        <v>6222</v>
      </c>
      <c r="B6283" s="137">
        <f>'Acct Summary 7-8'!J83</f>
        <v>2.50146975455099E-2</v>
      </c>
      <c r="D6283" s="2" t="str">
        <f t="shared" si="97"/>
        <v>Error?</v>
      </c>
      <c r="E6283" s="2" t="s">
        <v>199</v>
      </c>
    </row>
    <row r="6284" spans="1:5">
      <c r="A6284">
        <v>6223</v>
      </c>
      <c r="B6284" s="137">
        <f>'Acct Summary 7-8'!K83</f>
        <v>0.12829862878666878</v>
      </c>
      <c r="D6284" s="2" t="str">
        <f t="shared" si="97"/>
        <v>Error?</v>
      </c>
      <c r="E6284" s="2" t="s">
        <v>199</v>
      </c>
    </row>
    <row r="6285" spans="1:5">
      <c r="A6285">
        <v>6224</v>
      </c>
      <c r="B6285" s="137">
        <f>'Acct Summary 7-8'!E37</f>
        <v>159700</v>
      </c>
      <c r="D6285" s="2" t="str">
        <f t="shared" si="97"/>
        <v>Error?</v>
      </c>
      <c r="E6285" s="2" t="s">
        <v>199</v>
      </c>
    </row>
    <row r="6286" spans="1:5">
      <c r="A6286">
        <v>6225</v>
      </c>
      <c r="B6286" s="137">
        <f>'Acct Summary 7-8'!E38</f>
        <v>19614</v>
      </c>
      <c r="D6286" s="2" t="str">
        <f t="shared" si="97"/>
        <v>Error?</v>
      </c>
      <c r="E6286" s="2" t="s">
        <v>199</v>
      </c>
    </row>
    <row r="6287" spans="1:5">
      <c r="A6287">
        <v>6226</v>
      </c>
      <c r="B6287" s="137">
        <f>'Acct Summary 7-8'!E39</f>
        <v>175000</v>
      </c>
      <c r="D6287" s="2" t="str">
        <f t="shared" si="97"/>
        <v>Error?</v>
      </c>
      <c r="E6287" s="2" t="s">
        <v>199</v>
      </c>
    </row>
    <row r="6288" spans="1:5">
      <c r="A6288">
        <v>6227</v>
      </c>
      <c r="B6288" s="137">
        <f>'Acct Summary 7-8'!E40</f>
        <v>137136</v>
      </c>
      <c r="D6288" s="2" t="str">
        <f t="shared" si="97"/>
        <v>Error?</v>
      </c>
      <c r="E6288" s="2" t="s">
        <v>199</v>
      </c>
    </row>
    <row r="6289" spans="1:5">
      <c r="A6289">
        <v>6228</v>
      </c>
      <c r="B6289" s="137">
        <f>'Acct Summary 7-8'!H41</f>
        <v>0</v>
      </c>
      <c r="D6289" s="2" t="str">
        <f t="shared" si="97"/>
        <v>Error?</v>
      </c>
      <c r="E6289" s="2" t="s">
        <v>199</v>
      </c>
    </row>
    <row r="6290" spans="1:5">
      <c r="A6290">
        <v>6229</v>
      </c>
      <c r="B6290" s="137">
        <f>'Acct Summary 7-8'!C42</f>
        <v>0</v>
      </c>
      <c r="D6290" s="2" t="str">
        <f t="shared" si="97"/>
        <v>Error?</v>
      </c>
      <c r="E6290" s="2" t="s">
        <v>199</v>
      </c>
    </row>
    <row r="6291" spans="1:5">
      <c r="A6291">
        <v>6230</v>
      </c>
      <c r="B6291" s="137">
        <f>'Acct Summary 7-8'!D42</f>
        <v>0</v>
      </c>
      <c r="D6291" s="2" t="str">
        <f t="shared" si="97"/>
        <v>Error?</v>
      </c>
      <c r="E6291" s="2" t="s">
        <v>199</v>
      </c>
    </row>
    <row r="6292" spans="1:5">
      <c r="A6292">
        <v>6231</v>
      </c>
      <c r="B6292" s="137">
        <f>'Acct Summary 7-8'!E42</f>
        <v>0</v>
      </c>
      <c r="D6292" s="2" t="str">
        <f t="shared" si="97"/>
        <v>Error?</v>
      </c>
      <c r="E6292" s="2" t="s">
        <v>199</v>
      </c>
    </row>
    <row r="6293" spans="1:5">
      <c r="A6293">
        <v>6232</v>
      </c>
      <c r="B6293" s="137">
        <f>'Acct Summary 7-8'!F42</f>
        <v>0</v>
      </c>
      <c r="D6293" s="2" t="str">
        <f t="shared" si="97"/>
        <v>Error?</v>
      </c>
      <c r="E6293" s="2" t="s">
        <v>199</v>
      </c>
    </row>
    <row r="6294" spans="1:5">
      <c r="A6294">
        <v>6233</v>
      </c>
      <c r="B6294" s="137">
        <f>'Acct Summary 7-8'!G42</f>
        <v>0</v>
      </c>
      <c r="D6294" s="2" t="str">
        <f t="shared" si="97"/>
        <v>Error?</v>
      </c>
      <c r="E6294" s="2" t="s">
        <v>199</v>
      </c>
    </row>
    <row r="6295" spans="1:5">
      <c r="A6295">
        <v>6234</v>
      </c>
      <c r="B6295" s="137">
        <f>'Acct Summary 7-8'!H42</f>
        <v>0</v>
      </c>
      <c r="D6295" s="2" t="str">
        <f t="shared" si="97"/>
        <v>Error?</v>
      </c>
      <c r="E6295" s="2" t="s">
        <v>199</v>
      </c>
    </row>
    <row r="6296" spans="1:5">
      <c r="A6296">
        <v>6235</v>
      </c>
      <c r="B6296" s="137">
        <f>'Acct Summary 7-8'!K42</f>
        <v>0</v>
      </c>
      <c r="D6296" s="2" t="str">
        <f t="shared" si="97"/>
        <v>Error?</v>
      </c>
      <c r="E6296" s="2" t="s">
        <v>199</v>
      </c>
    </row>
    <row r="6297" spans="1:5">
      <c r="A6297">
        <v>6236</v>
      </c>
      <c r="B6297" s="137">
        <f>'Assets-Liab 5-6'!M15</f>
        <v>0</v>
      </c>
      <c r="D6297" s="2" t="str">
        <f t="shared" si="97"/>
        <v>Error?</v>
      </c>
      <c r="E6297" s="2" t="s">
        <v>199</v>
      </c>
    </row>
    <row r="6298" spans="1:5">
      <c r="A6298">
        <v>6237</v>
      </c>
      <c r="B6298" s="137">
        <f>'Revenues 9-14'!J5</f>
        <v>1955476</v>
      </c>
      <c r="D6298" s="2" t="str">
        <f t="shared" si="97"/>
        <v>Error?</v>
      </c>
      <c r="E6298" s="2" t="s">
        <v>199</v>
      </c>
    </row>
    <row r="6299" spans="1:5">
      <c r="A6299">
        <v>6238</v>
      </c>
      <c r="B6299" s="137">
        <f>'Revenues 9-14'!H7</f>
        <v>0</v>
      </c>
      <c r="D6299" s="2" t="str">
        <f t="shared" si="97"/>
        <v>Error?</v>
      </c>
      <c r="E6299" s="2" t="s">
        <v>199</v>
      </c>
    </row>
    <row r="6300" spans="1:5">
      <c r="A6300">
        <v>6239</v>
      </c>
      <c r="B6300" s="137">
        <f>'Revenues 9-14'!J11</f>
        <v>0</v>
      </c>
      <c r="D6300" s="2" t="str">
        <f t="shared" si="97"/>
        <v>Error?</v>
      </c>
      <c r="E6300" s="2" t="s">
        <v>199</v>
      </c>
    </row>
    <row r="6301" spans="1:5">
      <c r="A6301">
        <v>6240</v>
      </c>
      <c r="B6301" s="137">
        <f>'Revenues 9-14'!J12</f>
        <v>1955476</v>
      </c>
      <c r="D6301" s="2" t="str">
        <f t="shared" si="97"/>
        <v>Error?</v>
      </c>
      <c r="E6301" s="2" t="s">
        <v>199</v>
      </c>
    </row>
    <row r="6302" spans="1:5">
      <c r="A6302">
        <v>6241</v>
      </c>
      <c r="B6302" s="137">
        <f>'Revenues 9-14'!J14</f>
        <v>0</v>
      </c>
      <c r="D6302" s="2" t="str">
        <f t="shared" si="97"/>
        <v>Error?</v>
      </c>
      <c r="E6302" s="2" t="s">
        <v>199</v>
      </c>
    </row>
    <row r="6303" spans="1:5">
      <c r="A6303">
        <v>6242</v>
      </c>
      <c r="B6303" s="137">
        <f>'Revenues 9-14'!J15</f>
        <v>0</v>
      </c>
      <c r="D6303" s="2" t="str">
        <f t="shared" si="97"/>
        <v>Error?</v>
      </c>
      <c r="E6303" s="2" t="s">
        <v>199</v>
      </c>
    </row>
    <row r="6304" spans="1:5">
      <c r="A6304">
        <v>6243</v>
      </c>
      <c r="B6304" s="137">
        <f>'Revenues 9-14'!J16</f>
        <v>0</v>
      </c>
      <c r="D6304" s="2" t="str">
        <f t="shared" si="97"/>
        <v>Error?</v>
      </c>
      <c r="E6304" s="2" t="s">
        <v>199</v>
      </c>
    </row>
    <row r="6305" spans="1:5">
      <c r="A6305">
        <v>6244</v>
      </c>
      <c r="B6305" s="137">
        <f>'Revenues 9-14'!J17</f>
        <v>0</v>
      </c>
      <c r="D6305" s="2" t="str">
        <f t="shared" si="97"/>
        <v>Error?</v>
      </c>
      <c r="E6305" s="2" t="s">
        <v>199</v>
      </c>
    </row>
    <row r="6306" spans="1:5">
      <c r="A6306">
        <v>6245</v>
      </c>
      <c r="B6306" s="137">
        <f>'Revenues 9-14'!J18</f>
        <v>0</v>
      </c>
      <c r="D6306" s="2" t="str">
        <f t="shared" si="97"/>
        <v>Error?</v>
      </c>
      <c r="E6306" s="2" t="s">
        <v>199</v>
      </c>
    </row>
    <row r="6307" spans="1:5">
      <c r="A6307">
        <v>6246</v>
      </c>
      <c r="B6307" s="137">
        <f>'Revenues 9-14'!C23</f>
        <v>0</v>
      </c>
      <c r="D6307" s="2" t="str">
        <f t="shared" si="97"/>
        <v>Error?</v>
      </c>
      <c r="E6307" s="2" t="s">
        <v>199</v>
      </c>
    </row>
    <row r="6308" spans="1:5">
      <c r="A6308">
        <v>6247</v>
      </c>
      <c r="B6308" s="137">
        <f>'Revenues 9-14'!C27</f>
        <v>0</v>
      </c>
      <c r="D6308" s="2" t="str">
        <f t="shared" si="97"/>
        <v>Error?</v>
      </c>
      <c r="E6308" s="2" t="s">
        <v>199</v>
      </c>
    </row>
    <row r="6309" spans="1:5">
      <c r="A6309">
        <v>6248</v>
      </c>
      <c r="B6309" s="137">
        <f>'Revenues 9-14'!C31</f>
        <v>0</v>
      </c>
      <c r="D6309" s="2" t="str">
        <f t="shared" si="97"/>
        <v>Error?</v>
      </c>
      <c r="E6309" s="2" t="s">
        <v>199</v>
      </c>
    </row>
    <row r="6310" spans="1:5">
      <c r="A6310">
        <v>6249</v>
      </c>
      <c r="B6310" s="137">
        <f>'Revenues 9-14'!C35</f>
        <v>0</v>
      </c>
      <c r="D6310" s="2" t="str">
        <f t="shared" si="97"/>
        <v>Error?</v>
      </c>
      <c r="E6310" s="2" t="s">
        <v>199</v>
      </c>
    </row>
    <row r="6311" spans="1:5">
      <c r="A6311">
        <v>6250</v>
      </c>
      <c r="B6311" s="137">
        <f>'Revenues 9-14'!C39</f>
        <v>0</v>
      </c>
      <c r="D6311" s="2" t="str">
        <f t="shared" si="97"/>
        <v>Error?</v>
      </c>
      <c r="E6311" s="2" t="s">
        <v>199</v>
      </c>
    </row>
    <row r="6312" spans="1:5">
      <c r="A6312">
        <v>6251</v>
      </c>
      <c r="B6312" s="137">
        <f>'Revenues 9-14'!F46</f>
        <v>0</v>
      </c>
      <c r="D6312" s="2" t="str">
        <f t="shared" si="97"/>
        <v>Error?</v>
      </c>
      <c r="E6312" s="2" t="s">
        <v>199</v>
      </c>
    </row>
    <row r="6313" spans="1:5">
      <c r="A6313">
        <v>6252</v>
      </c>
      <c r="B6313" s="137">
        <f>'Revenues 9-14'!F50</f>
        <v>0</v>
      </c>
      <c r="D6313" s="2" t="str">
        <f t="shared" si="97"/>
        <v>Error?</v>
      </c>
      <c r="E6313" s="2" t="s">
        <v>199</v>
      </c>
    </row>
    <row r="6314" spans="1:5">
      <c r="A6314">
        <v>6253</v>
      </c>
      <c r="B6314" s="137">
        <f>'Revenues 9-14'!F54</f>
        <v>0</v>
      </c>
      <c r="D6314" s="2" t="str">
        <f t="shared" si="97"/>
        <v>Error?</v>
      </c>
      <c r="E6314" s="2" t="s">
        <v>199</v>
      </c>
    </row>
    <row r="6315" spans="1:5">
      <c r="A6315">
        <v>6254</v>
      </c>
      <c r="B6315" s="137">
        <f>'Revenues 9-14'!F62</f>
        <v>0</v>
      </c>
      <c r="D6315" s="2" t="str">
        <f t="shared" si="97"/>
        <v>Error?</v>
      </c>
      <c r="E6315" s="2" t="s">
        <v>199</v>
      </c>
    </row>
    <row r="6316" spans="1:5">
      <c r="A6316">
        <v>6255</v>
      </c>
      <c r="B6316" s="137">
        <f>'Revenues 9-14'!J65</f>
        <v>33771</v>
      </c>
      <c r="D6316" s="2" t="str">
        <f t="shared" si="97"/>
        <v>Error?</v>
      </c>
      <c r="E6316" s="2" t="s">
        <v>199</v>
      </c>
    </row>
    <row r="6317" spans="1:5">
      <c r="A6317">
        <v>6256</v>
      </c>
      <c r="B6317" s="137">
        <f>'Revenues 9-14'!J66</f>
        <v>0</v>
      </c>
      <c r="D6317" s="2" t="str">
        <f t="shared" si="97"/>
        <v>Error?</v>
      </c>
      <c r="E6317" s="2" t="s">
        <v>199</v>
      </c>
    </row>
    <row r="6318" spans="1:5">
      <c r="A6318">
        <v>6257</v>
      </c>
      <c r="B6318" s="137">
        <f>'Revenues 9-14'!J67</f>
        <v>33771</v>
      </c>
      <c r="D6318" s="2" t="str">
        <f t="shared" si="97"/>
        <v>Error?</v>
      </c>
      <c r="E6318" s="2" t="s">
        <v>199</v>
      </c>
    </row>
    <row r="6319" spans="1:5">
      <c r="A6319">
        <v>6258</v>
      </c>
      <c r="B6319" s="137">
        <f>'Revenues 9-14'!J96</f>
        <v>0</v>
      </c>
      <c r="D6319" s="2" t="str">
        <f t="shared" si="97"/>
        <v>Error?</v>
      </c>
      <c r="E6319" s="2" t="s">
        <v>199</v>
      </c>
    </row>
    <row r="6320" spans="1:5">
      <c r="A6320">
        <v>6259</v>
      </c>
      <c r="B6320" s="137">
        <f>'Revenues 9-14'!C97</f>
        <v>0</v>
      </c>
      <c r="D6320" s="2" t="str">
        <f t="shared" si="97"/>
        <v>Error?</v>
      </c>
      <c r="E6320" s="2" t="s">
        <v>199</v>
      </c>
    </row>
    <row r="6321" spans="1:5">
      <c r="A6321">
        <v>6260</v>
      </c>
      <c r="B6321" s="137">
        <f>'Revenues 9-14'!D97</f>
        <v>0</v>
      </c>
      <c r="D6321" s="2" t="str">
        <f t="shared" si="97"/>
        <v>Error?</v>
      </c>
      <c r="E6321" s="2" t="s">
        <v>199</v>
      </c>
    </row>
    <row r="6322" spans="1:5">
      <c r="A6322">
        <v>6261</v>
      </c>
      <c r="B6322" s="137">
        <f>'Revenues 9-14'!E97</f>
        <v>0</v>
      </c>
      <c r="D6322" s="2" t="str">
        <f t="shared" si="97"/>
        <v>Error?</v>
      </c>
      <c r="E6322" s="2" t="s">
        <v>199</v>
      </c>
    </row>
    <row r="6323" spans="1:5">
      <c r="A6323">
        <v>6262</v>
      </c>
      <c r="B6323" s="137">
        <f>'Revenues 9-14'!F97</f>
        <v>0</v>
      </c>
      <c r="D6323" s="2" t="str">
        <f t="shared" si="97"/>
        <v>Error?</v>
      </c>
      <c r="E6323" s="2" t="s">
        <v>199</v>
      </c>
    </row>
    <row r="6324" spans="1:5">
      <c r="A6324">
        <v>6263</v>
      </c>
      <c r="B6324" s="137">
        <f>'Revenues 9-14'!G97</f>
        <v>0</v>
      </c>
      <c r="D6324" s="2" t="str">
        <f t="shared" si="97"/>
        <v>Error?</v>
      </c>
      <c r="E6324" s="2" t="s">
        <v>199</v>
      </c>
    </row>
    <row r="6325" spans="1:5">
      <c r="A6325">
        <v>6264</v>
      </c>
      <c r="B6325" s="137">
        <f>'Revenues 9-14'!H97</f>
        <v>0</v>
      </c>
      <c r="D6325" s="2" t="str">
        <f t="shared" si="97"/>
        <v>Error?</v>
      </c>
      <c r="E6325" s="2" t="s">
        <v>199</v>
      </c>
    </row>
    <row r="6326" spans="1:5">
      <c r="A6326">
        <v>6265</v>
      </c>
      <c r="B6326" s="137">
        <f>'Revenues 9-14'!I97</f>
        <v>0</v>
      </c>
      <c r="D6326" s="2" t="str">
        <f t="shared" si="97"/>
        <v>Error?</v>
      </c>
      <c r="E6326" s="2" t="s">
        <v>199</v>
      </c>
    </row>
    <row r="6327" spans="1:5">
      <c r="A6327">
        <v>6266</v>
      </c>
      <c r="B6327" s="137">
        <f>'Revenues 9-14'!J97</f>
        <v>0</v>
      </c>
      <c r="D6327" s="2" t="str">
        <f t="shared" si="97"/>
        <v>Error?</v>
      </c>
      <c r="E6327" s="2" t="s">
        <v>199</v>
      </c>
    </row>
    <row r="6328" spans="1:5">
      <c r="A6328">
        <v>6267</v>
      </c>
      <c r="B6328" s="137">
        <f>'Revenues 9-14'!K97</f>
        <v>0</v>
      </c>
      <c r="D6328" s="2" t="str">
        <f t="shared" si="97"/>
        <v>Error?</v>
      </c>
      <c r="E6328" s="2" t="s">
        <v>199</v>
      </c>
    </row>
    <row r="6329" spans="1:5">
      <c r="A6329">
        <v>6268</v>
      </c>
      <c r="B6329" s="137">
        <f>'Revenues 9-14'!J99</f>
        <v>0</v>
      </c>
      <c r="D6329" s="2" t="str">
        <f t="shared" si="97"/>
        <v>Error?</v>
      </c>
      <c r="E6329" s="2" t="s">
        <v>199</v>
      </c>
    </row>
    <row r="6330" spans="1:5">
      <c r="A6330">
        <v>6269</v>
      </c>
      <c r="B6330" s="137">
        <f>'Revenues 9-14'!C100</f>
        <v>0</v>
      </c>
      <c r="D6330" s="2" t="str">
        <f t="shared" si="97"/>
        <v>Error?</v>
      </c>
      <c r="E6330" s="2" t="s">
        <v>199</v>
      </c>
    </row>
    <row r="6331" spans="1:5">
      <c r="A6331">
        <v>6270</v>
      </c>
      <c r="B6331" s="137">
        <f>'Revenues 9-14'!D100</f>
        <v>0</v>
      </c>
      <c r="D6331" s="2" t="str">
        <f t="shared" si="97"/>
        <v>Error?</v>
      </c>
      <c r="E6331" s="2" t="s">
        <v>199</v>
      </c>
    </row>
    <row r="6332" spans="1:5">
      <c r="A6332">
        <v>6271</v>
      </c>
      <c r="B6332" s="137">
        <f>'Revenues 9-14'!E100</f>
        <v>0</v>
      </c>
      <c r="D6332" s="2" t="str">
        <f t="shared" si="97"/>
        <v>Error?</v>
      </c>
      <c r="E6332" s="2" t="s">
        <v>199</v>
      </c>
    </row>
    <row r="6333" spans="1:5">
      <c r="A6333">
        <v>6272</v>
      </c>
      <c r="B6333" s="137">
        <f>'Revenues 9-14'!F100</f>
        <v>0</v>
      </c>
      <c r="D6333" s="2" t="str">
        <f t="shared" si="97"/>
        <v>Error?</v>
      </c>
      <c r="E6333" s="2" t="s">
        <v>199</v>
      </c>
    </row>
    <row r="6334" spans="1:5">
      <c r="A6334">
        <v>6273</v>
      </c>
      <c r="B6334" s="137">
        <f>'Revenues 9-14'!G100</f>
        <v>0</v>
      </c>
      <c r="D6334" s="2" t="str">
        <f t="shared" si="97"/>
        <v>Error?</v>
      </c>
      <c r="E6334" s="2" t="s">
        <v>199</v>
      </c>
    </row>
    <row r="6335" spans="1:5">
      <c r="A6335">
        <v>6274</v>
      </c>
      <c r="B6335" s="137">
        <f>'Revenues 9-14'!H100</f>
        <v>0</v>
      </c>
      <c r="D6335" s="2" t="str">
        <f t="shared" ref="D6335:D6398" si="98">IF(ISBLANK(B6335),"OK",IF(A6335-B6335=0,"OK","Error?"))</f>
        <v>Error?</v>
      </c>
      <c r="E6335" s="2" t="s">
        <v>199</v>
      </c>
    </row>
    <row r="6336" spans="1:5">
      <c r="A6336">
        <v>6275</v>
      </c>
      <c r="B6336" s="137">
        <f>'Revenues 9-14'!I100</f>
        <v>0</v>
      </c>
      <c r="D6336" s="2" t="str">
        <f t="shared" si="98"/>
        <v>Error?</v>
      </c>
      <c r="E6336" s="2" t="s">
        <v>199</v>
      </c>
    </row>
    <row r="6337" spans="1:5">
      <c r="A6337">
        <v>6276</v>
      </c>
      <c r="B6337" s="137">
        <f>'Revenues 9-14'!J100</f>
        <v>0</v>
      </c>
      <c r="D6337" s="2" t="str">
        <f t="shared" si="98"/>
        <v>Error?</v>
      </c>
      <c r="E6337" s="2" t="s">
        <v>199</v>
      </c>
    </row>
    <row r="6338" spans="1:5">
      <c r="A6338">
        <v>6277</v>
      </c>
      <c r="B6338" s="137">
        <f>'Revenues 9-14'!K100</f>
        <v>0</v>
      </c>
      <c r="D6338" s="2" t="str">
        <f t="shared" si="98"/>
        <v>Error?</v>
      </c>
      <c r="E6338" s="2" t="s">
        <v>199</v>
      </c>
    </row>
    <row r="6339" spans="1:5">
      <c r="A6339">
        <v>6278</v>
      </c>
      <c r="B6339" s="137">
        <f>'Revenues 9-14'!C101</f>
        <v>0</v>
      </c>
      <c r="D6339" s="2" t="str">
        <f t="shared" si="98"/>
        <v>Error?</v>
      </c>
      <c r="E6339" s="2" t="s">
        <v>199</v>
      </c>
    </row>
    <row r="6340" spans="1:5">
      <c r="A6340">
        <v>6279</v>
      </c>
      <c r="B6340" s="137">
        <f>'Revenues 9-14'!C102</f>
        <v>0</v>
      </c>
      <c r="D6340" s="2" t="str">
        <f t="shared" si="98"/>
        <v>Error?</v>
      </c>
      <c r="E6340" s="2" t="s">
        <v>199</v>
      </c>
    </row>
    <row r="6341" spans="1:5">
      <c r="A6341">
        <v>6280</v>
      </c>
      <c r="B6341" s="137">
        <f>'Revenues 9-14'!D102</f>
        <v>0</v>
      </c>
      <c r="D6341" s="2" t="str">
        <f t="shared" si="98"/>
        <v>Error?</v>
      </c>
      <c r="E6341" s="2" t="s">
        <v>199</v>
      </c>
    </row>
    <row r="6342" spans="1:5">
      <c r="A6342">
        <v>6281</v>
      </c>
      <c r="B6342" s="137">
        <f>'Revenues 9-14'!E102</f>
        <v>0</v>
      </c>
      <c r="D6342" s="2" t="str">
        <f t="shared" si="98"/>
        <v>Error?</v>
      </c>
      <c r="E6342" s="2" t="s">
        <v>199</v>
      </c>
    </row>
    <row r="6343" spans="1:5">
      <c r="A6343">
        <v>6282</v>
      </c>
      <c r="B6343" s="137">
        <f>'Revenues 9-14'!F102</f>
        <v>0</v>
      </c>
      <c r="D6343" s="2" t="str">
        <f t="shared" si="98"/>
        <v>Error?</v>
      </c>
      <c r="E6343" s="2" t="s">
        <v>199</v>
      </c>
    </row>
    <row r="6344" spans="1:5">
      <c r="A6344">
        <v>6283</v>
      </c>
      <c r="B6344" s="137">
        <f>'Revenues 9-14'!G102</f>
        <v>0</v>
      </c>
      <c r="D6344" s="2" t="str">
        <f t="shared" si="98"/>
        <v>Error?</v>
      </c>
      <c r="E6344" s="2" t="s">
        <v>199</v>
      </c>
    </row>
    <row r="6345" spans="1:5">
      <c r="A6345">
        <v>6284</v>
      </c>
      <c r="B6345" s="137">
        <f>'Revenues 9-14'!H102</f>
        <v>0</v>
      </c>
      <c r="D6345" s="2" t="str">
        <f t="shared" si="98"/>
        <v>Error?</v>
      </c>
      <c r="E6345" s="2" t="s">
        <v>199</v>
      </c>
    </row>
    <row r="6346" spans="1:5">
      <c r="A6346">
        <v>6285</v>
      </c>
      <c r="B6346" s="137">
        <f>'Revenues 9-14'!I102</f>
        <v>0</v>
      </c>
      <c r="D6346" s="2" t="str">
        <f t="shared" si="98"/>
        <v>Error?</v>
      </c>
      <c r="E6346" s="2" t="s">
        <v>199</v>
      </c>
    </row>
    <row r="6347" spans="1:5">
      <c r="A6347">
        <v>6286</v>
      </c>
      <c r="B6347" s="137">
        <f>'Revenues 9-14'!J102</f>
        <v>0</v>
      </c>
      <c r="D6347" s="2" t="str">
        <f t="shared" si="98"/>
        <v>Error?</v>
      </c>
      <c r="E6347" s="2" t="s">
        <v>199</v>
      </c>
    </row>
    <row r="6348" spans="1:5">
      <c r="A6348">
        <v>6287</v>
      </c>
      <c r="B6348" s="137">
        <f>'Revenues 9-14'!K102</f>
        <v>0</v>
      </c>
      <c r="D6348" s="2" t="str">
        <f t="shared" si="98"/>
        <v>Error?</v>
      </c>
      <c r="E6348" s="2" t="s">
        <v>199</v>
      </c>
    </row>
    <row r="6349" spans="1:5">
      <c r="A6349">
        <v>6288</v>
      </c>
      <c r="B6349" s="137">
        <f>'Revenues 9-14'!G104</f>
        <v>0</v>
      </c>
      <c r="D6349" s="2" t="str">
        <f t="shared" si="98"/>
        <v>Error?</v>
      </c>
      <c r="E6349" s="2" t="s">
        <v>199</v>
      </c>
    </row>
    <row r="6350" spans="1:5">
      <c r="A6350">
        <v>6289</v>
      </c>
      <c r="B6350" s="137">
        <f>'Revenues 9-14'!J107</f>
        <v>0</v>
      </c>
      <c r="D6350" s="2" t="str">
        <f t="shared" si="98"/>
        <v>Error?</v>
      </c>
      <c r="E6350" s="2" t="s">
        <v>199</v>
      </c>
    </row>
    <row r="6351" spans="1:5">
      <c r="A6351">
        <v>6290</v>
      </c>
      <c r="B6351" s="137">
        <f>'Revenues 9-14'!J108</f>
        <v>0</v>
      </c>
      <c r="D6351" s="2" t="str">
        <f t="shared" si="98"/>
        <v>Error?</v>
      </c>
      <c r="E6351" s="2" t="s">
        <v>199</v>
      </c>
    </row>
    <row r="6352" spans="1:5">
      <c r="A6352">
        <v>6291</v>
      </c>
      <c r="B6352" s="137">
        <f>'Revenues 9-14'!J109</f>
        <v>1989247</v>
      </c>
      <c r="D6352" s="2" t="str">
        <f t="shared" si="98"/>
        <v>Error?</v>
      </c>
      <c r="E6352" s="2" t="s">
        <v>199</v>
      </c>
    </row>
    <row r="6353" spans="1:5">
      <c r="A6353">
        <v>6292</v>
      </c>
      <c r="B6353" s="137">
        <f>'Revenues 9-14'!J117</f>
        <v>0</v>
      </c>
      <c r="D6353" s="2" t="str">
        <f t="shared" si="98"/>
        <v>Error?</v>
      </c>
      <c r="E6353" s="2" t="s">
        <v>199</v>
      </c>
    </row>
    <row r="6354" spans="1:5">
      <c r="A6354">
        <v>6293</v>
      </c>
      <c r="B6354" s="137">
        <f>'Revenues 9-14'!J118</f>
        <v>0</v>
      </c>
      <c r="D6354" s="2" t="str">
        <f t="shared" si="98"/>
        <v>Error?</v>
      </c>
      <c r="E6354" s="2" t="s">
        <v>199</v>
      </c>
    </row>
    <row r="6355" spans="1:5">
      <c r="A6355">
        <v>6294</v>
      </c>
      <c r="B6355" s="137">
        <f>'Revenues 9-14'!J119</f>
        <v>0</v>
      </c>
      <c r="D6355" s="2" t="str">
        <f t="shared" si="98"/>
        <v>Error?</v>
      </c>
      <c r="E6355" s="2" t="s">
        <v>199</v>
      </c>
    </row>
    <row r="6356" spans="1:5">
      <c r="A6356">
        <v>6295</v>
      </c>
      <c r="B6356" s="137">
        <f>'Revenues 9-14'!J120</f>
        <v>0</v>
      </c>
      <c r="D6356" s="2" t="str">
        <f t="shared" si="98"/>
        <v>Error?</v>
      </c>
      <c r="E6356" s="2" t="s">
        <v>199</v>
      </c>
    </row>
    <row r="6357" spans="1:5">
      <c r="A6357">
        <v>6296</v>
      </c>
      <c r="B6357" s="137">
        <f>'Revenues 9-14'!J121</f>
        <v>0</v>
      </c>
      <c r="D6357" s="2" t="str">
        <f t="shared" si="98"/>
        <v>Error?</v>
      </c>
      <c r="E6357" s="2" t="s">
        <v>199</v>
      </c>
    </row>
    <row r="6358" spans="1:5">
      <c r="A6358">
        <v>6297</v>
      </c>
      <c r="B6358" s="137">
        <f>'Revenues 9-14'!G134</f>
        <v>0</v>
      </c>
      <c r="D6358" s="2" t="str">
        <f t="shared" si="98"/>
        <v>Error?</v>
      </c>
      <c r="E6358" s="2" t="s">
        <v>199</v>
      </c>
    </row>
    <row r="6359" spans="1:5">
      <c r="A6359">
        <v>6298</v>
      </c>
      <c r="B6359" s="137">
        <f>'Revenues 9-14'!C136</f>
        <v>0</v>
      </c>
      <c r="D6359" s="2" t="str">
        <f t="shared" si="98"/>
        <v>Error?</v>
      </c>
      <c r="E6359" s="2" t="s">
        <v>199</v>
      </c>
    </row>
    <row r="6360" spans="1:5">
      <c r="A6360">
        <v>6299</v>
      </c>
      <c r="B6360" s="137">
        <f>'Revenues 9-14'!D136</f>
        <v>0</v>
      </c>
      <c r="D6360" s="2" t="str">
        <f t="shared" si="98"/>
        <v>Error?</v>
      </c>
      <c r="E6360" s="2" t="s">
        <v>199</v>
      </c>
    </row>
    <row r="6361" spans="1:5">
      <c r="A6361">
        <v>6300</v>
      </c>
      <c r="B6361" s="137">
        <f>'Revenues 9-14'!G136</f>
        <v>0</v>
      </c>
      <c r="D6361" s="2" t="str">
        <f t="shared" si="98"/>
        <v>Error?</v>
      </c>
      <c r="E6361" s="2" t="s">
        <v>199</v>
      </c>
    </row>
    <row r="6362" spans="1:5">
      <c r="A6362">
        <v>6301</v>
      </c>
      <c r="B6362" s="137">
        <f>'Revenues 9-14'!C137</f>
        <v>0</v>
      </c>
      <c r="D6362" s="2" t="str">
        <f t="shared" si="98"/>
        <v>Error?</v>
      </c>
      <c r="E6362" s="2" t="s">
        <v>199</v>
      </c>
    </row>
    <row r="6363" spans="1:5">
      <c r="A6363">
        <v>6302</v>
      </c>
      <c r="B6363" s="137">
        <f>'Revenues 9-14'!D137</f>
        <v>0</v>
      </c>
      <c r="D6363" s="2" t="str">
        <f t="shared" si="98"/>
        <v>Error?</v>
      </c>
      <c r="E6363" s="2" t="s">
        <v>199</v>
      </c>
    </row>
    <row r="6364" spans="1:5">
      <c r="A6364">
        <v>6303</v>
      </c>
      <c r="B6364" s="137">
        <f>'Revenues 9-14'!G137</f>
        <v>0</v>
      </c>
      <c r="D6364" s="2" t="str">
        <f t="shared" si="98"/>
        <v>Error?</v>
      </c>
      <c r="E6364" s="2" t="s">
        <v>199</v>
      </c>
    </row>
    <row r="6365" spans="1:5">
      <c r="A6365">
        <v>6304</v>
      </c>
      <c r="B6365" s="137">
        <f>'Revenues 9-14'!C138</f>
        <v>0</v>
      </c>
      <c r="D6365" s="2" t="str">
        <f t="shared" si="98"/>
        <v>Error?</v>
      </c>
      <c r="E6365" s="2" t="s">
        <v>199</v>
      </c>
    </row>
    <row r="6366" spans="1:5">
      <c r="A6366">
        <v>6305</v>
      </c>
      <c r="B6366" s="137">
        <f>'Revenues 9-14'!D138</f>
        <v>0</v>
      </c>
      <c r="D6366" s="2" t="str">
        <f t="shared" si="98"/>
        <v>Error?</v>
      </c>
      <c r="E6366" s="2" t="s">
        <v>199</v>
      </c>
    </row>
    <row r="6367" spans="1:5">
      <c r="A6367">
        <v>6306</v>
      </c>
      <c r="B6367" s="137">
        <f>'Revenues 9-14'!G138</f>
        <v>0</v>
      </c>
      <c r="D6367" s="2" t="str">
        <f t="shared" si="98"/>
        <v>Error?</v>
      </c>
      <c r="E6367" s="2" t="s">
        <v>199</v>
      </c>
    </row>
    <row r="6368" spans="1:5">
      <c r="A6368">
        <v>6307</v>
      </c>
      <c r="B6368" s="137">
        <f>'Revenues 9-14'!E148</f>
        <v>0</v>
      </c>
      <c r="D6368" s="2" t="str">
        <f t="shared" si="98"/>
        <v>Error?</v>
      </c>
      <c r="E6368" s="2" t="s">
        <v>199</v>
      </c>
    </row>
    <row r="6369" spans="1:5">
      <c r="A6369">
        <v>6308</v>
      </c>
      <c r="B6369" s="137">
        <f>'Revenues 9-14'!F148</f>
        <v>0</v>
      </c>
      <c r="D6369" s="2" t="str">
        <f t="shared" si="98"/>
        <v>Error?</v>
      </c>
      <c r="E6369" s="2" t="s">
        <v>199</v>
      </c>
    </row>
    <row r="6370" spans="1:5">
      <c r="A6370">
        <v>6309</v>
      </c>
      <c r="B6370" s="137">
        <f>'Revenues 9-14'!G148</f>
        <v>0</v>
      </c>
      <c r="D6370" s="2" t="str">
        <f t="shared" si="98"/>
        <v>Error?</v>
      </c>
      <c r="E6370" s="2" t="s">
        <v>199</v>
      </c>
    </row>
    <row r="6371" spans="1:5">
      <c r="A6371">
        <v>6310</v>
      </c>
      <c r="B6371" s="137">
        <f>'Revenues 9-14'!H148</f>
        <v>0</v>
      </c>
      <c r="D6371" s="2" t="str">
        <f t="shared" si="98"/>
        <v>Error?</v>
      </c>
      <c r="E6371" s="2" t="s">
        <v>199</v>
      </c>
    </row>
    <row r="6372" spans="1:5">
      <c r="A6372">
        <v>6311</v>
      </c>
      <c r="B6372" s="137">
        <f>'Revenues 9-14'!I148</f>
        <v>0</v>
      </c>
      <c r="D6372" s="2" t="str">
        <f t="shared" si="98"/>
        <v>Error?</v>
      </c>
      <c r="E6372" s="2" t="s">
        <v>199</v>
      </c>
    </row>
    <row r="6373" spans="1:5">
      <c r="A6373">
        <v>6312</v>
      </c>
      <c r="B6373" s="137">
        <f>'Revenues 9-14'!J148</f>
        <v>0</v>
      </c>
      <c r="D6373" s="2" t="str">
        <f t="shared" si="98"/>
        <v>Error?</v>
      </c>
      <c r="E6373" s="2" t="s">
        <v>199</v>
      </c>
    </row>
    <row r="6374" spans="1:5">
      <c r="A6374">
        <v>6313</v>
      </c>
      <c r="B6374" s="137">
        <f>'Revenues 9-14'!K148</f>
        <v>0</v>
      </c>
      <c r="D6374" s="2" t="str">
        <f t="shared" si="98"/>
        <v>Error?</v>
      </c>
      <c r="E6374" s="2" t="s">
        <v>199</v>
      </c>
    </row>
    <row r="6375" spans="1:5">
      <c r="A6375">
        <v>6314</v>
      </c>
      <c r="B6375" s="137">
        <f>'Revenues 9-14'!E149</f>
        <v>0</v>
      </c>
      <c r="D6375" s="2" t="str">
        <f t="shared" si="98"/>
        <v>Error?</v>
      </c>
      <c r="E6375" s="2" t="s">
        <v>199</v>
      </c>
    </row>
    <row r="6376" spans="1:5">
      <c r="A6376">
        <v>6315</v>
      </c>
      <c r="B6376" s="137">
        <f>'Revenues 9-14'!H149</f>
        <v>0</v>
      </c>
      <c r="D6376" s="2" t="str">
        <f t="shared" si="98"/>
        <v>Error?</v>
      </c>
      <c r="E6376" s="2" t="s">
        <v>199</v>
      </c>
    </row>
    <row r="6377" spans="1:5">
      <c r="A6377">
        <v>6316</v>
      </c>
      <c r="B6377" s="137">
        <f>'Revenues 9-14'!I149</f>
        <v>0</v>
      </c>
      <c r="D6377" s="2" t="str">
        <f t="shared" si="98"/>
        <v>Error?</v>
      </c>
      <c r="E6377" s="2" t="s">
        <v>199</v>
      </c>
    </row>
    <row r="6378" spans="1:5">
      <c r="A6378">
        <v>6317</v>
      </c>
      <c r="B6378" s="137">
        <f>'Revenues 9-14'!J149</f>
        <v>0</v>
      </c>
      <c r="D6378" s="2" t="str">
        <f t="shared" si="98"/>
        <v>Error?</v>
      </c>
      <c r="E6378" s="2" t="s">
        <v>199</v>
      </c>
    </row>
    <row r="6379" spans="1:5">
      <c r="A6379">
        <v>6318</v>
      </c>
      <c r="B6379" s="137">
        <f>'Revenues 9-14'!K149</f>
        <v>0</v>
      </c>
      <c r="D6379" s="2" t="str">
        <f t="shared" si="98"/>
        <v>Error?</v>
      </c>
      <c r="E6379" s="2" t="s">
        <v>199</v>
      </c>
    </row>
    <row r="6380" spans="1:5">
      <c r="A6380">
        <v>6319</v>
      </c>
      <c r="B6380" s="137">
        <f>'Revenues 9-14'!G151</f>
        <v>0</v>
      </c>
      <c r="D6380" s="2" t="str">
        <f t="shared" si="98"/>
        <v>Error?</v>
      </c>
      <c r="E6380" s="2" t="s">
        <v>199</v>
      </c>
    </row>
    <row r="6381" spans="1:5">
      <c r="A6381">
        <v>6320</v>
      </c>
      <c r="B6381" s="137">
        <f>'Revenues 9-14'!G152</f>
        <v>0</v>
      </c>
      <c r="D6381" s="2" t="str">
        <f t="shared" si="98"/>
        <v>Error?</v>
      </c>
      <c r="E6381" s="2" t="s">
        <v>199</v>
      </c>
    </row>
    <row r="6382" spans="1:5">
      <c r="A6382">
        <v>6321</v>
      </c>
      <c r="B6382" s="137">
        <f>'Revenues 9-14'!C161</f>
        <v>0</v>
      </c>
      <c r="D6382" s="2" t="str">
        <f t="shared" si="98"/>
        <v>Error?</v>
      </c>
      <c r="E6382" s="2" t="s">
        <v>199</v>
      </c>
    </row>
    <row r="6383" spans="1:5">
      <c r="A6383">
        <v>6322</v>
      </c>
      <c r="B6383" s="137">
        <f>'Revenues 9-14'!F161</f>
        <v>0</v>
      </c>
      <c r="D6383" s="2" t="str">
        <f t="shared" si="98"/>
        <v>Error?</v>
      </c>
      <c r="E6383" s="2" t="s">
        <v>199</v>
      </c>
    </row>
    <row r="6384" spans="1:5">
      <c r="A6384">
        <v>6323</v>
      </c>
      <c r="B6384" s="137">
        <f>'Revenues 9-14'!G161</f>
        <v>0</v>
      </c>
      <c r="D6384" s="2" t="str">
        <f t="shared" si="98"/>
        <v>Error?</v>
      </c>
      <c r="E6384" s="2" t="s">
        <v>199</v>
      </c>
    </row>
    <row r="6385" spans="1:5">
      <c r="A6385">
        <v>6324</v>
      </c>
      <c r="B6385" s="137">
        <f>'Revenues 9-14'!C162</f>
        <v>0</v>
      </c>
      <c r="D6385" s="2" t="str">
        <f t="shared" si="98"/>
        <v>Error?</v>
      </c>
      <c r="E6385" s="2" t="s">
        <v>199</v>
      </c>
    </row>
    <row r="6386" spans="1:5">
      <c r="A6386">
        <v>6325</v>
      </c>
      <c r="B6386" s="137">
        <f>'Revenues 9-14'!F162</f>
        <v>0</v>
      </c>
      <c r="D6386" s="2" t="str">
        <f t="shared" si="98"/>
        <v>Error?</v>
      </c>
      <c r="E6386" s="2" t="s">
        <v>199</v>
      </c>
    </row>
    <row r="6387" spans="1:5">
      <c r="A6387">
        <v>6326</v>
      </c>
      <c r="B6387" s="137">
        <f>'Revenues 9-14'!G162</f>
        <v>0</v>
      </c>
      <c r="D6387" s="2" t="str">
        <f t="shared" si="98"/>
        <v>Error?</v>
      </c>
      <c r="E6387" s="2" t="s">
        <v>199</v>
      </c>
    </row>
    <row r="6388" spans="1:5">
      <c r="A6388">
        <v>6327</v>
      </c>
      <c r="B6388" s="137">
        <f>'Revenues 9-14'!C166</f>
        <v>0</v>
      </c>
      <c r="D6388" s="2" t="str">
        <f t="shared" si="98"/>
        <v>Error?</v>
      </c>
      <c r="E6388" s="2" t="s">
        <v>199</v>
      </c>
    </row>
    <row r="6389" spans="1:5">
      <c r="A6389">
        <v>6328</v>
      </c>
      <c r="B6389" s="137">
        <f>'Revenues 9-14'!D166</f>
        <v>0</v>
      </c>
      <c r="D6389" s="2" t="str">
        <f t="shared" si="98"/>
        <v>Error?</v>
      </c>
      <c r="E6389" s="2" t="s">
        <v>199</v>
      </c>
    </row>
    <row r="6390" spans="1:5">
      <c r="A6390">
        <v>6329</v>
      </c>
      <c r="B6390" s="137">
        <f>'Revenues 9-14'!E166</f>
        <v>0</v>
      </c>
      <c r="D6390" s="2" t="str">
        <f t="shared" si="98"/>
        <v>Error?</v>
      </c>
      <c r="E6390" s="2" t="s">
        <v>199</v>
      </c>
    </row>
    <row r="6391" spans="1:5">
      <c r="A6391">
        <v>6330</v>
      </c>
      <c r="B6391" s="137">
        <f>'Revenues 9-14'!F166</f>
        <v>0</v>
      </c>
      <c r="D6391" s="2" t="str">
        <f t="shared" si="98"/>
        <v>Error?</v>
      </c>
      <c r="E6391" s="2" t="s">
        <v>199</v>
      </c>
    </row>
    <row r="6392" spans="1:5">
      <c r="A6392">
        <v>6331</v>
      </c>
      <c r="B6392" s="137">
        <f>'Revenues 9-14'!G166</f>
        <v>0</v>
      </c>
      <c r="D6392" s="2" t="str">
        <f t="shared" si="98"/>
        <v>Error?</v>
      </c>
      <c r="E6392" s="2" t="s">
        <v>199</v>
      </c>
    </row>
    <row r="6393" spans="1:5">
      <c r="A6393">
        <v>6332</v>
      </c>
      <c r="B6393" s="137">
        <f>'Revenues 9-14'!H166</f>
        <v>0</v>
      </c>
      <c r="D6393" s="2" t="str">
        <f t="shared" si="98"/>
        <v>Error?</v>
      </c>
      <c r="E6393" s="2" t="s">
        <v>199</v>
      </c>
    </row>
    <row r="6394" spans="1:5">
      <c r="A6394">
        <v>6333</v>
      </c>
      <c r="B6394" s="137">
        <f>'Revenues 9-14'!K166</f>
        <v>0</v>
      </c>
      <c r="D6394" s="2" t="str">
        <f t="shared" si="98"/>
        <v>Error?</v>
      </c>
      <c r="E6394" s="2" t="s">
        <v>199</v>
      </c>
    </row>
    <row r="6395" spans="1:5">
      <c r="A6395">
        <v>6334</v>
      </c>
      <c r="B6395" s="137">
        <f>'Revenues 9-14'!J171</f>
        <v>0</v>
      </c>
      <c r="D6395" s="2" t="str">
        <f t="shared" si="98"/>
        <v>Error?</v>
      </c>
      <c r="E6395" s="2" t="s">
        <v>199</v>
      </c>
    </row>
    <row r="6396" spans="1:5">
      <c r="A6396">
        <v>6335</v>
      </c>
      <c r="B6396" s="137">
        <f>'Revenues 9-14'!J172</f>
        <v>0</v>
      </c>
      <c r="D6396" s="2" t="str">
        <f t="shared" si="98"/>
        <v>Error?</v>
      </c>
      <c r="E6396" s="2" t="s">
        <v>199</v>
      </c>
    </row>
    <row r="6397" spans="1:5">
      <c r="A6397">
        <v>6336</v>
      </c>
      <c r="B6397" s="137">
        <f>'Revenues 9-14'!J173</f>
        <v>0</v>
      </c>
      <c r="D6397" s="2" t="str">
        <f t="shared" si="98"/>
        <v>Error?</v>
      </c>
      <c r="E6397" s="2" t="s">
        <v>199</v>
      </c>
    </row>
    <row r="6398" spans="1:5">
      <c r="A6398">
        <v>6337</v>
      </c>
      <c r="B6398" s="137">
        <f>'Revenues 9-14'!J176</f>
        <v>0</v>
      </c>
      <c r="D6398" s="2" t="str">
        <f t="shared" si="98"/>
        <v>Error?</v>
      </c>
      <c r="E6398" s="2" t="s">
        <v>199</v>
      </c>
    </row>
    <row r="6399" spans="1:5">
      <c r="A6399">
        <v>6338</v>
      </c>
      <c r="B6399" s="137">
        <f>'Revenues 9-14'!J177</f>
        <v>0</v>
      </c>
      <c r="D6399" s="2" t="str">
        <f t="shared" ref="D6399:D6462" si="99">IF(ISBLANK(B6399),"OK",IF(A6399-B6399=0,"OK","Error?"))</f>
        <v>Error?</v>
      </c>
      <c r="E6399" s="2" t="s">
        <v>199</v>
      </c>
    </row>
    <row r="6400" spans="1:5">
      <c r="A6400">
        <v>6339</v>
      </c>
      <c r="B6400" s="137">
        <f>'Revenues 9-14'!J178</f>
        <v>0</v>
      </c>
      <c r="D6400" s="2" t="str">
        <f t="shared" si="99"/>
        <v>Error?</v>
      </c>
      <c r="E6400" s="2" t="s">
        <v>199</v>
      </c>
    </row>
    <row r="6401" spans="1:5">
      <c r="A6401">
        <v>6340</v>
      </c>
      <c r="B6401" s="137">
        <f>'Revenues 9-14'!C193</f>
        <v>0</v>
      </c>
      <c r="D6401" s="2" t="str">
        <f t="shared" si="99"/>
        <v>Error?</v>
      </c>
      <c r="E6401" s="2" t="s">
        <v>199</v>
      </c>
    </row>
    <row r="6402" spans="1:5">
      <c r="A6402">
        <v>6341</v>
      </c>
      <c r="B6402" s="137">
        <f>'Revenues 9-14'!G193</f>
        <v>0</v>
      </c>
      <c r="D6402" s="2" t="str">
        <f t="shared" si="99"/>
        <v>Error?</v>
      </c>
      <c r="E6402" s="2" t="s">
        <v>199</v>
      </c>
    </row>
    <row r="6403" spans="1:5">
      <c r="A6403">
        <v>6342</v>
      </c>
      <c r="B6403" s="137">
        <f>'Revenues 9-14'!G194</f>
        <v>0</v>
      </c>
      <c r="D6403" s="2" t="str">
        <f t="shared" si="99"/>
        <v>Error?</v>
      </c>
      <c r="E6403" s="2" t="s">
        <v>199</v>
      </c>
    </row>
    <row r="6404" spans="1:5">
      <c r="A6404">
        <v>6343</v>
      </c>
      <c r="B6404" s="137">
        <f>'Revenues 9-14'!G195</f>
        <v>0</v>
      </c>
      <c r="D6404" s="2" t="str">
        <f t="shared" si="99"/>
        <v>Error?</v>
      </c>
      <c r="E6404" s="2" t="s">
        <v>199</v>
      </c>
    </row>
    <row r="6405" spans="1:5">
      <c r="A6405">
        <v>6344</v>
      </c>
      <c r="B6405" s="137">
        <f>'Revenues 9-14'!G196</f>
        <v>0</v>
      </c>
      <c r="D6405" s="2" t="str">
        <f t="shared" si="99"/>
        <v>Error?</v>
      </c>
      <c r="E6405" s="2" t="s">
        <v>199</v>
      </c>
    </row>
    <row r="6406" spans="1:5">
      <c r="A6406">
        <v>6345</v>
      </c>
      <c r="B6406" s="137">
        <f>'Revenues 9-14'!G197</f>
        <v>0</v>
      </c>
      <c r="D6406" s="2" t="str">
        <f t="shared" si="99"/>
        <v>Error?</v>
      </c>
      <c r="E6406" s="2" t="s">
        <v>199</v>
      </c>
    </row>
    <row r="6407" spans="1:5">
      <c r="A6407">
        <v>6346</v>
      </c>
      <c r="B6407" s="137">
        <f>'Revenues 9-14'!G198</f>
        <v>0</v>
      </c>
      <c r="D6407" s="2" t="str">
        <f t="shared" si="99"/>
        <v>Error?</v>
      </c>
      <c r="E6407" s="2" t="s">
        <v>199</v>
      </c>
    </row>
    <row r="6408" spans="1:5">
      <c r="A6408">
        <v>6347</v>
      </c>
      <c r="B6408" s="137">
        <f>'Revenues 9-14'!G200</f>
        <v>0</v>
      </c>
      <c r="D6408" s="2" t="str">
        <f t="shared" si="99"/>
        <v>Error?</v>
      </c>
      <c r="E6408" s="2" t="s">
        <v>199</v>
      </c>
    </row>
    <row r="6409" spans="1:5">
      <c r="A6409">
        <v>6348</v>
      </c>
      <c r="B6409" s="137">
        <f>'Revenues 9-14'!G201</f>
        <v>0</v>
      </c>
      <c r="D6409" s="2" t="str">
        <f t="shared" si="99"/>
        <v>Error?</v>
      </c>
      <c r="E6409" s="2" t="s">
        <v>199</v>
      </c>
    </row>
    <row r="6410" spans="1:5">
      <c r="A6410">
        <v>6349</v>
      </c>
      <c r="B6410" s="137">
        <f>'Revenues 9-14'!C208</f>
        <v>0</v>
      </c>
      <c r="D6410" s="2" t="str">
        <f t="shared" si="99"/>
        <v>Error?</v>
      </c>
      <c r="E6410" s="2" t="s">
        <v>199</v>
      </c>
    </row>
    <row r="6411" spans="1:5">
      <c r="A6411">
        <v>6350</v>
      </c>
      <c r="B6411" s="137">
        <f>'Revenues 9-14'!D208</f>
        <v>0</v>
      </c>
      <c r="D6411" s="2" t="str">
        <f t="shared" si="99"/>
        <v>Error?</v>
      </c>
      <c r="E6411" s="2" t="s">
        <v>199</v>
      </c>
    </row>
    <row r="6412" spans="1:5">
      <c r="A6412">
        <v>6351</v>
      </c>
      <c r="B6412" s="137">
        <f>'Revenues 9-14'!F208</f>
        <v>0</v>
      </c>
      <c r="D6412" s="2" t="str">
        <f t="shared" si="99"/>
        <v>Error?</v>
      </c>
      <c r="E6412" s="2" t="s">
        <v>199</v>
      </c>
    </row>
    <row r="6413" spans="1:5">
      <c r="A6413">
        <v>6352</v>
      </c>
      <c r="B6413" s="137">
        <f>'Revenues 9-14'!G208</f>
        <v>0</v>
      </c>
      <c r="D6413" s="2" t="str">
        <f t="shared" si="99"/>
        <v>Error?</v>
      </c>
      <c r="E6413" s="2" t="s">
        <v>199</v>
      </c>
    </row>
    <row r="6414" spans="1:5">
      <c r="A6414">
        <v>6353</v>
      </c>
      <c r="B6414" s="137">
        <f>'Cap Outlay Deprec 26'!C3</f>
        <v>0</v>
      </c>
      <c r="D6414" s="2" t="str">
        <f t="shared" si="99"/>
        <v>Error?</v>
      </c>
      <c r="E6414" s="2" t="s">
        <v>199</v>
      </c>
    </row>
    <row r="6415" spans="1:5">
      <c r="A6415">
        <v>6354</v>
      </c>
      <c r="B6415" s="137">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7">
        <f>'Revenues 9-14'!C230</f>
        <v>0</v>
      </c>
      <c r="D6614" s="2" t="str">
        <f t="shared" si="102"/>
        <v>Error?</v>
      </c>
      <c r="E6614" s="2" t="s">
        <v>199</v>
      </c>
    </row>
    <row r="6615" spans="1:5">
      <c r="A6615">
        <v>6554</v>
      </c>
      <c r="B6615" s="137">
        <f>'Revenues 9-14'!D230</f>
        <v>0</v>
      </c>
      <c r="D6615" s="2" t="str">
        <f t="shared" si="102"/>
        <v>Error?</v>
      </c>
      <c r="E6615" s="2" t="s">
        <v>199</v>
      </c>
    </row>
    <row r="6616" spans="1:5">
      <c r="A6616">
        <v>6555</v>
      </c>
      <c r="B6616" s="137">
        <f>'Revenues 9-14'!E230</f>
        <v>0</v>
      </c>
      <c r="D6616" s="2" t="str">
        <f t="shared" si="102"/>
        <v>Error?</v>
      </c>
      <c r="E6616" s="2" t="s">
        <v>199</v>
      </c>
    </row>
    <row r="6617" spans="1:5">
      <c r="A6617">
        <v>6556</v>
      </c>
      <c r="B6617" s="137">
        <f>'Revenues 9-14'!F230</f>
        <v>0</v>
      </c>
      <c r="D6617" s="2" t="str">
        <f t="shared" si="102"/>
        <v>Error?</v>
      </c>
      <c r="E6617" s="2" t="s">
        <v>199</v>
      </c>
    </row>
    <row r="6618" spans="1:5">
      <c r="A6618">
        <v>6557</v>
      </c>
      <c r="B6618" s="137">
        <f>'Revenues 9-14'!G230</f>
        <v>0</v>
      </c>
      <c r="D6618" s="2" t="str">
        <f t="shared" si="102"/>
        <v>Error?</v>
      </c>
      <c r="E6618" s="2" t="s">
        <v>199</v>
      </c>
    </row>
    <row r="6619" spans="1:5">
      <c r="A6619">
        <v>6558</v>
      </c>
      <c r="B6619" s="137">
        <f>'Revenues 9-14'!H230</f>
        <v>0</v>
      </c>
      <c r="D6619" s="2" t="str">
        <f t="shared" si="102"/>
        <v>Error?</v>
      </c>
      <c r="E6619" s="2" t="s">
        <v>199</v>
      </c>
    </row>
    <row r="6620" spans="1:5">
      <c r="A6620">
        <v>6559</v>
      </c>
      <c r="B6620" s="137">
        <f>'Revenues 9-14'!J230</f>
        <v>0</v>
      </c>
      <c r="D6620" s="2" t="str">
        <f t="shared" si="102"/>
        <v>Error?</v>
      </c>
      <c r="E6620" s="2" t="s">
        <v>199</v>
      </c>
    </row>
    <row r="6621" spans="1:5">
      <c r="A6621">
        <v>6560</v>
      </c>
      <c r="B6621" s="137">
        <f>'Revenues 9-14'!K230</f>
        <v>0</v>
      </c>
      <c r="D6621" s="2" t="str">
        <f t="shared" si="102"/>
        <v>Error?</v>
      </c>
      <c r="E6621" s="2" t="s">
        <v>199</v>
      </c>
    </row>
    <row r="6622" spans="1:5">
      <c r="A6622">
        <v>6561</v>
      </c>
      <c r="B6622" s="137">
        <f>'Revenues 9-14'!C231</f>
        <v>0</v>
      </c>
      <c r="D6622" s="2" t="str">
        <f t="shared" si="102"/>
        <v>Error?</v>
      </c>
      <c r="E6622" s="2" t="s">
        <v>199</v>
      </c>
    </row>
    <row r="6623" spans="1:5">
      <c r="A6623">
        <v>6562</v>
      </c>
      <c r="B6623" s="137">
        <f>'Revenues 9-14'!D231</f>
        <v>0</v>
      </c>
      <c r="D6623" s="2" t="str">
        <f t="shared" si="102"/>
        <v>Error?</v>
      </c>
      <c r="E6623" s="2" t="s">
        <v>199</v>
      </c>
    </row>
    <row r="6624" spans="1:5">
      <c r="A6624">
        <v>6563</v>
      </c>
      <c r="B6624" s="137">
        <f>'Revenues 9-14'!F231</f>
        <v>0</v>
      </c>
      <c r="D6624" s="2" t="str">
        <f t="shared" si="102"/>
        <v>Error?</v>
      </c>
      <c r="E6624" s="2" t="s">
        <v>199</v>
      </c>
    </row>
    <row r="6625" spans="1:5">
      <c r="A6625">
        <v>6564</v>
      </c>
      <c r="B6625" s="137">
        <f>'Revenues 9-14'!G231</f>
        <v>0</v>
      </c>
      <c r="D6625" s="2" t="str">
        <f t="shared" si="102"/>
        <v>Error?</v>
      </c>
      <c r="E6625" s="2" t="s">
        <v>199</v>
      </c>
    </row>
    <row r="6626" spans="1:5">
      <c r="A6626">
        <v>6565</v>
      </c>
      <c r="B6626" s="137">
        <f>'Revenues 9-14'!C232</f>
        <v>0</v>
      </c>
      <c r="D6626" s="2" t="str">
        <f t="shared" si="102"/>
        <v>Error?</v>
      </c>
      <c r="E6626" s="2" t="s">
        <v>199</v>
      </c>
    </row>
    <row r="6627" spans="1:5">
      <c r="A6627">
        <v>6566</v>
      </c>
      <c r="B6627" s="137">
        <f>'Revenues 9-14'!D232</f>
        <v>0</v>
      </c>
      <c r="D6627" s="2" t="str">
        <f t="shared" si="102"/>
        <v>Error?</v>
      </c>
      <c r="E6627" s="2" t="s">
        <v>199</v>
      </c>
    </row>
    <row r="6628" spans="1:5">
      <c r="A6628">
        <v>6567</v>
      </c>
      <c r="B6628" s="137">
        <f>'Revenues 9-14'!E232</f>
        <v>0</v>
      </c>
      <c r="D6628" s="2" t="str">
        <f t="shared" si="102"/>
        <v>Error?</v>
      </c>
      <c r="E6628" s="2" t="s">
        <v>199</v>
      </c>
    </row>
    <row r="6629" spans="1:5">
      <c r="A6629">
        <v>6568</v>
      </c>
      <c r="B6629" s="137">
        <f>'Revenues 9-14'!F232</f>
        <v>0</v>
      </c>
      <c r="D6629" s="2" t="str">
        <f t="shared" si="102"/>
        <v>Error?</v>
      </c>
      <c r="E6629" s="2" t="s">
        <v>199</v>
      </c>
    </row>
    <row r="6630" spans="1:5">
      <c r="A6630">
        <v>6569</v>
      </c>
      <c r="B6630" s="137">
        <f>'Revenues 9-14'!G232</f>
        <v>0</v>
      </c>
      <c r="D6630" s="2" t="str">
        <f t="shared" si="102"/>
        <v>Error?</v>
      </c>
      <c r="E6630" s="2" t="s">
        <v>199</v>
      </c>
    </row>
    <row r="6631" spans="1:5">
      <c r="A6631">
        <v>6570</v>
      </c>
      <c r="B6631" s="137">
        <f>'Revenues 9-14'!H232</f>
        <v>0</v>
      </c>
      <c r="D6631" s="2" t="str">
        <f t="shared" si="102"/>
        <v>Error?</v>
      </c>
      <c r="E6631" s="2" t="s">
        <v>199</v>
      </c>
    </row>
    <row r="6632" spans="1:5">
      <c r="A6632">
        <v>6571</v>
      </c>
      <c r="B6632" s="137">
        <f>'Revenues 9-14'!J232</f>
        <v>0</v>
      </c>
      <c r="D6632" s="2" t="str">
        <f t="shared" si="102"/>
        <v>Error?</v>
      </c>
      <c r="E6632" s="2" t="s">
        <v>199</v>
      </c>
    </row>
    <row r="6633" spans="1:5">
      <c r="A6633">
        <v>6572</v>
      </c>
      <c r="B6633" s="137">
        <f>'Revenues 9-14'!K232</f>
        <v>0</v>
      </c>
      <c r="D6633" s="2" t="str">
        <f t="shared" si="102"/>
        <v>Error?</v>
      </c>
      <c r="E6633" s="2" t="s">
        <v>199</v>
      </c>
    </row>
    <row r="6634" spans="1:5">
      <c r="A6634">
        <v>6573</v>
      </c>
      <c r="B6634" s="137">
        <f>'Revenues 9-14'!C233</f>
        <v>0</v>
      </c>
      <c r="D6634" s="2" t="str">
        <f t="shared" si="102"/>
        <v>Error?</v>
      </c>
      <c r="E6634" s="2" t="s">
        <v>199</v>
      </c>
    </row>
    <row r="6635" spans="1:5">
      <c r="A6635">
        <v>6574</v>
      </c>
      <c r="B6635" s="137">
        <f>'Revenues 9-14'!D233</f>
        <v>0</v>
      </c>
      <c r="D6635" s="2" t="str">
        <f t="shared" si="102"/>
        <v>Error?</v>
      </c>
      <c r="E6635" s="2" t="s">
        <v>199</v>
      </c>
    </row>
    <row r="6636" spans="1:5">
      <c r="A6636">
        <v>6575</v>
      </c>
      <c r="B6636" s="137">
        <f>'Revenues 9-14'!E233</f>
        <v>0</v>
      </c>
      <c r="D6636" s="2" t="str">
        <f t="shared" si="102"/>
        <v>Error?</v>
      </c>
      <c r="E6636" s="2" t="s">
        <v>199</v>
      </c>
    </row>
    <row r="6637" spans="1:5">
      <c r="A6637">
        <v>6576</v>
      </c>
      <c r="B6637" s="137">
        <f>'Revenues 9-14'!F233</f>
        <v>0</v>
      </c>
      <c r="D6637" s="2" t="str">
        <f t="shared" si="102"/>
        <v>Error?</v>
      </c>
      <c r="E6637" s="2" t="s">
        <v>199</v>
      </c>
    </row>
    <row r="6638" spans="1:5">
      <c r="A6638">
        <v>6577</v>
      </c>
      <c r="B6638" s="137">
        <f>'Revenues 9-14'!G233</f>
        <v>0</v>
      </c>
      <c r="D6638" s="2" t="str">
        <f t="shared" si="102"/>
        <v>Error?</v>
      </c>
      <c r="E6638" s="2" t="s">
        <v>199</v>
      </c>
    </row>
    <row r="6639" spans="1:5">
      <c r="A6639">
        <v>6578</v>
      </c>
      <c r="B6639" s="137">
        <f>'Revenues 9-14'!H233</f>
        <v>0</v>
      </c>
      <c r="D6639" s="2" t="str">
        <f t="shared" si="102"/>
        <v>Error?</v>
      </c>
      <c r="E6639" s="2" t="s">
        <v>199</v>
      </c>
    </row>
    <row r="6640" spans="1:5">
      <c r="A6640">
        <v>6579</v>
      </c>
      <c r="B6640" s="137">
        <f>'Revenues 9-14'!J233</f>
        <v>0</v>
      </c>
      <c r="D6640" s="2" t="str">
        <f t="shared" si="102"/>
        <v>Error?</v>
      </c>
      <c r="E6640" s="2" t="s">
        <v>199</v>
      </c>
    </row>
    <row r="6641" spans="1:5">
      <c r="A6641">
        <v>6580</v>
      </c>
      <c r="B6641" s="137">
        <f>'Revenues 9-14'!K233</f>
        <v>0</v>
      </c>
      <c r="D6641" s="2" t="str">
        <f t="shared" si="102"/>
        <v>Error?</v>
      </c>
      <c r="E6641" s="2" t="s">
        <v>199</v>
      </c>
    </row>
    <row r="6642" spans="1:5">
      <c r="A6642">
        <v>6581</v>
      </c>
      <c r="B6642" s="137">
        <f>'Revenues 9-14'!C234</f>
        <v>0</v>
      </c>
      <c r="D6642" s="2" t="str">
        <f t="shared" si="102"/>
        <v>Error?</v>
      </c>
      <c r="E6642" s="2" t="s">
        <v>199</v>
      </c>
    </row>
    <row r="6643" spans="1:5">
      <c r="A6643">
        <v>6582</v>
      </c>
      <c r="B6643" s="137">
        <f>'Revenues 9-14'!D234</f>
        <v>0</v>
      </c>
      <c r="D6643" s="2" t="str">
        <f t="shared" si="102"/>
        <v>Error?</v>
      </c>
      <c r="E6643" s="2" t="s">
        <v>199</v>
      </c>
    </row>
    <row r="6644" spans="1:5">
      <c r="A6644">
        <v>6583</v>
      </c>
      <c r="B6644" s="137">
        <f>'Revenues 9-14'!E234</f>
        <v>0</v>
      </c>
      <c r="D6644" s="2" t="str">
        <f t="shared" si="102"/>
        <v>Error?</v>
      </c>
      <c r="E6644" s="2" t="s">
        <v>199</v>
      </c>
    </row>
    <row r="6645" spans="1:5">
      <c r="A6645">
        <v>6584</v>
      </c>
      <c r="B6645" s="137">
        <f>'Revenues 9-14'!F234</f>
        <v>0</v>
      </c>
      <c r="D6645" s="2" t="str">
        <f t="shared" si="102"/>
        <v>Error?</v>
      </c>
      <c r="E6645" s="2" t="s">
        <v>199</v>
      </c>
    </row>
    <row r="6646" spans="1:5">
      <c r="A6646">
        <v>6585</v>
      </c>
      <c r="B6646" s="137">
        <f>'Revenues 9-14'!G234</f>
        <v>0</v>
      </c>
      <c r="D6646" s="2" t="str">
        <f t="shared" si="102"/>
        <v>Error?</v>
      </c>
      <c r="E6646" s="2" t="s">
        <v>199</v>
      </c>
    </row>
    <row r="6647" spans="1:5">
      <c r="A6647">
        <v>6586</v>
      </c>
      <c r="B6647" s="137">
        <f>'Revenues 9-14'!H234</f>
        <v>0</v>
      </c>
      <c r="D6647" s="2" t="str">
        <f t="shared" si="102"/>
        <v>Error?</v>
      </c>
      <c r="E6647" s="2" t="s">
        <v>199</v>
      </c>
    </row>
    <row r="6648" spans="1:5">
      <c r="A6648">
        <v>6587</v>
      </c>
      <c r="B6648" s="137">
        <f>'Revenues 9-14'!J234</f>
        <v>0</v>
      </c>
      <c r="D6648" s="2" t="str">
        <f t="shared" si="102"/>
        <v>Error?</v>
      </c>
      <c r="E6648" s="2" t="s">
        <v>199</v>
      </c>
    </row>
    <row r="6649" spans="1:5">
      <c r="A6649">
        <v>6588</v>
      </c>
      <c r="B6649" s="137">
        <f>'Revenues 9-14'!K234</f>
        <v>0</v>
      </c>
      <c r="D6649" s="2" t="str">
        <f t="shared" si="102"/>
        <v>Error?</v>
      </c>
      <c r="E6649" s="2" t="s">
        <v>199</v>
      </c>
    </row>
    <row r="6650" spans="1:5">
      <c r="A6650">
        <v>6589</v>
      </c>
      <c r="B6650" s="137">
        <f>'Revenues 9-14'!C235</f>
        <v>0</v>
      </c>
      <c r="D6650" s="2" t="str">
        <f t="shared" si="102"/>
        <v>Error?</v>
      </c>
      <c r="E6650" s="2" t="s">
        <v>199</v>
      </c>
    </row>
    <row r="6651" spans="1:5">
      <c r="A6651">
        <v>6590</v>
      </c>
      <c r="B6651" s="137">
        <f>'Revenues 9-14'!D235</f>
        <v>0</v>
      </c>
      <c r="D6651" s="2" t="str">
        <f t="shared" si="102"/>
        <v>Error?</v>
      </c>
      <c r="E6651" s="2" t="s">
        <v>199</v>
      </c>
    </row>
    <row r="6652" spans="1:5">
      <c r="A6652">
        <v>6591</v>
      </c>
      <c r="B6652" s="137">
        <f>'Revenues 9-14'!E235</f>
        <v>0</v>
      </c>
      <c r="D6652" s="2" t="str">
        <f t="shared" si="102"/>
        <v>Error?</v>
      </c>
      <c r="E6652" s="2" t="s">
        <v>199</v>
      </c>
    </row>
    <row r="6653" spans="1:5">
      <c r="A6653">
        <v>6592</v>
      </c>
      <c r="B6653" s="137">
        <f>'Revenues 9-14'!F235</f>
        <v>0</v>
      </c>
      <c r="D6653" s="2" t="str">
        <f t="shared" si="102"/>
        <v>Error?</v>
      </c>
      <c r="E6653" s="2" t="s">
        <v>199</v>
      </c>
    </row>
    <row r="6654" spans="1:5">
      <c r="A6654">
        <v>6593</v>
      </c>
      <c r="B6654" s="137">
        <f>'Revenues 9-14'!G235</f>
        <v>0</v>
      </c>
      <c r="D6654" s="2" t="str">
        <f t="shared" si="102"/>
        <v>Error?</v>
      </c>
      <c r="E6654" s="2" t="s">
        <v>199</v>
      </c>
    </row>
    <row r="6655" spans="1:5">
      <c r="A6655">
        <v>6594</v>
      </c>
      <c r="B6655" s="137">
        <f>'Revenues 9-14'!H235</f>
        <v>0</v>
      </c>
      <c r="D6655" s="2" t="str">
        <f t="shared" ref="D6655:D6718" si="103">IF(ISBLANK(B6655),"OK",IF(A6655-B6655=0,"OK","Error?"))</f>
        <v>Error?</v>
      </c>
      <c r="E6655" s="2" t="s">
        <v>199</v>
      </c>
    </row>
    <row r="6656" spans="1:5">
      <c r="A6656">
        <v>6595</v>
      </c>
      <c r="B6656" s="137">
        <f>'Revenues 9-14'!J235</f>
        <v>0</v>
      </c>
      <c r="D6656" s="2" t="str">
        <f t="shared" si="103"/>
        <v>Error?</v>
      </c>
      <c r="E6656" s="2" t="s">
        <v>199</v>
      </c>
    </row>
    <row r="6657" spans="1:5">
      <c r="A6657">
        <v>6596</v>
      </c>
      <c r="B6657" s="137">
        <f>'Revenues 9-14'!K235</f>
        <v>0</v>
      </c>
      <c r="D6657" s="2" t="str">
        <f t="shared" si="103"/>
        <v>Error?</v>
      </c>
      <c r="E6657" s="2" t="s">
        <v>199</v>
      </c>
    </row>
    <row r="6658" spans="1:5">
      <c r="A6658">
        <v>6597</v>
      </c>
      <c r="B6658" s="137">
        <f>'Revenues 9-14'!C236</f>
        <v>0</v>
      </c>
      <c r="D6658" s="2" t="str">
        <f t="shared" si="103"/>
        <v>Error?</v>
      </c>
      <c r="E6658" s="2" t="s">
        <v>199</v>
      </c>
    </row>
    <row r="6659" spans="1:5">
      <c r="A6659">
        <v>6598</v>
      </c>
      <c r="B6659" s="137">
        <f>'Revenues 9-14'!D236</f>
        <v>0</v>
      </c>
      <c r="D6659" s="2" t="str">
        <f t="shared" si="103"/>
        <v>Error?</v>
      </c>
      <c r="E6659" s="2" t="s">
        <v>199</v>
      </c>
    </row>
    <row r="6660" spans="1:5">
      <c r="A6660">
        <v>6599</v>
      </c>
      <c r="B6660" s="137">
        <f>'Revenues 9-14'!E236</f>
        <v>0</v>
      </c>
      <c r="D6660" s="2" t="str">
        <f t="shared" si="103"/>
        <v>Error?</v>
      </c>
      <c r="E6660" s="2" t="s">
        <v>199</v>
      </c>
    </row>
    <row r="6661" spans="1:5">
      <c r="A6661">
        <v>6600</v>
      </c>
      <c r="B6661" s="137">
        <f>'Revenues 9-14'!F236</f>
        <v>0</v>
      </c>
      <c r="D6661" s="2" t="str">
        <f t="shared" si="103"/>
        <v>Error?</v>
      </c>
      <c r="E6661" s="2" t="s">
        <v>199</v>
      </c>
    </row>
    <row r="6662" spans="1:5">
      <c r="A6662">
        <v>6601</v>
      </c>
      <c r="B6662" s="137">
        <f>'Revenues 9-14'!G236</f>
        <v>0</v>
      </c>
      <c r="D6662" s="2" t="str">
        <f t="shared" si="103"/>
        <v>Error?</v>
      </c>
      <c r="E6662" s="2" t="s">
        <v>199</v>
      </c>
    </row>
    <row r="6663" spans="1:5">
      <c r="A6663">
        <v>6602</v>
      </c>
      <c r="B6663" s="137">
        <f>'Revenues 9-14'!H236</f>
        <v>0</v>
      </c>
      <c r="D6663" s="2" t="str">
        <f t="shared" si="103"/>
        <v>Error?</v>
      </c>
      <c r="E6663" s="2" t="s">
        <v>199</v>
      </c>
    </row>
    <row r="6664" spans="1:5">
      <c r="A6664">
        <v>6603</v>
      </c>
      <c r="B6664" s="137">
        <f>'Revenues 9-14'!J236</f>
        <v>0</v>
      </c>
      <c r="D6664" s="2" t="str">
        <f t="shared" si="103"/>
        <v>Error?</v>
      </c>
      <c r="E6664" s="2" t="s">
        <v>199</v>
      </c>
    </row>
    <row r="6665" spans="1:5">
      <c r="A6665">
        <v>6604</v>
      </c>
      <c r="B6665" s="137">
        <f>'Revenues 9-14'!K236</f>
        <v>0</v>
      </c>
      <c r="D6665" s="2" t="str">
        <f t="shared" si="103"/>
        <v>Error?</v>
      </c>
      <c r="E6665" s="2" t="s">
        <v>199</v>
      </c>
    </row>
    <row r="6666" spans="1:5">
      <c r="A6666">
        <v>6605</v>
      </c>
      <c r="B6666" s="137">
        <f>'Revenues 9-14'!C237</f>
        <v>0</v>
      </c>
      <c r="D6666" s="2" t="str">
        <f t="shared" si="103"/>
        <v>Error?</v>
      </c>
      <c r="E6666" s="2" t="s">
        <v>199</v>
      </c>
    </row>
    <row r="6667" spans="1:5">
      <c r="A6667">
        <v>6606</v>
      </c>
      <c r="B6667" s="137">
        <f>'Revenues 9-14'!D237</f>
        <v>0</v>
      </c>
      <c r="D6667" s="2" t="str">
        <f t="shared" si="103"/>
        <v>Error?</v>
      </c>
      <c r="E6667" s="2" t="s">
        <v>199</v>
      </c>
    </row>
    <row r="6668" spans="1:5">
      <c r="A6668">
        <v>6607</v>
      </c>
      <c r="B6668" s="137">
        <f>'Revenues 9-14'!E237</f>
        <v>0</v>
      </c>
      <c r="D6668" s="2" t="str">
        <f t="shared" si="103"/>
        <v>Error?</v>
      </c>
      <c r="E6668" s="2" t="s">
        <v>199</v>
      </c>
    </row>
    <row r="6669" spans="1:5">
      <c r="A6669">
        <v>6608</v>
      </c>
      <c r="B6669" s="137">
        <f>'Revenues 9-14'!F237</f>
        <v>0</v>
      </c>
      <c r="D6669" s="2" t="str">
        <f t="shared" si="103"/>
        <v>Error?</v>
      </c>
      <c r="E6669" s="2" t="s">
        <v>199</v>
      </c>
    </row>
    <row r="6670" spans="1:5">
      <c r="A6670">
        <v>6609</v>
      </c>
      <c r="B6670" s="137">
        <f>'Revenues 9-14'!G237</f>
        <v>0</v>
      </c>
      <c r="D6670" s="2" t="str">
        <f t="shared" si="103"/>
        <v>Error?</v>
      </c>
      <c r="E6670" s="2" t="s">
        <v>199</v>
      </c>
    </row>
    <row r="6671" spans="1:5">
      <c r="A6671">
        <v>6610</v>
      </c>
      <c r="B6671" s="137">
        <f>'Revenues 9-14'!H237</f>
        <v>0</v>
      </c>
      <c r="D6671" s="2" t="str">
        <f t="shared" si="103"/>
        <v>Error?</v>
      </c>
      <c r="E6671" s="2" t="s">
        <v>199</v>
      </c>
    </row>
    <row r="6672" spans="1:5">
      <c r="A6672">
        <v>6611</v>
      </c>
      <c r="B6672" s="137">
        <f>'Revenues 9-14'!J237</f>
        <v>0</v>
      </c>
      <c r="D6672" s="2" t="str">
        <f t="shared" si="103"/>
        <v>Error?</v>
      </c>
      <c r="E6672" s="2" t="s">
        <v>199</v>
      </c>
    </row>
    <row r="6673" spans="1:5">
      <c r="A6673">
        <v>6612</v>
      </c>
      <c r="B6673" s="137">
        <f>'Revenues 9-14'!K237</f>
        <v>0</v>
      </c>
      <c r="D6673" s="2" t="str">
        <f t="shared" si="103"/>
        <v>Error?</v>
      </c>
      <c r="E6673" s="2" t="s">
        <v>199</v>
      </c>
    </row>
    <row r="6674" spans="1:5">
      <c r="A6674">
        <v>6613</v>
      </c>
      <c r="B6674" s="137">
        <f>'Revenues 9-14'!C238</f>
        <v>0</v>
      </c>
      <c r="D6674" s="2" t="str">
        <f t="shared" si="103"/>
        <v>Error?</v>
      </c>
      <c r="E6674" s="2" t="s">
        <v>199</v>
      </c>
    </row>
    <row r="6675" spans="1:5">
      <c r="A6675">
        <v>6614</v>
      </c>
      <c r="B6675" s="137">
        <f>'Revenues 9-14'!D238</f>
        <v>0</v>
      </c>
      <c r="D6675" s="2" t="str">
        <f t="shared" si="103"/>
        <v>Error?</v>
      </c>
      <c r="E6675" s="2" t="s">
        <v>199</v>
      </c>
    </row>
    <row r="6676" spans="1:5">
      <c r="A6676">
        <v>6615</v>
      </c>
      <c r="B6676" s="137">
        <f>'Revenues 9-14'!E238</f>
        <v>0</v>
      </c>
      <c r="D6676" s="2" t="str">
        <f t="shared" si="103"/>
        <v>Error?</v>
      </c>
      <c r="E6676" s="2" t="s">
        <v>199</v>
      </c>
    </row>
    <row r="6677" spans="1:5">
      <c r="A6677">
        <v>6616</v>
      </c>
      <c r="B6677" s="137">
        <f>'Revenues 9-14'!F238</f>
        <v>0</v>
      </c>
      <c r="D6677" s="2" t="str">
        <f t="shared" si="103"/>
        <v>Error?</v>
      </c>
      <c r="E6677" s="2" t="s">
        <v>199</v>
      </c>
    </row>
    <row r="6678" spans="1:5">
      <c r="A6678">
        <v>6617</v>
      </c>
      <c r="B6678" s="137">
        <f>'Revenues 9-14'!G238</f>
        <v>0</v>
      </c>
      <c r="D6678" s="2" t="str">
        <f t="shared" si="103"/>
        <v>Error?</v>
      </c>
      <c r="E6678" s="2" t="s">
        <v>199</v>
      </c>
    </row>
    <row r="6679" spans="1:5">
      <c r="A6679">
        <v>6618</v>
      </c>
      <c r="B6679" s="137">
        <f>'Revenues 9-14'!H238</f>
        <v>0</v>
      </c>
      <c r="D6679" s="2" t="str">
        <f t="shared" si="103"/>
        <v>Error?</v>
      </c>
      <c r="E6679" s="2" t="s">
        <v>199</v>
      </c>
    </row>
    <row r="6680" spans="1:5">
      <c r="A6680">
        <v>6619</v>
      </c>
      <c r="B6680" s="137">
        <f>'Revenues 9-14'!J238</f>
        <v>0</v>
      </c>
      <c r="D6680" s="2" t="str">
        <f t="shared" si="103"/>
        <v>Error?</v>
      </c>
      <c r="E6680" s="2" t="s">
        <v>199</v>
      </c>
    </row>
    <row r="6681" spans="1:5">
      <c r="A6681">
        <v>6620</v>
      </c>
      <c r="B6681" s="137">
        <f>'Revenues 9-14'!K238</f>
        <v>0</v>
      </c>
      <c r="D6681" s="2" t="str">
        <f t="shared" si="103"/>
        <v>Error?</v>
      </c>
      <c r="E6681" s="2" t="s">
        <v>199</v>
      </c>
    </row>
    <row r="6682" spans="1:5">
      <c r="A6682">
        <v>6621</v>
      </c>
      <c r="B6682" s="137">
        <f>'Revenues 9-14'!C239</f>
        <v>0</v>
      </c>
      <c r="D6682" s="2" t="str">
        <f t="shared" si="103"/>
        <v>Error?</v>
      </c>
      <c r="E6682" s="2" t="s">
        <v>199</v>
      </c>
    </row>
    <row r="6683" spans="1:5">
      <c r="A6683">
        <v>6622</v>
      </c>
      <c r="B6683" s="137">
        <f>'Revenues 9-14'!D239</f>
        <v>0</v>
      </c>
      <c r="D6683" s="2" t="str">
        <f t="shared" si="103"/>
        <v>Error?</v>
      </c>
      <c r="E6683" s="2" t="s">
        <v>199</v>
      </c>
    </row>
    <row r="6684" spans="1:5">
      <c r="A6684">
        <v>6623</v>
      </c>
      <c r="B6684" s="137">
        <f>'Revenues 9-14'!E239</f>
        <v>0</v>
      </c>
      <c r="D6684" s="2" t="str">
        <f t="shared" si="103"/>
        <v>Error?</v>
      </c>
      <c r="E6684" s="2" t="s">
        <v>199</v>
      </c>
    </row>
    <row r="6685" spans="1:5">
      <c r="A6685">
        <v>6624</v>
      </c>
      <c r="B6685" s="137">
        <f>'Revenues 9-14'!F239</f>
        <v>0</v>
      </c>
      <c r="D6685" s="2" t="str">
        <f t="shared" si="103"/>
        <v>Error?</v>
      </c>
      <c r="E6685" s="2" t="s">
        <v>199</v>
      </c>
    </row>
    <row r="6686" spans="1:5">
      <c r="A6686">
        <v>6625</v>
      </c>
      <c r="B6686" s="137">
        <f>'Revenues 9-14'!G239</f>
        <v>0</v>
      </c>
      <c r="D6686" s="2" t="str">
        <f t="shared" si="103"/>
        <v>Error?</v>
      </c>
      <c r="E6686" s="2" t="s">
        <v>199</v>
      </c>
    </row>
    <row r="6687" spans="1:5">
      <c r="A6687">
        <v>6626</v>
      </c>
      <c r="B6687" s="137">
        <f>'Revenues 9-14'!H239</f>
        <v>0</v>
      </c>
      <c r="D6687" s="2" t="str">
        <f t="shared" si="103"/>
        <v>Error?</v>
      </c>
      <c r="E6687" s="2" t="s">
        <v>199</v>
      </c>
    </row>
    <row r="6688" spans="1:5">
      <c r="A6688">
        <v>6627</v>
      </c>
      <c r="B6688" s="137">
        <f>'Revenues 9-14'!J239</f>
        <v>0</v>
      </c>
      <c r="D6688" s="2" t="str">
        <f t="shared" si="103"/>
        <v>Error?</v>
      </c>
      <c r="E6688" s="2" t="s">
        <v>199</v>
      </c>
    </row>
    <row r="6689" spans="1:5">
      <c r="A6689">
        <v>6628</v>
      </c>
      <c r="B6689" s="137">
        <f>'Revenues 9-14'!K239</f>
        <v>0</v>
      </c>
      <c r="D6689" s="2" t="str">
        <f t="shared" si="103"/>
        <v>Error?</v>
      </c>
      <c r="E6689" s="2" t="s">
        <v>199</v>
      </c>
    </row>
    <row r="6690" spans="1:5">
      <c r="A6690">
        <v>6629</v>
      </c>
      <c r="B6690" s="137">
        <f>'Revenues 9-14'!C240</f>
        <v>0</v>
      </c>
      <c r="D6690" s="2" t="str">
        <f t="shared" si="103"/>
        <v>Error?</v>
      </c>
      <c r="E6690" s="2" t="s">
        <v>199</v>
      </c>
    </row>
    <row r="6691" spans="1:5">
      <c r="A6691">
        <v>6630</v>
      </c>
      <c r="B6691" s="137">
        <f>'Revenues 9-14'!D240</f>
        <v>0</v>
      </c>
      <c r="D6691" s="2" t="str">
        <f t="shared" si="103"/>
        <v>Error?</v>
      </c>
      <c r="E6691" s="2" t="s">
        <v>199</v>
      </c>
    </row>
    <row r="6692" spans="1:5">
      <c r="A6692">
        <v>6631</v>
      </c>
      <c r="B6692" s="137">
        <f>'Revenues 9-14'!F240</f>
        <v>0</v>
      </c>
      <c r="D6692" s="2" t="str">
        <f t="shared" si="103"/>
        <v>Error?</v>
      </c>
      <c r="E6692" s="2" t="s">
        <v>199</v>
      </c>
    </row>
    <row r="6693" spans="1:5">
      <c r="A6693">
        <v>6632</v>
      </c>
      <c r="B6693" s="137">
        <f>'Revenues 9-14'!G240</f>
        <v>0</v>
      </c>
      <c r="D6693" s="2" t="str">
        <f t="shared" si="103"/>
        <v>Error?</v>
      </c>
      <c r="E6693" s="2" t="s">
        <v>199</v>
      </c>
    </row>
    <row r="6694" spans="1:5">
      <c r="A6694">
        <v>6633</v>
      </c>
      <c r="B6694" s="137">
        <f>'Revenues 9-14'!C241</f>
        <v>0</v>
      </c>
      <c r="D6694" s="2" t="str">
        <f t="shared" si="103"/>
        <v>Error?</v>
      </c>
      <c r="E6694" s="2" t="s">
        <v>199</v>
      </c>
    </row>
    <row r="6695" spans="1:5">
      <c r="A6695">
        <v>6634</v>
      </c>
      <c r="B6695" s="137">
        <f>'Revenues 9-14'!D241</f>
        <v>0</v>
      </c>
      <c r="D6695" s="2" t="str">
        <f t="shared" si="103"/>
        <v>Error?</v>
      </c>
      <c r="E6695" s="2" t="s">
        <v>199</v>
      </c>
    </row>
    <row r="6696" spans="1:5">
      <c r="A6696">
        <v>6635</v>
      </c>
      <c r="B6696" s="137">
        <f>'Revenues 9-14'!C242</f>
        <v>0</v>
      </c>
      <c r="D6696" s="2" t="str">
        <f t="shared" si="103"/>
        <v>Error?</v>
      </c>
      <c r="E6696" s="2" t="s">
        <v>199</v>
      </c>
    </row>
    <row r="6697" spans="1:5">
      <c r="A6697">
        <v>6636</v>
      </c>
      <c r="B6697" s="137">
        <f>'Revenues 9-14'!D242</f>
        <v>0</v>
      </c>
      <c r="D6697" s="2" t="str">
        <f t="shared" si="103"/>
        <v>Error?</v>
      </c>
      <c r="E6697" s="2" t="s">
        <v>199</v>
      </c>
    </row>
    <row r="6698" spans="1:5">
      <c r="A6698">
        <v>6637</v>
      </c>
      <c r="B6698" s="137">
        <f>'Revenues 9-14'!E242</f>
        <v>0</v>
      </c>
      <c r="D6698" s="2" t="str">
        <f t="shared" si="103"/>
        <v>Error?</v>
      </c>
      <c r="E6698" s="2" t="s">
        <v>199</v>
      </c>
    </row>
    <row r="6699" spans="1:5">
      <c r="A6699">
        <v>6638</v>
      </c>
      <c r="B6699" s="137">
        <f>'Revenues 9-14'!F242</f>
        <v>0</v>
      </c>
      <c r="D6699" s="2" t="str">
        <f t="shared" si="103"/>
        <v>Error?</v>
      </c>
      <c r="E6699" s="2" t="s">
        <v>199</v>
      </c>
    </row>
    <row r="6700" spans="1:5">
      <c r="A6700">
        <v>6639</v>
      </c>
      <c r="B6700" s="137">
        <f>'Revenues 9-14'!G242</f>
        <v>0</v>
      </c>
      <c r="D6700" s="2" t="str">
        <f t="shared" si="103"/>
        <v>Error?</v>
      </c>
      <c r="E6700" s="2" t="s">
        <v>199</v>
      </c>
    </row>
    <row r="6701" spans="1:5">
      <c r="A6701">
        <v>6640</v>
      </c>
      <c r="B6701" s="137">
        <f>'Revenues 9-14'!H242</f>
        <v>0</v>
      </c>
      <c r="D6701" s="2" t="str">
        <f t="shared" si="103"/>
        <v>Error?</v>
      </c>
      <c r="E6701" s="2" t="s">
        <v>199</v>
      </c>
    </row>
    <row r="6702" spans="1:5">
      <c r="A6702">
        <v>6641</v>
      </c>
      <c r="B6702" s="137">
        <f>'Revenues 9-14'!J242</f>
        <v>0</v>
      </c>
      <c r="D6702" s="2" t="str">
        <f t="shared" si="103"/>
        <v>Error?</v>
      </c>
      <c r="E6702" s="2" t="s">
        <v>199</v>
      </c>
    </row>
    <row r="6703" spans="1:5">
      <c r="A6703">
        <v>6642</v>
      </c>
      <c r="B6703" s="137">
        <f>'Revenues 9-14'!K242</f>
        <v>0</v>
      </c>
      <c r="D6703" s="2" t="str">
        <f t="shared" si="103"/>
        <v>Error?</v>
      </c>
      <c r="E6703" s="2" t="s">
        <v>199</v>
      </c>
    </row>
    <row r="6704" spans="1:5">
      <c r="A6704">
        <v>6643</v>
      </c>
      <c r="B6704" s="137">
        <f>'Revenues 9-14'!C243</f>
        <v>0</v>
      </c>
      <c r="D6704" s="2" t="str">
        <f t="shared" si="103"/>
        <v>Error?</v>
      </c>
      <c r="E6704" s="2" t="s">
        <v>199</v>
      </c>
    </row>
    <row r="6705" spans="1:5">
      <c r="A6705">
        <v>6644</v>
      </c>
      <c r="B6705" s="137">
        <f>'Revenues 9-14'!D243</f>
        <v>0</v>
      </c>
      <c r="D6705" s="2" t="str">
        <f t="shared" si="103"/>
        <v>Error?</v>
      </c>
      <c r="E6705" s="2" t="s">
        <v>199</v>
      </c>
    </row>
    <row r="6706" spans="1:5">
      <c r="A6706">
        <v>6645</v>
      </c>
      <c r="B6706" s="137">
        <f>'Revenues 9-14'!E243</f>
        <v>0</v>
      </c>
      <c r="D6706" s="2" t="str">
        <f t="shared" si="103"/>
        <v>Error?</v>
      </c>
      <c r="E6706" s="2" t="s">
        <v>199</v>
      </c>
    </row>
    <row r="6707" spans="1:5">
      <c r="A6707">
        <v>6646</v>
      </c>
      <c r="B6707" s="137">
        <f>'Revenues 9-14'!F243</f>
        <v>0</v>
      </c>
      <c r="D6707" s="2" t="str">
        <f t="shared" si="103"/>
        <v>Error?</v>
      </c>
      <c r="E6707" s="2" t="s">
        <v>199</v>
      </c>
    </row>
    <row r="6708" spans="1:5">
      <c r="A6708">
        <v>6647</v>
      </c>
      <c r="B6708" s="137">
        <f>'Revenues 9-14'!G243</f>
        <v>0</v>
      </c>
      <c r="D6708" s="2" t="str">
        <f t="shared" si="103"/>
        <v>Error?</v>
      </c>
      <c r="E6708" s="2" t="s">
        <v>199</v>
      </c>
    </row>
    <row r="6709" spans="1:5">
      <c r="A6709">
        <v>6648</v>
      </c>
      <c r="B6709" s="137">
        <f>'Revenues 9-14'!H243</f>
        <v>0</v>
      </c>
      <c r="D6709" s="2" t="str">
        <f t="shared" si="103"/>
        <v>Error?</v>
      </c>
      <c r="E6709" s="2" t="s">
        <v>199</v>
      </c>
    </row>
    <row r="6710" spans="1:5">
      <c r="A6710">
        <v>6649</v>
      </c>
      <c r="B6710" s="137">
        <f>'Revenues 9-14'!J243</f>
        <v>0</v>
      </c>
      <c r="D6710" s="2" t="str">
        <f t="shared" si="103"/>
        <v>Error?</v>
      </c>
      <c r="E6710" s="2" t="s">
        <v>199</v>
      </c>
    </row>
    <row r="6711" spans="1:5">
      <c r="A6711">
        <v>6650</v>
      </c>
      <c r="B6711" s="137">
        <f>'Revenues 9-14'!K243</f>
        <v>0</v>
      </c>
      <c r="D6711" s="2" t="str">
        <f t="shared" si="103"/>
        <v>Error?</v>
      </c>
      <c r="E6711" s="2" t="s">
        <v>199</v>
      </c>
    </row>
    <row r="6712" spans="1:5">
      <c r="A6712">
        <v>6651</v>
      </c>
      <c r="B6712" s="137">
        <f>'Revenues 9-14'!C244</f>
        <v>0</v>
      </c>
      <c r="D6712" s="2" t="str">
        <f t="shared" si="103"/>
        <v>Error?</v>
      </c>
      <c r="E6712" s="2" t="s">
        <v>199</v>
      </c>
    </row>
    <row r="6713" spans="1:5">
      <c r="A6713">
        <v>6652</v>
      </c>
      <c r="B6713" s="137">
        <f>'Revenues 9-14'!D244</f>
        <v>0</v>
      </c>
      <c r="D6713" s="2" t="str">
        <f t="shared" si="103"/>
        <v>Error?</v>
      </c>
      <c r="E6713" s="2" t="s">
        <v>199</v>
      </c>
    </row>
    <row r="6714" spans="1:5">
      <c r="A6714">
        <v>6653</v>
      </c>
      <c r="B6714" s="137">
        <f>'Revenues 9-14'!E244</f>
        <v>0</v>
      </c>
      <c r="D6714" s="2" t="str">
        <f t="shared" si="103"/>
        <v>Error?</v>
      </c>
      <c r="E6714" s="2" t="s">
        <v>199</v>
      </c>
    </row>
    <row r="6715" spans="1:5">
      <c r="A6715">
        <v>6654</v>
      </c>
      <c r="B6715" s="137">
        <f>'Revenues 9-14'!F244</f>
        <v>0</v>
      </c>
      <c r="D6715" s="2" t="str">
        <f t="shared" si="103"/>
        <v>Error?</v>
      </c>
      <c r="E6715" s="2" t="s">
        <v>199</v>
      </c>
    </row>
    <row r="6716" spans="1:5">
      <c r="A6716">
        <v>6655</v>
      </c>
      <c r="B6716" s="137">
        <f>'Revenues 9-14'!G244</f>
        <v>0</v>
      </c>
      <c r="D6716" s="2" t="str">
        <f t="shared" si="103"/>
        <v>Error?</v>
      </c>
      <c r="E6716" s="2" t="s">
        <v>199</v>
      </c>
    </row>
    <row r="6717" spans="1:5">
      <c r="A6717">
        <v>6656</v>
      </c>
      <c r="B6717" s="137">
        <f>'Revenues 9-14'!H244</f>
        <v>0</v>
      </c>
      <c r="D6717" s="2" t="str">
        <f t="shared" si="103"/>
        <v>Error?</v>
      </c>
      <c r="E6717" s="2" t="s">
        <v>199</v>
      </c>
    </row>
    <row r="6718" spans="1:5">
      <c r="A6718">
        <v>6657</v>
      </c>
      <c r="B6718" s="137">
        <f>'Revenues 9-14'!J244</f>
        <v>0</v>
      </c>
      <c r="D6718" s="2" t="str">
        <f t="shared" si="103"/>
        <v>Error?</v>
      </c>
      <c r="E6718" s="2" t="s">
        <v>199</v>
      </c>
    </row>
    <row r="6719" spans="1:5">
      <c r="A6719">
        <v>6658</v>
      </c>
      <c r="B6719" s="137">
        <f>'Revenues 9-14'!K244</f>
        <v>0</v>
      </c>
      <c r="D6719" s="2" t="str">
        <f t="shared" ref="D6719:D6782" si="104">IF(ISBLANK(B6719),"OK",IF(A6719-B6719=0,"OK","Error?"))</f>
        <v>Error?</v>
      </c>
      <c r="E6719" s="2" t="s">
        <v>199</v>
      </c>
    </row>
    <row r="6720" spans="1:5">
      <c r="A6720">
        <v>6659</v>
      </c>
      <c r="B6720" s="137">
        <f>'Revenues 9-14'!C245</f>
        <v>0</v>
      </c>
      <c r="D6720" s="2" t="str">
        <f t="shared" si="104"/>
        <v>Error?</v>
      </c>
      <c r="E6720" s="2" t="s">
        <v>199</v>
      </c>
    </row>
    <row r="6721" spans="1:5">
      <c r="A6721">
        <v>6660</v>
      </c>
      <c r="B6721" s="137">
        <f>'Revenues 9-14'!D245</f>
        <v>0</v>
      </c>
      <c r="D6721" s="2" t="str">
        <f t="shared" si="104"/>
        <v>Error?</v>
      </c>
      <c r="E6721" s="2" t="s">
        <v>199</v>
      </c>
    </row>
    <row r="6722" spans="1:5">
      <c r="A6722">
        <v>6661</v>
      </c>
      <c r="B6722" s="137">
        <f>'Revenues 9-14'!E245</f>
        <v>0</v>
      </c>
      <c r="D6722" s="2" t="str">
        <f t="shared" si="104"/>
        <v>Error?</v>
      </c>
      <c r="E6722" s="2" t="s">
        <v>199</v>
      </c>
    </row>
    <row r="6723" spans="1:5">
      <c r="A6723">
        <v>6662</v>
      </c>
      <c r="B6723" s="137">
        <f>'Revenues 9-14'!F245</f>
        <v>0</v>
      </c>
      <c r="D6723" s="2" t="str">
        <f t="shared" si="104"/>
        <v>Error?</v>
      </c>
      <c r="E6723" s="2" t="s">
        <v>199</v>
      </c>
    </row>
    <row r="6724" spans="1:5">
      <c r="A6724">
        <v>6663</v>
      </c>
      <c r="B6724" s="137">
        <f>'Revenues 9-14'!G245</f>
        <v>0</v>
      </c>
      <c r="D6724" s="2" t="str">
        <f t="shared" si="104"/>
        <v>Error?</v>
      </c>
      <c r="E6724" s="2" t="s">
        <v>199</v>
      </c>
    </row>
    <row r="6725" spans="1:5">
      <c r="A6725">
        <v>6664</v>
      </c>
      <c r="B6725" s="137">
        <f>'Revenues 9-14'!H245</f>
        <v>0</v>
      </c>
      <c r="D6725" s="2" t="str">
        <f t="shared" si="104"/>
        <v>Error?</v>
      </c>
      <c r="E6725" s="2" t="s">
        <v>199</v>
      </c>
    </row>
    <row r="6726" spans="1:5">
      <c r="A6726">
        <v>6665</v>
      </c>
      <c r="B6726" s="137">
        <f>'Revenues 9-14'!J245</f>
        <v>0</v>
      </c>
      <c r="D6726" s="2" t="str">
        <f t="shared" si="104"/>
        <v>Error?</v>
      </c>
      <c r="E6726" s="2" t="s">
        <v>199</v>
      </c>
    </row>
    <row r="6727" spans="1:5">
      <c r="A6727" s="8">
        <v>6666</v>
      </c>
      <c r="B6727" s="137">
        <f>'Expenditures 15-22'!C7</f>
        <v>0</v>
      </c>
      <c r="D6727" s="2" t="str">
        <f t="shared" si="104"/>
        <v>Error?</v>
      </c>
      <c r="E6727" s="2" t="s">
        <v>200</v>
      </c>
    </row>
    <row r="6728" spans="1:5">
      <c r="A6728">
        <v>6667</v>
      </c>
      <c r="B6728" s="137">
        <f>'Revenues 9-14'!K245</f>
        <v>0</v>
      </c>
      <c r="D6728" s="2" t="str">
        <f t="shared" si="104"/>
        <v>Error?</v>
      </c>
      <c r="E6728" s="2" t="s">
        <v>199</v>
      </c>
    </row>
    <row r="6729" spans="1:5">
      <c r="A6729">
        <v>6668</v>
      </c>
      <c r="B6729" s="137">
        <f>'Revenues 9-14'!C246</f>
        <v>0</v>
      </c>
      <c r="D6729" s="2" t="str">
        <f t="shared" si="104"/>
        <v>Error?</v>
      </c>
      <c r="E6729" s="2" t="s">
        <v>199</v>
      </c>
    </row>
    <row r="6730" spans="1:5">
      <c r="A6730">
        <v>6669</v>
      </c>
      <c r="B6730" s="137">
        <f>'Revenues 9-14'!D246</f>
        <v>0</v>
      </c>
      <c r="D6730" s="2" t="str">
        <f t="shared" si="104"/>
        <v>Error?</v>
      </c>
      <c r="E6730" s="2" t="s">
        <v>199</v>
      </c>
    </row>
    <row r="6731" spans="1:5">
      <c r="A6731">
        <v>6670</v>
      </c>
      <c r="B6731" s="137">
        <f>'Revenues 9-14'!E246</f>
        <v>0</v>
      </c>
      <c r="D6731" s="2" t="str">
        <f t="shared" si="104"/>
        <v>Error?</v>
      </c>
      <c r="E6731" s="2" t="s">
        <v>199</v>
      </c>
    </row>
    <row r="6732" spans="1:5">
      <c r="A6732">
        <v>6671</v>
      </c>
      <c r="B6732" s="137">
        <f>'Revenues 9-14'!F246</f>
        <v>0</v>
      </c>
      <c r="D6732" s="2" t="str">
        <f t="shared" si="104"/>
        <v>Error?</v>
      </c>
      <c r="E6732" s="2" t="s">
        <v>199</v>
      </c>
    </row>
    <row r="6733" spans="1:5">
      <c r="A6733">
        <v>6672</v>
      </c>
      <c r="B6733" s="137">
        <f>'Revenues 9-14'!G246</f>
        <v>0</v>
      </c>
      <c r="D6733" s="2" t="str">
        <f t="shared" si="104"/>
        <v>Error?</v>
      </c>
      <c r="E6733" s="2" t="s">
        <v>199</v>
      </c>
    </row>
    <row r="6734" spans="1:5">
      <c r="A6734">
        <v>6673</v>
      </c>
      <c r="B6734" s="137">
        <f>'Revenues 9-14'!H246</f>
        <v>0</v>
      </c>
      <c r="D6734" s="2" t="str">
        <f t="shared" si="104"/>
        <v>Error?</v>
      </c>
      <c r="E6734" s="2" t="s">
        <v>199</v>
      </c>
    </row>
    <row r="6735" spans="1:5">
      <c r="A6735">
        <v>6674</v>
      </c>
      <c r="B6735" s="137">
        <f>'Revenues 9-14'!J246</f>
        <v>0</v>
      </c>
      <c r="D6735" s="2" t="str">
        <f t="shared" si="104"/>
        <v>Error?</v>
      </c>
      <c r="E6735" s="2" t="s">
        <v>199</v>
      </c>
    </row>
    <row r="6736" spans="1:5">
      <c r="A6736">
        <v>6675</v>
      </c>
      <c r="B6736" s="137">
        <f>'Revenues 9-14'!K246</f>
        <v>0</v>
      </c>
      <c r="D6736" s="2" t="str">
        <f t="shared" si="104"/>
        <v>Error?</v>
      </c>
      <c r="E6736" s="2" t="s">
        <v>199</v>
      </c>
    </row>
    <row r="6737" spans="1:5">
      <c r="A6737">
        <v>6676</v>
      </c>
      <c r="B6737" s="137">
        <f>'Revenues 9-14'!C247</f>
        <v>0</v>
      </c>
      <c r="D6737" s="2" t="str">
        <f t="shared" si="104"/>
        <v>Error?</v>
      </c>
      <c r="E6737" s="2" t="s">
        <v>199</v>
      </c>
    </row>
    <row r="6738" spans="1:5">
      <c r="A6738">
        <v>6677</v>
      </c>
      <c r="B6738" s="137">
        <f>'Revenues 9-14'!D247</f>
        <v>0</v>
      </c>
      <c r="D6738" s="2" t="str">
        <f t="shared" si="104"/>
        <v>Error?</v>
      </c>
      <c r="E6738" s="2" t="s">
        <v>199</v>
      </c>
    </row>
    <row r="6739" spans="1:5">
      <c r="A6739">
        <v>6678</v>
      </c>
      <c r="B6739" s="137">
        <f>'Revenues 9-14'!E247</f>
        <v>0</v>
      </c>
      <c r="D6739" s="2" t="str">
        <f t="shared" si="104"/>
        <v>Error?</v>
      </c>
      <c r="E6739" s="2" t="s">
        <v>199</v>
      </c>
    </row>
    <row r="6740" spans="1:5">
      <c r="A6740">
        <v>6679</v>
      </c>
      <c r="B6740" s="137">
        <f>'Revenues 9-14'!F247</f>
        <v>0</v>
      </c>
      <c r="D6740" s="2" t="str">
        <f t="shared" si="104"/>
        <v>Error?</v>
      </c>
      <c r="E6740" s="2" t="s">
        <v>199</v>
      </c>
    </row>
    <row r="6741" spans="1:5">
      <c r="A6741">
        <v>6680</v>
      </c>
      <c r="B6741" s="137">
        <f>'Revenues 9-14'!G247</f>
        <v>0</v>
      </c>
      <c r="D6741" s="2" t="str">
        <f t="shared" si="104"/>
        <v>Error?</v>
      </c>
      <c r="E6741" s="2" t="s">
        <v>199</v>
      </c>
    </row>
    <row r="6742" spans="1:5">
      <c r="A6742">
        <v>6681</v>
      </c>
      <c r="B6742" s="137">
        <f>'Revenues 9-14'!H247</f>
        <v>0</v>
      </c>
      <c r="D6742" s="2" t="str">
        <f t="shared" si="104"/>
        <v>Error?</v>
      </c>
      <c r="E6742" s="2" t="s">
        <v>199</v>
      </c>
    </row>
    <row r="6743" spans="1:5">
      <c r="A6743">
        <v>6682</v>
      </c>
      <c r="B6743" s="137">
        <f>'Revenues 9-14'!J247</f>
        <v>0</v>
      </c>
      <c r="D6743" s="2" t="str">
        <f t="shared" si="104"/>
        <v>Error?</v>
      </c>
      <c r="E6743" s="2" t="s">
        <v>199</v>
      </c>
    </row>
    <row r="6744" spans="1:5">
      <c r="A6744">
        <v>6683</v>
      </c>
      <c r="B6744" s="137">
        <f>'Revenues 9-14'!K247</f>
        <v>0</v>
      </c>
      <c r="D6744" s="2" t="str">
        <f t="shared" si="104"/>
        <v>Error?</v>
      </c>
      <c r="E6744" s="2" t="s">
        <v>199</v>
      </c>
    </row>
    <row r="6745" spans="1:5">
      <c r="A6745">
        <v>6684</v>
      </c>
      <c r="B6745" s="137">
        <f>'Revenues 9-14'!C248</f>
        <v>0</v>
      </c>
      <c r="D6745" s="2" t="str">
        <f t="shared" si="104"/>
        <v>Error?</v>
      </c>
      <c r="E6745" s="2" t="s">
        <v>199</v>
      </c>
    </row>
    <row r="6746" spans="1:5">
      <c r="A6746">
        <v>6685</v>
      </c>
      <c r="B6746" s="137">
        <f>'Revenues 9-14'!D248</f>
        <v>0</v>
      </c>
      <c r="D6746" s="2" t="str">
        <f t="shared" si="104"/>
        <v>Error?</v>
      </c>
      <c r="E6746" s="2" t="s">
        <v>199</v>
      </c>
    </row>
    <row r="6747" spans="1:5">
      <c r="A6747">
        <v>6686</v>
      </c>
      <c r="B6747" s="137">
        <f>'Revenues 9-14'!E248</f>
        <v>0</v>
      </c>
      <c r="D6747" s="2" t="str">
        <f t="shared" si="104"/>
        <v>Error?</v>
      </c>
      <c r="E6747" s="2" t="s">
        <v>199</v>
      </c>
    </row>
    <row r="6748" spans="1:5">
      <c r="A6748">
        <v>6687</v>
      </c>
      <c r="B6748" s="137">
        <f>'Revenues 9-14'!F248</f>
        <v>0</v>
      </c>
      <c r="D6748" s="2" t="str">
        <f t="shared" si="104"/>
        <v>Error?</v>
      </c>
      <c r="E6748" s="2" t="s">
        <v>199</v>
      </c>
    </row>
    <row r="6749" spans="1:5">
      <c r="A6749">
        <v>6688</v>
      </c>
      <c r="B6749" s="137">
        <f>'Revenues 9-14'!G248</f>
        <v>0</v>
      </c>
      <c r="D6749" s="2" t="str">
        <f t="shared" si="104"/>
        <v>Error?</v>
      </c>
      <c r="E6749" s="2" t="s">
        <v>199</v>
      </c>
    </row>
    <row r="6750" spans="1:5">
      <c r="A6750">
        <v>6689</v>
      </c>
      <c r="B6750" s="137">
        <f>'Revenues 9-14'!H248</f>
        <v>0</v>
      </c>
      <c r="D6750" s="2" t="str">
        <f t="shared" si="104"/>
        <v>Error?</v>
      </c>
      <c r="E6750" s="2" t="s">
        <v>199</v>
      </c>
    </row>
    <row r="6751" spans="1:5">
      <c r="A6751">
        <v>6690</v>
      </c>
      <c r="B6751" s="137">
        <f>'Revenues 9-14'!J248</f>
        <v>0</v>
      </c>
      <c r="D6751" s="2" t="str">
        <f t="shared" si="104"/>
        <v>Error?</v>
      </c>
      <c r="E6751" s="2" t="s">
        <v>199</v>
      </c>
    </row>
    <row r="6752" spans="1:5">
      <c r="A6752">
        <v>6691</v>
      </c>
      <c r="B6752" s="137">
        <f>'Revenues 9-14'!K248</f>
        <v>0</v>
      </c>
      <c r="D6752" s="2" t="str">
        <f t="shared" si="104"/>
        <v>Error?</v>
      </c>
      <c r="E6752" s="2" t="s">
        <v>199</v>
      </c>
    </row>
    <row r="6753" spans="1:5">
      <c r="A6753">
        <v>6692</v>
      </c>
      <c r="B6753" s="137">
        <f>'Revenues 9-14'!C249</f>
        <v>0</v>
      </c>
      <c r="D6753" s="2" t="str">
        <f t="shared" si="104"/>
        <v>Error?</v>
      </c>
      <c r="E6753" s="2" t="s">
        <v>199</v>
      </c>
    </row>
    <row r="6754" spans="1:5">
      <c r="A6754">
        <v>6693</v>
      </c>
      <c r="B6754" s="137">
        <f>'Revenues 9-14'!D249</f>
        <v>0</v>
      </c>
      <c r="D6754" s="2" t="str">
        <f t="shared" si="104"/>
        <v>Error?</v>
      </c>
      <c r="E6754" s="2" t="s">
        <v>199</v>
      </c>
    </row>
    <row r="6755" spans="1:5">
      <c r="A6755">
        <v>6694</v>
      </c>
      <c r="B6755" s="137">
        <f>'Revenues 9-14'!E249</f>
        <v>0</v>
      </c>
      <c r="D6755" s="2" t="str">
        <f t="shared" si="104"/>
        <v>Error?</v>
      </c>
      <c r="E6755" s="2" t="s">
        <v>199</v>
      </c>
    </row>
    <row r="6756" spans="1:5">
      <c r="A6756">
        <v>6695</v>
      </c>
      <c r="B6756" s="137">
        <f>'Revenues 9-14'!F249</f>
        <v>0</v>
      </c>
      <c r="D6756" s="2" t="str">
        <f t="shared" si="104"/>
        <v>Error?</v>
      </c>
      <c r="E6756" s="2" t="s">
        <v>199</v>
      </c>
    </row>
    <row r="6757" spans="1:5">
      <c r="A6757">
        <v>6696</v>
      </c>
      <c r="B6757" s="137">
        <f>'Revenues 9-14'!G249</f>
        <v>0</v>
      </c>
      <c r="D6757" s="2" t="str">
        <f t="shared" si="104"/>
        <v>Error?</v>
      </c>
      <c r="E6757" s="2" t="s">
        <v>199</v>
      </c>
    </row>
    <row r="6758" spans="1:5">
      <c r="A6758">
        <v>6697</v>
      </c>
      <c r="B6758" s="137">
        <f>'Revenues 9-14'!H249</f>
        <v>0</v>
      </c>
      <c r="D6758" s="2" t="str">
        <f t="shared" si="104"/>
        <v>Error?</v>
      </c>
      <c r="E6758" s="2" t="s">
        <v>199</v>
      </c>
    </row>
    <row r="6759" spans="1:5">
      <c r="A6759">
        <v>6698</v>
      </c>
      <c r="B6759" s="137">
        <f>'Revenues 9-14'!J249</f>
        <v>0</v>
      </c>
      <c r="D6759" s="2" t="str">
        <f t="shared" si="104"/>
        <v>Error?</v>
      </c>
      <c r="E6759" s="2" t="s">
        <v>199</v>
      </c>
    </row>
    <row r="6760" spans="1:5">
      <c r="A6760">
        <v>6699</v>
      </c>
      <c r="B6760" s="137">
        <f>'Revenues 9-14'!K249</f>
        <v>0</v>
      </c>
      <c r="D6760" s="2" t="str">
        <f t="shared" si="104"/>
        <v>Error?</v>
      </c>
      <c r="E6760" s="2" t="s">
        <v>199</v>
      </c>
    </row>
    <row r="6761" spans="1:5">
      <c r="A6761">
        <v>6700</v>
      </c>
      <c r="B6761" s="137">
        <f>'Revenues 9-14'!C250</f>
        <v>0</v>
      </c>
      <c r="D6761" s="2" t="str">
        <f t="shared" si="104"/>
        <v>Error?</v>
      </c>
      <c r="E6761" s="2" t="s">
        <v>199</v>
      </c>
    </row>
    <row r="6762" spans="1:5">
      <c r="A6762">
        <v>6701</v>
      </c>
      <c r="B6762" s="137">
        <f>'Revenues 9-14'!D250</f>
        <v>0</v>
      </c>
      <c r="D6762" s="2" t="str">
        <f t="shared" si="104"/>
        <v>Error?</v>
      </c>
      <c r="E6762" s="2" t="s">
        <v>199</v>
      </c>
    </row>
    <row r="6763" spans="1:5">
      <c r="A6763">
        <v>6702</v>
      </c>
      <c r="B6763" s="137">
        <f>'Revenues 9-14'!E250</f>
        <v>0</v>
      </c>
      <c r="D6763" s="2" t="str">
        <f t="shared" si="104"/>
        <v>Error?</v>
      </c>
      <c r="E6763" s="2" t="s">
        <v>199</v>
      </c>
    </row>
    <row r="6764" spans="1:5">
      <c r="A6764">
        <v>6703</v>
      </c>
      <c r="B6764" s="137">
        <f>'Revenues 9-14'!F250</f>
        <v>0</v>
      </c>
      <c r="D6764" s="2" t="str">
        <f t="shared" si="104"/>
        <v>Error?</v>
      </c>
      <c r="E6764" s="2" t="s">
        <v>199</v>
      </c>
    </row>
    <row r="6765" spans="1:5">
      <c r="A6765">
        <v>6704</v>
      </c>
      <c r="B6765" s="137">
        <f>'Revenues 9-14'!G250</f>
        <v>0</v>
      </c>
      <c r="D6765" s="2" t="str">
        <f t="shared" si="104"/>
        <v>Error?</v>
      </c>
      <c r="E6765" s="2" t="s">
        <v>199</v>
      </c>
    </row>
    <row r="6766" spans="1:5">
      <c r="A6766">
        <v>6705</v>
      </c>
      <c r="B6766" s="137">
        <f>'Revenues 9-14'!H250</f>
        <v>0</v>
      </c>
      <c r="D6766" s="2" t="str">
        <f t="shared" si="104"/>
        <v>Error?</v>
      </c>
      <c r="E6766" s="2" t="s">
        <v>199</v>
      </c>
    </row>
    <row r="6767" spans="1:5">
      <c r="A6767">
        <v>6706</v>
      </c>
      <c r="B6767" s="137">
        <f>'Revenues 9-14'!J250</f>
        <v>0</v>
      </c>
      <c r="D6767" s="2" t="str">
        <f t="shared" si="104"/>
        <v>Error?</v>
      </c>
      <c r="E6767" s="2" t="s">
        <v>199</v>
      </c>
    </row>
    <row r="6768" spans="1:5">
      <c r="A6768">
        <v>6707</v>
      </c>
      <c r="B6768" s="137">
        <f>'Revenues 9-14'!K250</f>
        <v>0</v>
      </c>
      <c r="D6768" s="2" t="str">
        <f t="shared" si="104"/>
        <v>Error?</v>
      </c>
      <c r="E6768" s="2" t="s">
        <v>199</v>
      </c>
    </row>
    <row r="6769" spans="1:5">
      <c r="A6769">
        <v>6708</v>
      </c>
      <c r="B6769" s="137">
        <f>'Revenues 9-14'!C251</f>
        <v>0</v>
      </c>
      <c r="D6769" s="2" t="str">
        <f t="shared" si="104"/>
        <v>Error?</v>
      </c>
      <c r="E6769" s="2" t="s">
        <v>199</v>
      </c>
    </row>
    <row r="6770" spans="1:5">
      <c r="A6770">
        <v>6709</v>
      </c>
      <c r="B6770" s="137">
        <f>'Revenues 9-14'!D251</f>
        <v>0</v>
      </c>
      <c r="D6770" s="2" t="str">
        <f t="shared" si="104"/>
        <v>Error?</v>
      </c>
      <c r="E6770" s="2" t="s">
        <v>199</v>
      </c>
    </row>
    <row r="6771" spans="1:5">
      <c r="A6771">
        <v>6710</v>
      </c>
      <c r="B6771" s="137">
        <f>'Revenues 9-14'!E251</f>
        <v>0</v>
      </c>
      <c r="D6771" s="2" t="str">
        <f t="shared" si="104"/>
        <v>Error?</v>
      </c>
      <c r="E6771" s="2" t="s">
        <v>199</v>
      </c>
    </row>
    <row r="6772" spans="1:5">
      <c r="A6772">
        <v>6711</v>
      </c>
      <c r="B6772" s="137">
        <f>'Revenues 9-14'!F251</f>
        <v>0</v>
      </c>
      <c r="D6772" s="2" t="str">
        <f t="shared" si="104"/>
        <v>Error?</v>
      </c>
      <c r="E6772" s="2" t="s">
        <v>199</v>
      </c>
    </row>
    <row r="6773" spans="1:5">
      <c r="A6773">
        <v>6712</v>
      </c>
      <c r="B6773" s="137">
        <f>'Revenues 9-14'!G251</f>
        <v>0</v>
      </c>
      <c r="D6773" s="2" t="str">
        <f t="shared" si="104"/>
        <v>Error?</v>
      </c>
      <c r="E6773" s="2" t="s">
        <v>199</v>
      </c>
    </row>
    <row r="6774" spans="1:5">
      <c r="A6774">
        <v>6713</v>
      </c>
      <c r="B6774" s="137">
        <f>'Revenues 9-14'!H251</f>
        <v>0</v>
      </c>
      <c r="D6774" s="2" t="str">
        <f t="shared" si="104"/>
        <v>Error?</v>
      </c>
      <c r="E6774" s="2" t="s">
        <v>199</v>
      </c>
    </row>
    <row r="6775" spans="1:5">
      <c r="A6775">
        <v>6714</v>
      </c>
      <c r="B6775" s="137">
        <f>'Revenues 9-14'!J251</f>
        <v>0</v>
      </c>
      <c r="D6775" s="2" t="str">
        <f t="shared" si="104"/>
        <v>Error?</v>
      </c>
      <c r="E6775" s="2" t="s">
        <v>199</v>
      </c>
    </row>
    <row r="6776" spans="1:5">
      <c r="A6776">
        <v>6715</v>
      </c>
      <c r="B6776" s="137">
        <f>'Revenues 9-14'!K251</f>
        <v>0</v>
      </c>
      <c r="D6776" s="2" t="str">
        <f t="shared" si="104"/>
        <v>Error?</v>
      </c>
      <c r="E6776" s="2" t="s">
        <v>199</v>
      </c>
    </row>
    <row r="6777" spans="1:5">
      <c r="A6777">
        <v>6716</v>
      </c>
      <c r="B6777" s="137">
        <f>'Revenues 9-14'!C252</f>
        <v>0</v>
      </c>
      <c r="D6777" s="2" t="str">
        <f t="shared" si="104"/>
        <v>Error?</v>
      </c>
      <c r="E6777" s="2" t="s">
        <v>199</v>
      </c>
    </row>
    <row r="6778" spans="1:5">
      <c r="A6778">
        <v>6717</v>
      </c>
      <c r="B6778" s="137">
        <f>'Revenues 9-14'!D252</f>
        <v>0</v>
      </c>
      <c r="D6778" s="2" t="str">
        <f t="shared" si="104"/>
        <v>Error?</v>
      </c>
      <c r="E6778" s="2" t="s">
        <v>199</v>
      </c>
    </row>
    <row r="6779" spans="1:5">
      <c r="A6779">
        <v>6718</v>
      </c>
      <c r="B6779" s="137">
        <f>'Revenues 9-14'!E252</f>
        <v>0</v>
      </c>
      <c r="D6779" s="2" t="str">
        <f t="shared" si="104"/>
        <v>Error?</v>
      </c>
      <c r="E6779" s="2" t="s">
        <v>199</v>
      </c>
    </row>
    <row r="6780" spans="1:5">
      <c r="A6780">
        <v>6719</v>
      </c>
      <c r="B6780" s="137">
        <f>'Revenues 9-14'!F252</f>
        <v>0</v>
      </c>
      <c r="D6780" s="2" t="str">
        <f t="shared" si="104"/>
        <v>Error?</v>
      </c>
      <c r="E6780" s="2" t="s">
        <v>199</v>
      </c>
    </row>
    <row r="6781" spans="1:5">
      <c r="A6781">
        <v>6720</v>
      </c>
      <c r="B6781" s="137">
        <f>'Revenues 9-14'!G252</f>
        <v>0</v>
      </c>
      <c r="D6781" s="2" t="str">
        <f t="shared" si="104"/>
        <v>Error?</v>
      </c>
      <c r="E6781" s="2" t="s">
        <v>199</v>
      </c>
    </row>
    <row r="6782" spans="1:5">
      <c r="A6782">
        <v>6721</v>
      </c>
      <c r="B6782" s="137">
        <f>'Revenues 9-14'!H252</f>
        <v>0</v>
      </c>
      <c r="D6782" s="2" t="str">
        <f t="shared" si="104"/>
        <v>Error?</v>
      </c>
      <c r="E6782" s="2" t="s">
        <v>199</v>
      </c>
    </row>
    <row r="6783" spans="1:5">
      <c r="A6783">
        <v>6722</v>
      </c>
      <c r="B6783" s="137">
        <f>'Revenues 9-14'!J252</f>
        <v>0</v>
      </c>
      <c r="D6783" s="2" t="str">
        <f t="shared" ref="D6783:D6846" si="105">IF(ISBLANK(B6783),"OK",IF(A6783-B6783=0,"OK","Error?"))</f>
        <v>Error?</v>
      </c>
      <c r="E6783" s="2" t="s">
        <v>199</v>
      </c>
    </row>
    <row r="6784" spans="1:5">
      <c r="A6784">
        <v>6723</v>
      </c>
      <c r="B6784" s="137">
        <f>'Revenues 9-14'!K252</f>
        <v>0</v>
      </c>
      <c r="D6784" s="2" t="str">
        <f t="shared" si="105"/>
        <v>Error?</v>
      </c>
      <c r="E6784" s="2" t="s">
        <v>199</v>
      </c>
    </row>
    <row r="6785" spans="1:5">
      <c r="A6785">
        <v>6724</v>
      </c>
      <c r="B6785" s="137">
        <f>'Revenues 9-14'!C253</f>
        <v>0</v>
      </c>
      <c r="D6785" s="2" t="str">
        <f t="shared" si="105"/>
        <v>Error?</v>
      </c>
      <c r="E6785" s="2" t="s">
        <v>199</v>
      </c>
    </row>
    <row r="6786" spans="1:5">
      <c r="A6786">
        <v>6725</v>
      </c>
      <c r="B6786" s="137">
        <f>'Revenues 9-14'!D253</f>
        <v>0</v>
      </c>
      <c r="D6786" s="2" t="str">
        <f t="shared" si="105"/>
        <v>Error?</v>
      </c>
      <c r="E6786" s="2" t="s">
        <v>199</v>
      </c>
    </row>
    <row r="6787" spans="1:5">
      <c r="A6787">
        <v>6726</v>
      </c>
      <c r="B6787" s="137">
        <f>'Revenues 9-14'!E253</f>
        <v>0</v>
      </c>
      <c r="D6787" s="2" t="str">
        <f t="shared" si="105"/>
        <v>Error?</v>
      </c>
      <c r="E6787" s="2" t="s">
        <v>199</v>
      </c>
    </row>
    <row r="6788" spans="1:5">
      <c r="A6788">
        <v>6727</v>
      </c>
      <c r="B6788" s="137">
        <f>'Revenues 9-14'!F253</f>
        <v>0</v>
      </c>
      <c r="D6788" s="2" t="str">
        <f t="shared" si="105"/>
        <v>Error?</v>
      </c>
      <c r="E6788" s="2" t="s">
        <v>199</v>
      </c>
    </row>
    <row r="6789" spans="1:5">
      <c r="A6789">
        <v>6728</v>
      </c>
      <c r="B6789" s="137">
        <f>'Revenues 9-14'!G253</f>
        <v>0</v>
      </c>
      <c r="D6789" s="2" t="str">
        <f t="shared" si="105"/>
        <v>Error?</v>
      </c>
      <c r="E6789" s="2" t="s">
        <v>199</v>
      </c>
    </row>
    <row r="6790" spans="1:5">
      <c r="A6790">
        <v>6729</v>
      </c>
      <c r="B6790" s="137">
        <f>'Revenues 9-14'!H253</f>
        <v>0</v>
      </c>
      <c r="D6790" s="2" t="str">
        <f t="shared" si="105"/>
        <v>Error?</v>
      </c>
      <c r="E6790" s="2" t="s">
        <v>199</v>
      </c>
    </row>
    <row r="6791" spans="1:5">
      <c r="A6791">
        <v>6730</v>
      </c>
      <c r="B6791" s="137">
        <f>'Revenues 9-14'!J253</f>
        <v>0</v>
      </c>
      <c r="D6791" s="2" t="str">
        <f t="shared" si="105"/>
        <v>Error?</v>
      </c>
      <c r="E6791" s="2" t="s">
        <v>199</v>
      </c>
    </row>
    <row r="6792" spans="1:5">
      <c r="A6792">
        <v>6731</v>
      </c>
      <c r="B6792" s="137">
        <f>'Revenues 9-14'!K253</f>
        <v>0</v>
      </c>
      <c r="D6792" s="2" t="str">
        <f t="shared" si="105"/>
        <v>Error?</v>
      </c>
      <c r="E6792" s="2" t="s">
        <v>199</v>
      </c>
    </row>
    <row r="6793" spans="1:5">
      <c r="A6793">
        <v>6732</v>
      </c>
      <c r="B6793" s="137">
        <f>'Revenues 9-14'!C254</f>
        <v>0</v>
      </c>
      <c r="D6793" s="2" t="str">
        <f t="shared" si="105"/>
        <v>Error?</v>
      </c>
      <c r="E6793" s="2" t="s">
        <v>199</v>
      </c>
    </row>
    <row r="6794" spans="1:5">
      <c r="A6794">
        <v>6733</v>
      </c>
      <c r="B6794" s="137">
        <f>'Revenues 9-14'!D254</f>
        <v>0</v>
      </c>
      <c r="D6794" s="2" t="str">
        <f t="shared" si="105"/>
        <v>Error?</v>
      </c>
      <c r="E6794" s="2" t="s">
        <v>199</v>
      </c>
    </row>
    <row r="6795" spans="1:5">
      <c r="A6795">
        <v>6734</v>
      </c>
      <c r="B6795" s="137">
        <f>'Revenues 9-14'!E254</f>
        <v>0</v>
      </c>
      <c r="D6795" s="2" t="str">
        <f t="shared" si="105"/>
        <v>Error?</v>
      </c>
      <c r="E6795" s="2" t="s">
        <v>199</v>
      </c>
    </row>
    <row r="6796" spans="1:5">
      <c r="A6796">
        <v>6735</v>
      </c>
      <c r="B6796" s="137">
        <f>'Revenues 9-14'!F254</f>
        <v>0</v>
      </c>
      <c r="D6796" s="2" t="str">
        <f t="shared" si="105"/>
        <v>Error?</v>
      </c>
      <c r="E6796" s="2" t="s">
        <v>199</v>
      </c>
    </row>
    <row r="6797" spans="1:5">
      <c r="A6797">
        <v>6736</v>
      </c>
      <c r="B6797" s="137">
        <f>'Revenues 9-14'!G254</f>
        <v>0</v>
      </c>
      <c r="D6797" s="2" t="str">
        <f t="shared" si="105"/>
        <v>Error?</v>
      </c>
      <c r="E6797" s="2" t="s">
        <v>199</v>
      </c>
    </row>
    <row r="6798" spans="1:5">
      <c r="A6798">
        <v>6737</v>
      </c>
      <c r="B6798" s="137">
        <f>'Revenues 9-14'!H254</f>
        <v>0</v>
      </c>
      <c r="D6798" s="2" t="str">
        <f t="shared" si="105"/>
        <v>Error?</v>
      </c>
      <c r="E6798" s="2" t="s">
        <v>199</v>
      </c>
    </row>
    <row r="6799" spans="1:5">
      <c r="A6799">
        <v>6738</v>
      </c>
      <c r="B6799" s="137">
        <f>'Revenues 9-14'!J254</f>
        <v>0</v>
      </c>
      <c r="D6799" s="2" t="str">
        <f t="shared" si="105"/>
        <v>Error?</v>
      </c>
      <c r="E6799" s="2" t="s">
        <v>199</v>
      </c>
    </row>
    <row r="6800" spans="1:5">
      <c r="A6800">
        <v>6739</v>
      </c>
      <c r="B6800" s="137">
        <f>'Revenues 9-14'!K254</f>
        <v>0</v>
      </c>
      <c r="D6800" s="2" t="str">
        <f t="shared" si="105"/>
        <v>Error?</v>
      </c>
      <c r="E6800" s="2" t="s">
        <v>199</v>
      </c>
    </row>
    <row r="6801" spans="1:5">
      <c r="A6801">
        <v>6740</v>
      </c>
      <c r="B6801" s="137">
        <f>'Revenues 9-14'!C255</f>
        <v>0</v>
      </c>
      <c r="D6801" s="2" t="str">
        <f t="shared" si="105"/>
        <v>Error?</v>
      </c>
      <c r="E6801" s="2" t="s">
        <v>199</v>
      </c>
    </row>
    <row r="6802" spans="1:5">
      <c r="A6802">
        <v>6741</v>
      </c>
      <c r="B6802" s="137">
        <f>'Revenues 9-14'!D255</f>
        <v>0</v>
      </c>
      <c r="D6802" s="2" t="str">
        <f t="shared" si="105"/>
        <v>Error?</v>
      </c>
      <c r="E6802" s="2" t="s">
        <v>199</v>
      </c>
    </row>
    <row r="6803" spans="1:5">
      <c r="A6803">
        <v>6742</v>
      </c>
      <c r="B6803" s="137">
        <f>'Revenues 9-14'!E255</f>
        <v>0</v>
      </c>
      <c r="D6803" s="2" t="str">
        <f t="shared" si="105"/>
        <v>Error?</v>
      </c>
      <c r="E6803" s="2" t="s">
        <v>199</v>
      </c>
    </row>
    <row r="6804" spans="1:5">
      <c r="A6804">
        <v>6743</v>
      </c>
      <c r="B6804" s="137">
        <f>'Revenues 9-14'!F255</f>
        <v>0</v>
      </c>
      <c r="D6804" s="2" t="str">
        <f t="shared" si="105"/>
        <v>Error?</v>
      </c>
      <c r="E6804" s="2" t="s">
        <v>199</v>
      </c>
    </row>
    <row r="6805" spans="1:5">
      <c r="A6805">
        <v>6744</v>
      </c>
      <c r="B6805" s="137">
        <f>'Revenues 9-14'!G255</f>
        <v>0</v>
      </c>
      <c r="D6805" s="2" t="str">
        <f t="shared" si="105"/>
        <v>Error?</v>
      </c>
      <c r="E6805" s="2" t="s">
        <v>199</v>
      </c>
    </row>
    <row r="6806" spans="1:5">
      <c r="A6806">
        <v>6745</v>
      </c>
      <c r="B6806" s="137">
        <f>'Revenues 9-14'!H255</f>
        <v>0</v>
      </c>
      <c r="D6806" s="2" t="str">
        <f t="shared" si="105"/>
        <v>Error?</v>
      </c>
      <c r="E6806" s="2" t="s">
        <v>199</v>
      </c>
    </row>
    <row r="6807" spans="1:5">
      <c r="A6807">
        <v>6746</v>
      </c>
      <c r="B6807" s="137">
        <f>'Revenues 9-14'!J255</f>
        <v>0</v>
      </c>
      <c r="D6807" s="2" t="str">
        <f t="shared" si="105"/>
        <v>Error?</v>
      </c>
      <c r="E6807" s="2" t="s">
        <v>199</v>
      </c>
    </row>
    <row r="6808" spans="1:5">
      <c r="A6808">
        <v>6747</v>
      </c>
      <c r="B6808" s="137">
        <f>'Revenues 9-14'!K255</f>
        <v>0</v>
      </c>
      <c r="D6808" s="2" t="str">
        <f t="shared" si="105"/>
        <v>Error?</v>
      </c>
      <c r="E6808" s="2" t="s">
        <v>199</v>
      </c>
    </row>
    <row r="6809" spans="1:5">
      <c r="A6809">
        <v>6748</v>
      </c>
      <c r="B6809" s="137">
        <f>'Revenues 9-14'!C256</f>
        <v>0</v>
      </c>
      <c r="D6809" s="2" t="str">
        <f t="shared" si="105"/>
        <v>Error?</v>
      </c>
      <c r="E6809" s="2" t="s">
        <v>199</v>
      </c>
    </row>
    <row r="6810" spans="1:5">
      <c r="A6810">
        <v>6749</v>
      </c>
      <c r="B6810" s="137">
        <f>'Revenues 9-14'!D256</f>
        <v>0</v>
      </c>
      <c r="D6810" s="2" t="str">
        <f t="shared" si="105"/>
        <v>Error?</v>
      </c>
      <c r="E6810" s="2" t="s">
        <v>199</v>
      </c>
    </row>
    <row r="6811" spans="1:5">
      <c r="A6811">
        <v>6750</v>
      </c>
      <c r="B6811" s="137">
        <f>'Revenues 9-14'!E256</f>
        <v>0</v>
      </c>
      <c r="D6811" s="2" t="str">
        <f t="shared" si="105"/>
        <v>Error?</v>
      </c>
      <c r="E6811" s="2" t="s">
        <v>199</v>
      </c>
    </row>
    <row r="6812" spans="1:5">
      <c r="A6812">
        <v>6751</v>
      </c>
      <c r="B6812" s="137">
        <f>'Revenues 9-14'!F256</f>
        <v>0</v>
      </c>
      <c r="D6812" s="2" t="str">
        <f t="shared" si="105"/>
        <v>Error?</v>
      </c>
      <c r="E6812" s="2" t="s">
        <v>199</v>
      </c>
    </row>
    <row r="6813" spans="1:5">
      <c r="A6813">
        <v>6752</v>
      </c>
      <c r="B6813" s="137">
        <f>'Revenues 9-14'!G256</f>
        <v>0</v>
      </c>
      <c r="D6813" s="2" t="str">
        <f t="shared" si="105"/>
        <v>Error?</v>
      </c>
      <c r="E6813" s="2" t="s">
        <v>199</v>
      </c>
    </row>
    <row r="6814" spans="1:5">
      <c r="A6814">
        <v>6753</v>
      </c>
      <c r="B6814" s="137">
        <f>'Revenues 9-14'!H256</f>
        <v>0</v>
      </c>
      <c r="D6814" s="2" t="str">
        <f t="shared" si="105"/>
        <v>Error?</v>
      </c>
      <c r="E6814" s="2" t="s">
        <v>199</v>
      </c>
    </row>
    <row r="6815" spans="1:5">
      <c r="A6815">
        <v>6754</v>
      </c>
      <c r="B6815" s="137">
        <f>'Revenues 9-14'!J256</f>
        <v>0</v>
      </c>
      <c r="D6815" s="2" t="str">
        <f t="shared" si="105"/>
        <v>Error?</v>
      </c>
      <c r="E6815" s="2" t="s">
        <v>199</v>
      </c>
    </row>
    <row r="6816" spans="1:5">
      <c r="A6816">
        <v>6755</v>
      </c>
      <c r="B6816" s="137">
        <f>'Revenues 9-14'!K256</f>
        <v>0</v>
      </c>
      <c r="D6816" s="2" t="str">
        <f t="shared" si="105"/>
        <v>Error?</v>
      </c>
      <c r="E6816" s="2" t="s">
        <v>199</v>
      </c>
    </row>
    <row r="6817" spans="1:5">
      <c r="A6817">
        <v>6756</v>
      </c>
      <c r="B6817" s="137">
        <f>'Revenues 9-14'!C257</f>
        <v>0</v>
      </c>
      <c r="D6817" s="2" t="str">
        <f t="shared" si="105"/>
        <v>Error?</v>
      </c>
      <c r="E6817" s="2" t="s">
        <v>199</v>
      </c>
    </row>
    <row r="6818" spans="1:5">
      <c r="A6818">
        <v>6757</v>
      </c>
      <c r="B6818" s="137">
        <f>'Revenues 9-14'!D257</f>
        <v>0</v>
      </c>
      <c r="D6818" s="2" t="str">
        <f t="shared" si="105"/>
        <v>Error?</v>
      </c>
      <c r="E6818" s="2" t="s">
        <v>199</v>
      </c>
    </row>
    <row r="6819" spans="1:5">
      <c r="A6819">
        <v>6758</v>
      </c>
      <c r="B6819" s="137">
        <f>'Revenues 9-14'!E257</f>
        <v>0</v>
      </c>
      <c r="D6819" s="2" t="str">
        <f t="shared" si="105"/>
        <v>Error?</v>
      </c>
      <c r="E6819" s="2" t="s">
        <v>199</v>
      </c>
    </row>
    <row r="6820" spans="1:5">
      <c r="A6820">
        <v>6759</v>
      </c>
      <c r="B6820" s="137">
        <f>'Revenues 9-14'!F257</f>
        <v>0</v>
      </c>
      <c r="D6820" s="2" t="str">
        <f t="shared" si="105"/>
        <v>Error?</v>
      </c>
      <c r="E6820" s="2" t="s">
        <v>199</v>
      </c>
    </row>
    <row r="6821" spans="1:5">
      <c r="A6821">
        <v>6760</v>
      </c>
      <c r="B6821" s="137">
        <f>'Revenues 9-14'!G257</f>
        <v>0</v>
      </c>
      <c r="D6821" s="2" t="str">
        <f t="shared" si="105"/>
        <v>Error?</v>
      </c>
      <c r="E6821" s="2" t="s">
        <v>199</v>
      </c>
    </row>
    <row r="6822" spans="1:5">
      <c r="A6822">
        <v>6761</v>
      </c>
      <c r="B6822" s="137">
        <f>'Revenues 9-14'!H257</f>
        <v>0</v>
      </c>
      <c r="D6822" s="2" t="str">
        <f t="shared" si="105"/>
        <v>Error?</v>
      </c>
      <c r="E6822" s="2" t="s">
        <v>199</v>
      </c>
    </row>
    <row r="6823" spans="1:5">
      <c r="A6823">
        <v>6762</v>
      </c>
      <c r="B6823" s="137">
        <f>'Revenues 9-14'!J257</f>
        <v>0</v>
      </c>
      <c r="D6823" s="2" t="str">
        <f t="shared" si="105"/>
        <v>Error?</v>
      </c>
      <c r="E6823" s="2" t="s">
        <v>199</v>
      </c>
    </row>
    <row r="6824" spans="1:5">
      <c r="A6824">
        <v>6763</v>
      </c>
      <c r="B6824" s="137">
        <f>'Revenues 9-14'!K257</f>
        <v>0</v>
      </c>
      <c r="D6824" s="2" t="str">
        <f t="shared" si="105"/>
        <v>Error?</v>
      </c>
      <c r="E6824" s="2" t="s">
        <v>199</v>
      </c>
    </row>
    <row r="6825" spans="1:5">
      <c r="A6825">
        <v>6764</v>
      </c>
      <c r="B6825" s="137">
        <f>'Revenues 9-14'!C258</f>
        <v>0</v>
      </c>
      <c r="D6825" s="2" t="str">
        <f t="shared" si="105"/>
        <v>Error?</v>
      </c>
      <c r="E6825" s="2" t="s">
        <v>199</v>
      </c>
    </row>
    <row r="6826" spans="1:5">
      <c r="A6826">
        <v>6765</v>
      </c>
      <c r="B6826" s="137">
        <f>'Revenues 9-14'!D258</f>
        <v>0</v>
      </c>
      <c r="D6826" s="2" t="str">
        <f t="shared" si="105"/>
        <v>Error?</v>
      </c>
      <c r="E6826" s="2" t="s">
        <v>199</v>
      </c>
    </row>
    <row r="6827" spans="1:5">
      <c r="A6827">
        <v>6766</v>
      </c>
      <c r="B6827" s="137">
        <f>'Revenues 9-14'!E258</f>
        <v>0</v>
      </c>
      <c r="D6827" s="2" t="str">
        <f t="shared" si="105"/>
        <v>Error?</v>
      </c>
      <c r="E6827" s="2" t="s">
        <v>199</v>
      </c>
    </row>
    <row r="6828" spans="1:5">
      <c r="A6828">
        <v>6767</v>
      </c>
      <c r="B6828" s="137">
        <f>'Revenues 9-14'!F258</f>
        <v>0</v>
      </c>
      <c r="D6828" s="2" t="str">
        <f t="shared" si="105"/>
        <v>Error?</v>
      </c>
      <c r="E6828" s="2" t="s">
        <v>199</v>
      </c>
    </row>
    <row r="6829" spans="1:5">
      <c r="A6829">
        <v>6768</v>
      </c>
      <c r="B6829" s="137">
        <f>'Revenues 9-14'!G258</f>
        <v>0</v>
      </c>
      <c r="D6829" s="2" t="str">
        <f t="shared" si="105"/>
        <v>Error?</v>
      </c>
      <c r="E6829" s="2" t="s">
        <v>199</v>
      </c>
    </row>
    <row r="6830" spans="1:5">
      <c r="A6830">
        <v>6769</v>
      </c>
      <c r="B6830" s="137">
        <f>'Revenues 9-14'!H258</f>
        <v>0</v>
      </c>
      <c r="D6830" s="2" t="str">
        <f t="shared" si="105"/>
        <v>Error?</v>
      </c>
      <c r="E6830" s="2" t="s">
        <v>199</v>
      </c>
    </row>
    <row r="6831" spans="1:5">
      <c r="A6831">
        <v>6770</v>
      </c>
      <c r="B6831" s="137">
        <f>'Revenues 9-14'!J258</f>
        <v>0</v>
      </c>
      <c r="D6831" s="2" t="str">
        <f t="shared" si="105"/>
        <v>Error?</v>
      </c>
      <c r="E6831" s="2" t="s">
        <v>199</v>
      </c>
    </row>
    <row r="6832" spans="1:5">
      <c r="A6832">
        <v>6771</v>
      </c>
      <c r="B6832" s="137">
        <f>'Revenues 9-14'!K258</f>
        <v>0</v>
      </c>
      <c r="D6832" s="2" t="str">
        <f t="shared" si="105"/>
        <v>Error?</v>
      </c>
    </row>
    <row r="6833" spans="1:4">
      <c r="A6833">
        <v>6772</v>
      </c>
      <c r="B6833" s="137">
        <f>'Revenues 9-14'!C259</f>
        <v>0</v>
      </c>
      <c r="D6833" s="2" t="str">
        <f t="shared" si="105"/>
        <v>Error?</v>
      </c>
    </row>
    <row r="6834" spans="1:4">
      <c r="A6834">
        <v>6773</v>
      </c>
      <c r="B6834" s="137">
        <f>'Revenues 9-14'!D259</f>
        <v>0</v>
      </c>
      <c r="D6834" s="2" t="str">
        <f t="shared" si="105"/>
        <v>Error?</v>
      </c>
    </row>
    <row r="6835" spans="1:4">
      <c r="A6835">
        <v>6774</v>
      </c>
      <c r="B6835" s="137">
        <f>'Revenues 9-14'!E259</f>
        <v>0</v>
      </c>
      <c r="D6835" s="2" t="str">
        <f t="shared" si="105"/>
        <v>Error?</v>
      </c>
    </row>
    <row r="6836" spans="1:4">
      <c r="A6836">
        <v>6775</v>
      </c>
      <c r="B6836" s="137">
        <f>'Revenues 9-14'!F259</f>
        <v>0</v>
      </c>
      <c r="D6836" s="2" t="str">
        <f t="shared" si="105"/>
        <v>Error?</v>
      </c>
    </row>
    <row r="6837" spans="1:4">
      <c r="A6837">
        <v>6776</v>
      </c>
      <c r="B6837" s="137">
        <f>'Revenues 9-14'!G259</f>
        <v>0</v>
      </c>
      <c r="D6837" s="2" t="str">
        <f t="shared" si="105"/>
        <v>Error?</v>
      </c>
    </row>
    <row r="6838" spans="1:4">
      <c r="A6838">
        <v>6777</v>
      </c>
      <c r="B6838" s="137">
        <f>'Revenues 9-14'!H259</f>
        <v>0</v>
      </c>
      <c r="D6838" s="2" t="str">
        <f t="shared" si="105"/>
        <v>Error?</v>
      </c>
    </row>
    <row r="6839" spans="1:4">
      <c r="A6839">
        <v>6778</v>
      </c>
      <c r="B6839" s="137">
        <f>'Revenues 9-14'!J259</f>
        <v>0</v>
      </c>
      <c r="D6839" s="2" t="str">
        <f t="shared" si="105"/>
        <v>Error?</v>
      </c>
    </row>
    <row r="6840" spans="1:4">
      <c r="A6840">
        <v>6779</v>
      </c>
      <c r="B6840" s="137">
        <f>'Revenues 9-14'!K259</f>
        <v>0</v>
      </c>
      <c r="D6840" s="2" t="str">
        <f t="shared" si="105"/>
        <v>Error?</v>
      </c>
    </row>
    <row r="6841" spans="1:4">
      <c r="A6841">
        <v>6780</v>
      </c>
      <c r="B6841" s="137">
        <f>'Revenues 9-14'!C262</f>
        <v>0</v>
      </c>
      <c r="D6841" s="2" t="str">
        <f t="shared" si="105"/>
        <v>Error?</v>
      </c>
    </row>
    <row r="6842" spans="1:4">
      <c r="A6842">
        <v>6781</v>
      </c>
      <c r="B6842" s="137">
        <f>'Revenues 9-14'!D262</f>
        <v>0</v>
      </c>
      <c r="D6842" s="2" t="str">
        <f t="shared" si="105"/>
        <v>Error?</v>
      </c>
    </row>
    <row r="6843" spans="1:4">
      <c r="A6843">
        <v>6782</v>
      </c>
      <c r="B6843" s="137">
        <f>'Revenues 9-14'!G262</f>
        <v>0</v>
      </c>
      <c r="D6843" s="2" t="str">
        <f t="shared" si="105"/>
        <v>Error?</v>
      </c>
    </row>
    <row r="6844" spans="1:4">
      <c r="A6844">
        <v>6783</v>
      </c>
      <c r="B6844" s="137">
        <f>'Expenditures 15-22'!I5</f>
        <v>42396</v>
      </c>
      <c r="D6844" s="2" t="str">
        <f t="shared" si="105"/>
        <v>Error?</v>
      </c>
    </row>
    <row r="6845" spans="1:4">
      <c r="A6845">
        <v>6784</v>
      </c>
      <c r="B6845" s="137">
        <f>'Expenditures 15-22'!J5</f>
        <v>0</v>
      </c>
      <c r="D6845" s="2" t="str">
        <f t="shared" si="105"/>
        <v>Error?</v>
      </c>
    </row>
    <row r="6846" spans="1:4">
      <c r="A6846">
        <v>6785</v>
      </c>
      <c r="B6846" s="137">
        <f>'Expenditures 15-22'!I7</f>
        <v>0</v>
      </c>
      <c r="D6846" s="2" t="str">
        <f t="shared" si="105"/>
        <v>Error?</v>
      </c>
    </row>
    <row r="6847" spans="1:4">
      <c r="A6847">
        <v>6786</v>
      </c>
      <c r="B6847" s="137">
        <f>'Expenditures 15-22'!J7</f>
        <v>0</v>
      </c>
      <c r="D6847" s="2" t="str">
        <f t="shared" ref="D6847:D6910" si="106">IF(ISBLANK(B6847),"OK",IF(A6847-B6847=0,"OK","Error?"))</f>
        <v>Error?</v>
      </c>
    </row>
    <row r="6848" spans="1:4">
      <c r="A6848">
        <v>6787</v>
      </c>
      <c r="B6848" s="137">
        <f>'Expenditures 15-22'!K7</f>
        <v>0</v>
      </c>
      <c r="D6848" s="2" t="str">
        <f t="shared" si="106"/>
        <v>Error?</v>
      </c>
    </row>
    <row r="6849" spans="1:4">
      <c r="A6849">
        <v>6788</v>
      </c>
      <c r="B6849" s="137">
        <f>'Expenditures 15-22'!I8</f>
        <v>58336</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48517</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124576</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111209</v>
      </c>
      <c r="D6878" s="2" t="str">
        <f t="shared" si="106"/>
        <v>Error?</v>
      </c>
    </row>
    <row r="6879" spans="1:4">
      <c r="A6879">
        <v>6818</v>
      </c>
      <c r="B6879" s="137">
        <f>'Expenditures 15-22'!K21</f>
        <v>111209</v>
      </c>
      <c r="D6879" s="2" t="str">
        <f t="shared" si="106"/>
        <v>Error?</v>
      </c>
    </row>
    <row r="6880" spans="1:4">
      <c r="A6880">
        <v>6819</v>
      </c>
      <c r="B6880" s="137">
        <f>'Expenditures 15-22'!H22</f>
        <v>1748416</v>
      </c>
      <c r="D6880" s="2" t="str">
        <f t="shared" si="106"/>
        <v>Error?</v>
      </c>
    </row>
    <row r="6881" spans="1:4">
      <c r="A6881">
        <v>6820</v>
      </c>
      <c r="B6881" s="137">
        <f>'Expenditures 15-22'!K22</f>
        <v>1748416</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149249</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4680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4680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2284</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2284</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1056</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1056</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192834</v>
      </c>
      <c r="D6971" s="2" t="str">
        <f t="shared" si="107"/>
        <v>Error?</v>
      </c>
    </row>
    <row r="6972" spans="1:4">
      <c r="A6972">
        <v>6911</v>
      </c>
      <c r="B6972" s="137">
        <f>'Expenditures 15-22'!J71</f>
        <v>0</v>
      </c>
      <c r="D6972" s="2" t="str">
        <f t="shared" si="107"/>
        <v>Error?</v>
      </c>
    </row>
    <row r="6973" spans="1:4">
      <c r="A6973">
        <v>6912</v>
      </c>
      <c r="B6973" s="137">
        <f>'Expenditures 15-22'!I72</f>
        <v>192834</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200854</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1913009</v>
      </c>
      <c r="D6983" s="2" t="str">
        <f t="shared" si="108"/>
        <v>Error?</v>
      </c>
    </row>
    <row r="6984" spans="1:4">
      <c r="A6984">
        <v>6923</v>
      </c>
      <c r="B6984" s="137">
        <f>'Expenditures 15-22'!K86</f>
        <v>1913009</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1056</v>
      </c>
      <c r="D6989" s="2" t="str">
        <f t="shared" si="108"/>
        <v>Error?</v>
      </c>
    </row>
    <row r="6990" spans="1:4">
      <c r="A6990">
        <v>6929</v>
      </c>
      <c r="B6990" s="137">
        <f>'Expenditures 15-22'!K89</f>
        <v>1056</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1914065</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350103</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28471</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28471</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28471</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9-14'!J273</f>
        <v>0</v>
      </c>
      <c r="D7041" s="2" t="str">
        <f t="shared" si="109"/>
        <v>Error?</v>
      </c>
    </row>
    <row r="7042" spans="1:5">
      <c r="A7042">
        <v>6981</v>
      </c>
      <c r="B7042" s="137">
        <f>'Acct Summary 7-8'!J13</f>
        <v>1932061</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28471</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9-14'!J274</f>
        <v>0</v>
      </c>
      <c r="D7054" s="2" t="str">
        <f t="shared" si="109"/>
        <v>Error?</v>
      </c>
      <c r="E7054" s="2" t="s">
        <v>116</v>
      </c>
    </row>
    <row r="7055" spans="1:5">
      <c r="A7055">
        <v>6994</v>
      </c>
      <c r="B7055" s="137">
        <f>'Revenues 9-14'!J275</f>
        <v>1989247</v>
      </c>
      <c r="D7055" s="2" t="str">
        <f t="shared" si="109"/>
        <v>Error?</v>
      </c>
      <c r="E7055" s="2" t="s">
        <v>116</v>
      </c>
    </row>
    <row r="7056" spans="1:5">
      <c r="A7056">
        <v>6995</v>
      </c>
      <c r="D7056" s="2" t="str">
        <f t="shared" si="109"/>
        <v>OK</v>
      </c>
      <c r="E7056" s="2" t="s">
        <v>116</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1073</v>
      </c>
      <c r="D7079" s="2" t="str">
        <f t="shared" si="109"/>
        <v>Error?</v>
      </c>
    </row>
    <row r="7080" spans="1:4">
      <c r="A7080">
        <v>7019</v>
      </c>
      <c r="B7080" s="137">
        <f>'Expenditures 15-22'!K226</f>
        <v>1073</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654632</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654632</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70405</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70405</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209441</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209441</v>
      </c>
      <c r="D7153" s="2" t="str">
        <f t="shared" si="110"/>
        <v>Error?</v>
      </c>
    </row>
    <row r="7154" spans="1:4">
      <c r="A7154">
        <v>7093</v>
      </c>
      <c r="B7154" s="137">
        <f>'Expenditures 15-22'!C323</f>
        <v>997583</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997583</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997583</v>
      </c>
      <c r="D7199" s="2" t="str">
        <f t="shared" si="111"/>
        <v>Error?</v>
      </c>
    </row>
    <row r="7200" spans="1:4">
      <c r="A7200">
        <v>7139</v>
      </c>
      <c r="B7200" s="137">
        <f>'Expenditures 15-22'!D330</f>
        <v>0</v>
      </c>
      <c r="D7200" s="2" t="str">
        <f t="shared" si="111"/>
        <v>Error?</v>
      </c>
    </row>
    <row r="7201" spans="1:4">
      <c r="A7201">
        <v>7140</v>
      </c>
      <c r="B7201" s="137">
        <f>'Expenditures 15-22'!E330</f>
        <v>934478</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1932061</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997583</v>
      </c>
      <c r="D7216" s="2" t="str">
        <f t="shared" si="111"/>
        <v>Error?</v>
      </c>
    </row>
    <row r="7217" spans="1:4">
      <c r="A7217">
        <v>7156</v>
      </c>
      <c r="B7217" s="137">
        <f>'Expenditures 15-22'!D342</f>
        <v>0</v>
      </c>
      <c r="D7217" s="2" t="str">
        <f t="shared" si="111"/>
        <v>Error?</v>
      </c>
    </row>
    <row r="7218" spans="1:4">
      <c r="A7218">
        <v>7157</v>
      </c>
      <c r="B7218" s="137">
        <f>'Expenditures 15-22'!E342</f>
        <v>934478</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1932061</v>
      </c>
      <c r="D7224" s="2" t="str">
        <f t="shared" si="111"/>
        <v>Error?</v>
      </c>
    </row>
    <row r="7225" spans="1:4">
      <c r="A7225">
        <v>7164</v>
      </c>
      <c r="B7225" s="137">
        <f>'Expenditures 15-22'!K343</f>
        <v>57186</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73975</v>
      </c>
      <c r="D7263" s="2" t="str">
        <f t="shared" si="112"/>
        <v>Error?</v>
      </c>
    </row>
    <row r="7264" spans="1:4">
      <c r="A7264">
        <f t="shared" si="113"/>
        <v>7203</v>
      </c>
      <c r="B7264" s="137">
        <f>'Expenditures 15-22'!D17</f>
        <v>1080</v>
      </c>
      <c r="D7264" s="2" t="str">
        <f t="shared" si="112"/>
        <v>Error?</v>
      </c>
    </row>
    <row r="7265" spans="1:5">
      <c r="A7265">
        <f t="shared" si="113"/>
        <v>7204</v>
      </c>
      <c r="B7265" s="137">
        <f>'Expenditures 15-22'!E17</f>
        <v>49438</v>
      </c>
      <c r="D7265" s="2" t="str">
        <f t="shared" si="112"/>
        <v>Error?</v>
      </c>
    </row>
    <row r="7266" spans="1:5">
      <c r="A7266">
        <f t="shared" si="113"/>
        <v>7205</v>
      </c>
      <c r="B7266" s="137">
        <f>'Expenditures 15-22'!F17</f>
        <v>83</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81</v>
      </c>
    </row>
    <row r="7270" spans="1:5">
      <c r="A7270">
        <f t="shared" si="113"/>
        <v>7209</v>
      </c>
      <c r="B7270" s="137" t="e">
        <f>#REF!</f>
        <v>#REF!</v>
      </c>
      <c r="D7270" s="2" t="e">
        <f t="shared" si="112"/>
        <v>#REF!</v>
      </c>
      <c r="E7270" s="2" t="s">
        <v>81</v>
      </c>
    </row>
    <row r="7271" spans="1:5">
      <c r="A7271">
        <f t="shared" si="113"/>
        <v>7210</v>
      </c>
      <c r="B7271" s="137" t="e">
        <f>#REF!</f>
        <v>#REF!</v>
      </c>
      <c r="D7271" s="2" t="e">
        <f t="shared" si="112"/>
        <v>#REF!</v>
      </c>
      <c r="E7271" s="2" t="s">
        <v>81</v>
      </c>
    </row>
    <row r="7272" spans="1:5">
      <c r="A7272">
        <f t="shared" si="113"/>
        <v>7211</v>
      </c>
      <c r="B7272" s="137" t="e">
        <f>#REF!</f>
        <v>#REF!</v>
      </c>
      <c r="D7272" s="2" t="e">
        <f t="shared" si="112"/>
        <v>#REF!</v>
      </c>
      <c r="E7272" s="2" t="s">
        <v>81</v>
      </c>
    </row>
    <row r="7273" spans="1:5">
      <c r="A7273">
        <f t="shared" si="113"/>
        <v>7212</v>
      </c>
      <c r="B7273" s="137" t="e">
        <f>#REF!</f>
        <v>#REF!</v>
      </c>
      <c r="D7273" s="2" t="e">
        <f t="shared" si="112"/>
        <v>#REF!</v>
      </c>
      <c r="E7273" s="2" t="s">
        <v>81</v>
      </c>
    </row>
    <row r="7274" spans="1:5">
      <c r="A7274">
        <f t="shared" si="113"/>
        <v>7213</v>
      </c>
      <c r="B7274" s="137" t="e">
        <f>#REF!</f>
        <v>#REF!</v>
      </c>
      <c r="D7274" s="2" t="e">
        <f t="shared" si="112"/>
        <v>#REF!</v>
      </c>
      <c r="E7274" s="2" t="s">
        <v>81</v>
      </c>
    </row>
    <row r="7275" spans="1:5">
      <c r="A7275">
        <f t="shared" si="113"/>
        <v>7214</v>
      </c>
      <c r="B7275" s="137" t="e">
        <f>#REF!</f>
        <v>#REF!</v>
      </c>
      <c r="D7275" s="2" t="e">
        <f t="shared" si="112"/>
        <v>#REF!</v>
      </c>
      <c r="E7275" s="2" t="s">
        <v>81</v>
      </c>
    </row>
    <row r="7276" spans="1:5">
      <c r="A7276">
        <f t="shared" si="113"/>
        <v>7215</v>
      </c>
      <c r="B7276" s="137" t="e">
        <f>#REF!</f>
        <v>#REF!</v>
      </c>
      <c r="D7276" s="2" t="e">
        <f t="shared" si="112"/>
        <v>#REF!</v>
      </c>
      <c r="E7276" s="2" t="s">
        <v>81</v>
      </c>
    </row>
    <row r="7277" spans="1:5">
      <c r="A7277">
        <f t="shared" si="113"/>
        <v>7216</v>
      </c>
      <c r="B7277" s="137" t="e">
        <f>#REF!</f>
        <v>#REF!</v>
      </c>
      <c r="D7277" s="2" t="e">
        <f t="shared" si="112"/>
        <v>#REF!</v>
      </c>
      <c r="E7277" s="2" t="s">
        <v>81</v>
      </c>
    </row>
    <row r="7278" spans="1:5">
      <c r="A7278">
        <f t="shared" si="113"/>
        <v>7217</v>
      </c>
      <c r="B7278" s="137" t="e">
        <f>#REF!</f>
        <v>#REF!</v>
      </c>
      <c r="D7278" s="2" t="e">
        <f t="shared" si="112"/>
        <v>#REF!</v>
      </c>
      <c r="E7278" s="2" t="s">
        <v>81</v>
      </c>
    </row>
    <row r="7279" spans="1:5">
      <c r="A7279">
        <f t="shared" si="113"/>
        <v>7218</v>
      </c>
      <c r="B7279" s="137" t="e">
        <f>#REF!</f>
        <v>#REF!</v>
      </c>
      <c r="D7279" s="2" t="e">
        <f t="shared" si="112"/>
        <v>#REF!</v>
      </c>
      <c r="E7279" s="2" t="s">
        <v>81</v>
      </c>
    </row>
    <row r="7280" spans="1:5">
      <c r="A7280">
        <f t="shared" si="113"/>
        <v>7219</v>
      </c>
      <c r="B7280" s="137" t="e">
        <f>#REF!</f>
        <v>#REF!</v>
      </c>
      <c r="D7280" s="2" t="e">
        <f t="shared" si="112"/>
        <v>#REF!</v>
      </c>
      <c r="E7280" s="2" t="s">
        <v>81</v>
      </c>
    </row>
    <row r="7281" spans="1:5">
      <c r="A7281">
        <f t="shared" si="113"/>
        <v>7220</v>
      </c>
      <c r="B7281" s="137" t="e">
        <f>#REF!</f>
        <v>#REF!</v>
      </c>
      <c r="D7281" s="2" t="e">
        <f t="shared" si="112"/>
        <v>#REF!</v>
      </c>
      <c r="E7281" s="2" t="s">
        <v>81</v>
      </c>
    </row>
    <row r="7282" spans="1:5">
      <c r="A7282">
        <f t="shared" si="113"/>
        <v>7221</v>
      </c>
      <c r="B7282" s="137" t="e">
        <f>#REF!</f>
        <v>#REF!</v>
      </c>
      <c r="D7282" s="2" t="e">
        <f t="shared" si="112"/>
        <v>#REF!</v>
      </c>
      <c r="E7282" s="2" t="s">
        <v>81</v>
      </c>
    </row>
    <row r="7283" spans="1:5">
      <c r="A7283">
        <f t="shared" si="113"/>
        <v>7222</v>
      </c>
      <c r="B7283" s="137" t="e">
        <f>#REF!</f>
        <v>#REF!</v>
      </c>
      <c r="D7283" s="2" t="e">
        <f t="shared" si="112"/>
        <v>#REF!</v>
      </c>
      <c r="E7283" s="2" t="s">
        <v>81</v>
      </c>
    </row>
    <row r="7284" spans="1:5">
      <c r="A7284">
        <f t="shared" si="113"/>
        <v>7223</v>
      </c>
      <c r="B7284" s="137" t="e">
        <f>#REF!</f>
        <v>#REF!</v>
      </c>
      <c r="D7284" s="2" t="e">
        <f t="shared" si="112"/>
        <v>#REF!</v>
      </c>
      <c r="E7284" s="2" t="s">
        <v>81</v>
      </c>
    </row>
    <row r="7285" spans="1:5">
      <c r="A7285">
        <f t="shared" si="113"/>
        <v>7224</v>
      </c>
      <c r="B7285" s="137" t="e">
        <f>#REF!</f>
        <v>#REF!</v>
      </c>
      <c r="D7285" s="2" t="e">
        <f t="shared" si="112"/>
        <v>#REF!</v>
      </c>
      <c r="E7285" s="2" t="s">
        <v>81</v>
      </c>
    </row>
    <row r="7286" spans="1:5">
      <c r="A7286">
        <f t="shared" si="113"/>
        <v>7225</v>
      </c>
      <c r="B7286" s="137" t="e">
        <f>#REF!</f>
        <v>#REF!</v>
      </c>
      <c r="D7286" s="2" t="e">
        <f t="shared" si="112"/>
        <v>#REF!</v>
      </c>
      <c r="E7286" s="2" t="s">
        <v>81</v>
      </c>
    </row>
    <row r="7287" spans="1:5">
      <c r="A7287">
        <f t="shared" si="113"/>
        <v>7226</v>
      </c>
      <c r="B7287" s="137" t="e">
        <f>#REF!</f>
        <v>#REF!</v>
      </c>
      <c r="D7287" s="2" t="e">
        <f t="shared" si="112"/>
        <v>#REF!</v>
      </c>
      <c r="E7287" s="2" t="s">
        <v>81</v>
      </c>
    </row>
    <row r="7288" spans="1:5">
      <c r="A7288">
        <f t="shared" si="113"/>
        <v>7227</v>
      </c>
      <c r="B7288" s="137" t="e">
        <f>#REF!</f>
        <v>#REF!</v>
      </c>
      <c r="D7288" s="2" t="e">
        <f t="shared" si="112"/>
        <v>#REF!</v>
      </c>
      <c r="E7288" s="2" t="s">
        <v>81</v>
      </c>
    </row>
    <row r="7289" spans="1:5">
      <c r="A7289">
        <f t="shared" si="113"/>
        <v>7228</v>
      </c>
      <c r="B7289" s="137" t="e">
        <f>#REF!</f>
        <v>#REF!</v>
      </c>
      <c r="D7289" s="2" t="e">
        <f t="shared" si="112"/>
        <v>#REF!</v>
      </c>
      <c r="E7289" s="2" t="s">
        <v>81</v>
      </c>
    </row>
    <row r="7290" spans="1:5">
      <c r="A7290">
        <f t="shared" si="113"/>
        <v>7229</v>
      </c>
      <c r="B7290" s="137" t="e">
        <f>#REF!</f>
        <v>#REF!</v>
      </c>
      <c r="D7290" s="2" t="e">
        <f t="shared" si="112"/>
        <v>#REF!</v>
      </c>
      <c r="E7290" s="2" t="s">
        <v>81</v>
      </c>
    </row>
    <row r="7291" spans="1:5">
      <c r="A7291">
        <f t="shared" si="113"/>
        <v>7230</v>
      </c>
      <c r="B7291" s="137" t="e">
        <f>#REF!</f>
        <v>#REF!</v>
      </c>
      <c r="D7291" s="2" t="e">
        <f t="shared" si="112"/>
        <v>#REF!</v>
      </c>
      <c r="E7291" s="2" t="s">
        <v>81</v>
      </c>
    </row>
    <row r="7292" spans="1:5">
      <c r="A7292">
        <f t="shared" si="113"/>
        <v>7231</v>
      </c>
      <c r="B7292" s="137" t="e">
        <f>#REF!</f>
        <v>#REF!</v>
      </c>
      <c r="D7292" s="2" t="e">
        <f t="shared" si="112"/>
        <v>#REF!</v>
      </c>
      <c r="E7292" s="2" t="s">
        <v>81</v>
      </c>
    </row>
    <row r="7293" spans="1:5">
      <c r="A7293">
        <f t="shared" si="113"/>
        <v>7232</v>
      </c>
      <c r="B7293" s="137" t="e">
        <f>#REF!</f>
        <v>#REF!</v>
      </c>
      <c r="D7293" s="2" t="e">
        <f t="shared" si="112"/>
        <v>#REF!</v>
      </c>
      <c r="E7293" s="2" t="s">
        <v>81</v>
      </c>
    </row>
    <row r="7294" spans="1:5">
      <c r="A7294">
        <f t="shared" si="113"/>
        <v>7233</v>
      </c>
      <c r="B7294" s="137" t="e">
        <f>#REF!</f>
        <v>#REF!</v>
      </c>
      <c r="D7294" s="2" t="e">
        <f t="shared" si="112"/>
        <v>#REF!</v>
      </c>
      <c r="E7294" s="2" t="s">
        <v>81</v>
      </c>
    </row>
    <row r="7295" spans="1:5">
      <c r="A7295">
        <f t="shared" si="113"/>
        <v>7234</v>
      </c>
      <c r="B7295" s="137" t="e">
        <f>#REF!</f>
        <v>#REF!</v>
      </c>
      <c r="D7295" s="2" t="e">
        <f t="shared" ref="D7295:D7358" si="114">IF(ISBLANK(B7295),"OK",IF(A7295-B7295=0,"OK","Error?"))</f>
        <v>#REF!</v>
      </c>
      <c r="E7295" s="2" t="s">
        <v>81</v>
      </c>
    </row>
    <row r="7296" spans="1:5">
      <c r="A7296">
        <f t="shared" si="113"/>
        <v>7235</v>
      </c>
      <c r="B7296" s="137" t="e">
        <f>#REF!</f>
        <v>#REF!</v>
      </c>
      <c r="D7296" s="2" t="e">
        <f t="shared" si="114"/>
        <v>#REF!</v>
      </c>
      <c r="E7296" s="2" t="s">
        <v>81</v>
      </c>
    </row>
    <row r="7297" spans="1:5">
      <c r="A7297">
        <f t="shared" si="113"/>
        <v>7236</v>
      </c>
      <c r="B7297" s="137" t="e">
        <f>#REF!</f>
        <v>#REF!</v>
      </c>
      <c r="D7297" s="2" t="e">
        <f t="shared" si="114"/>
        <v>#REF!</v>
      </c>
      <c r="E7297" s="2" t="s">
        <v>81</v>
      </c>
    </row>
    <row r="7298" spans="1:5">
      <c r="A7298">
        <f t="shared" si="113"/>
        <v>7237</v>
      </c>
      <c r="B7298" s="137" t="e">
        <f>#REF!</f>
        <v>#REF!</v>
      </c>
      <c r="D7298" s="2" t="e">
        <f t="shared" si="114"/>
        <v>#REF!</v>
      </c>
      <c r="E7298" s="2" t="s">
        <v>81</v>
      </c>
    </row>
    <row r="7299" spans="1:5">
      <c r="A7299">
        <f t="shared" si="113"/>
        <v>7238</v>
      </c>
      <c r="B7299" s="137" t="e">
        <f>#REF!</f>
        <v>#REF!</v>
      </c>
      <c r="D7299" s="2" t="e">
        <f t="shared" si="114"/>
        <v>#REF!</v>
      </c>
      <c r="E7299" s="2" t="s">
        <v>81</v>
      </c>
    </row>
    <row r="7300" spans="1:5">
      <c r="A7300">
        <f t="shared" si="113"/>
        <v>7239</v>
      </c>
      <c r="B7300" s="137" t="e">
        <f>#REF!</f>
        <v>#REF!</v>
      </c>
      <c r="D7300" s="2" t="e">
        <f t="shared" si="114"/>
        <v>#REF!</v>
      </c>
      <c r="E7300" s="2" t="s">
        <v>81</v>
      </c>
    </row>
    <row r="7301" spans="1:5">
      <c r="A7301">
        <f t="shared" si="113"/>
        <v>7240</v>
      </c>
      <c r="B7301" s="137" t="e">
        <f>#REF!</f>
        <v>#REF!</v>
      </c>
      <c r="D7301" s="2" t="e">
        <f t="shared" si="114"/>
        <v>#REF!</v>
      </c>
      <c r="E7301" s="2" t="s">
        <v>81</v>
      </c>
    </row>
    <row r="7302" spans="1:5">
      <c r="A7302">
        <f t="shared" si="113"/>
        <v>7241</v>
      </c>
      <c r="B7302" s="137" t="e">
        <f>#REF!</f>
        <v>#REF!</v>
      </c>
      <c r="D7302" s="2" t="e">
        <f t="shared" si="114"/>
        <v>#REF!</v>
      </c>
      <c r="E7302" s="2" t="s">
        <v>81</v>
      </c>
    </row>
    <row r="7303" spans="1:5">
      <c r="A7303">
        <f t="shared" si="113"/>
        <v>7242</v>
      </c>
      <c r="B7303" s="137" t="e">
        <f>#REF!</f>
        <v>#REF!</v>
      </c>
      <c r="D7303" s="2" t="e">
        <f t="shared" si="114"/>
        <v>#REF!</v>
      </c>
      <c r="E7303" s="2" t="s">
        <v>81</v>
      </c>
    </row>
    <row r="7304" spans="1:5">
      <c r="A7304">
        <f t="shared" si="113"/>
        <v>7243</v>
      </c>
      <c r="B7304" s="137" t="e">
        <f>#REF!</f>
        <v>#REF!</v>
      </c>
      <c r="D7304" s="2" t="e">
        <f t="shared" si="114"/>
        <v>#REF!</v>
      </c>
      <c r="E7304" s="2" t="s">
        <v>81</v>
      </c>
    </row>
    <row r="7305" spans="1:5">
      <c r="A7305">
        <f t="shared" si="113"/>
        <v>7244</v>
      </c>
      <c r="B7305" s="137" t="e">
        <f>#REF!</f>
        <v>#REF!</v>
      </c>
      <c r="D7305" s="2" t="e">
        <f t="shared" si="114"/>
        <v>#REF!</v>
      </c>
      <c r="E7305" s="2" t="s">
        <v>81</v>
      </c>
    </row>
    <row r="7306" spans="1:5">
      <c r="A7306">
        <f t="shared" si="113"/>
        <v>7245</v>
      </c>
      <c r="B7306" s="137" t="e">
        <f>#REF!</f>
        <v>#REF!</v>
      </c>
      <c r="D7306" s="2" t="e">
        <f t="shared" si="114"/>
        <v>#REF!</v>
      </c>
      <c r="E7306" s="2" t="s">
        <v>81</v>
      </c>
    </row>
    <row r="7307" spans="1:5">
      <c r="A7307">
        <f t="shared" si="113"/>
        <v>7246</v>
      </c>
      <c r="B7307" s="137" t="e">
        <f>#REF!</f>
        <v>#REF!</v>
      </c>
      <c r="D7307" s="2" t="e">
        <f t="shared" si="114"/>
        <v>#REF!</v>
      </c>
      <c r="E7307" s="2" t="s">
        <v>81</v>
      </c>
    </row>
    <row r="7308" spans="1:5">
      <c r="A7308">
        <f t="shared" si="113"/>
        <v>7247</v>
      </c>
      <c r="B7308" s="137" t="e">
        <f>#REF!</f>
        <v>#REF!</v>
      </c>
      <c r="D7308" s="2" t="e">
        <f t="shared" si="114"/>
        <v>#REF!</v>
      </c>
      <c r="E7308" s="2" t="s">
        <v>81</v>
      </c>
    </row>
    <row r="7309" spans="1:5">
      <c r="A7309">
        <f t="shared" si="113"/>
        <v>7248</v>
      </c>
      <c r="B7309" s="137" t="e">
        <f>#REF!</f>
        <v>#REF!</v>
      </c>
      <c r="D7309" s="2" t="e">
        <f t="shared" si="114"/>
        <v>#REF!</v>
      </c>
      <c r="E7309" s="2" t="s">
        <v>81</v>
      </c>
    </row>
    <row r="7310" spans="1:5">
      <c r="A7310">
        <f t="shared" ref="A7310:A7373" si="115">A7309+1</f>
        <v>7249</v>
      </c>
      <c r="B7310" s="137" t="e">
        <f>#REF!</f>
        <v>#REF!</v>
      </c>
      <c r="D7310" s="2" t="e">
        <f t="shared" si="114"/>
        <v>#REF!</v>
      </c>
      <c r="E7310" s="2" t="s">
        <v>81</v>
      </c>
    </row>
    <row r="7311" spans="1:5">
      <c r="A7311">
        <f t="shared" si="115"/>
        <v>7250</v>
      </c>
      <c r="B7311" s="137" t="e">
        <f>#REF!</f>
        <v>#REF!</v>
      </c>
      <c r="D7311" s="2" t="e">
        <f t="shared" si="114"/>
        <v>#REF!</v>
      </c>
      <c r="E7311" s="2" t="s">
        <v>81</v>
      </c>
    </row>
    <row r="7312" spans="1:5">
      <c r="A7312">
        <f t="shared" si="115"/>
        <v>7251</v>
      </c>
      <c r="B7312" s="137" t="e">
        <f>#REF!</f>
        <v>#REF!</v>
      </c>
      <c r="D7312" s="2" t="e">
        <f t="shared" si="114"/>
        <v>#REF!</v>
      </c>
      <c r="E7312" s="2" t="s">
        <v>81</v>
      </c>
    </row>
    <row r="7313" spans="1:5">
      <c r="A7313">
        <f t="shared" si="115"/>
        <v>7252</v>
      </c>
      <c r="B7313" s="137" t="e">
        <f>#REF!</f>
        <v>#REF!</v>
      </c>
      <c r="D7313" s="2" t="e">
        <f t="shared" si="114"/>
        <v>#REF!</v>
      </c>
      <c r="E7313" s="2" t="s">
        <v>81</v>
      </c>
    </row>
    <row r="7314" spans="1:5">
      <c r="A7314">
        <f t="shared" si="115"/>
        <v>7253</v>
      </c>
      <c r="B7314" s="137" t="e">
        <f>#REF!</f>
        <v>#REF!</v>
      </c>
      <c r="D7314" s="2" t="e">
        <f t="shared" si="114"/>
        <v>#REF!</v>
      </c>
      <c r="E7314" s="2" t="s">
        <v>81</v>
      </c>
    </row>
    <row r="7315" spans="1:5">
      <c r="A7315">
        <f t="shared" si="115"/>
        <v>7254</v>
      </c>
      <c r="B7315" s="137" t="e">
        <f>#REF!</f>
        <v>#REF!</v>
      </c>
      <c r="D7315" s="2" t="e">
        <f t="shared" si="114"/>
        <v>#REF!</v>
      </c>
      <c r="E7315" s="2" t="s">
        <v>81</v>
      </c>
    </row>
    <row r="7316" spans="1:5">
      <c r="A7316">
        <f t="shared" si="115"/>
        <v>7255</v>
      </c>
      <c r="B7316" s="137" t="e">
        <f>#REF!</f>
        <v>#REF!</v>
      </c>
      <c r="D7316" s="2" t="e">
        <f t="shared" si="114"/>
        <v>#REF!</v>
      </c>
      <c r="E7316" s="2" t="s">
        <v>81</v>
      </c>
    </row>
    <row r="7317" spans="1:5">
      <c r="A7317">
        <f t="shared" si="115"/>
        <v>7256</v>
      </c>
      <c r="B7317" s="137" t="e">
        <f>#REF!</f>
        <v>#REF!</v>
      </c>
      <c r="D7317" s="2" t="e">
        <f t="shared" si="114"/>
        <v>#REF!</v>
      </c>
      <c r="E7317" s="2" t="s">
        <v>81</v>
      </c>
    </row>
    <row r="7318" spans="1:5">
      <c r="A7318">
        <f t="shared" si="115"/>
        <v>7257</v>
      </c>
      <c r="B7318" s="137" t="e">
        <f>#REF!</f>
        <v>#REF!</v>
      </c>
      <c r="D7318" s="2" t="e">
        <f t="shared" si="114"/>
        <v>#REF!</v>
      </c>
      <c r="E7318" s="2" t="s">
        <v>81</v>
      </c>
    </row>
    <row r="7319" spans="1:5">
      <c r="A7319">
        <f t="shared" si="115"/>
        <v>7258</v>
      </c>
      <c r="B7319" s="137" t="e">
        <f>#REF!</f>
        <v>#REF!</v>
      </c>
      <c r="D7319" s="2" t="e">
        <f t="shared" si="114"/>
        <v>#REF!</v>
      </c>
      <c r="E7319" s="2" t="s">
        <v>81</v>
      </c>
    </row>
    <row r="7320" spans="1:5">
      <c r="A7320">
        <f t="shared" si="115"/>
        <v>7259</v>
      </c>
      <c r="B7320" s="137" t="e">
        <f>#REF!</f>
        <v>#REF!</v>
      </c>
      <c r="D7320" s="2" t="e">
        <f t="shared" si="114"/>
        <v>#REF!</v>
      </c>
      <c r="E7320" s="2" t="s">
        <v>81</v>
      </c>
    </row>
    <row r="7321" spans="1:5">
      <c r="A7321">
        <f t="shared" si="115"/>
        <v>7260</v>
      </c>
      <c r="B7321" s="137" t="e">
        <f>#REF!</f>
        <v>#REF!</v>
      </c>
      <c r="D7321" s="2" t="e">
        <f t="shared" si="114"/>
        <v>#REF!</v>
      </c>
      <c r="E7321" s="2" t="s">
        <v>81</v>
      </c>
    </row>
    <row r="7322" spans="1:5">
      <c r="A7322">
        <f t="shared" si="115"/>
        <v>7261</v>
      </c>
      <c r="B7322" s="137" t="e">
        <f>#REF!</f>
        <v>#REF!</v>
      </c>
      <c r="D7322" s="2" t="e">
        <f t="shared" si="114"/>
        <v>#REF!</v>
      </c>
      <c r="E7322" s="2" t="s">
        <v>81</v>
      </c>
    </row>
    <row r="7323" spans="1:5">
      <c r="A7323">
        <f t="shared" si="115"/>
        <v>7262</v>
      </c>
      <c r="B7323" s="137" t="e">
        <f>#REF!</f>
        <v>#REF!</v>
      </c>
      <c r="D7323" s="2" t="e">
        <f t="shared" si="114"/>
        <v>#REF!</v>
      </c>
      <c r="E7323" s="2" t="s">
        <v>81</v>
      </c>
    </row>
    <row r="7324" spans="1:5">
      <c r="A7324">
        <f t="shared" si="115"/>
        <v>7263</v>
      </c>
      <c r="B7324" s="137" t="e">
        <f>#REF!</f>
        <v>#REF!</v>
      </c>
      <c r="D7324" s="2" t="e">
        <f t="shared" si="114"/>
        <v>#REF!</v>
      </c>
      <c r="E7324" s="2" t="s">
        <v>81</v>
      </c>
    </row>
    <row r="7325" spans="1:5">
      <c r="A7325">
        <f t="shared" si="115"/>
        <v>7264</v>
      </c>
      <c r="B7325" s="137" t="e">
        <f>#REF!</f>
        <v>#REF!</v>
      </c>
      <c r="D7325" s="2" t="e">
        <f t="shared" si="114"/>
        <v>#REF!</v>
      </c>
      <c r="E7325" s="2" t="s">
        <v>81</v>
      </c>
    </row>
    <row r="7326" spans="1:5">
      <c r="A7326">
        <f t="shared" si="115"/>
        <v>7265</v>
      </c>
      <c r="B7326" s="137" t="e">
        <f>#REF!</f>
        <v>#REF!</v>
      </c>
      <c r="D7326" s="2" t="e">
        <f t="shared" si="114"/>
        <v>#REF!</v>
      </c>
      <c r="E7326" s="2" t="s">
        <v>81</v>
      </c>
    </row>
    <row r="7327" spans="1:5">
      <c r="A7327">
        <f t="shared" si="115"/>
        <v>7266</v>
      </c>
      <c r="B7327" s="137" t="e">
        <f>#REF!</f>
        <v>#REF!</v>
      </c>
      <c r="D7327" s="2" t="e">
        <f t="shared" si="114"/>
        <v>#REF!</v>
      </c>
      <c r="E7327" s="2" t="s">
        <v>81</v>
      </c>
    </row>
    <row r="7328" spans="1:5">
      <c r="A7328">
        <f t="shared" si="115"/>
        <v>7267</v>
      </c>
      <c r="B7328" s="137" t="e">
        <f>#REF!</f>
        <v>#REF!</v>
      </c>
      <c r="D7328" s="2" t="e">
        <f t="shared" si="114"/>
        <v>#REF!</v>
      </c>
      <c r="E7328" s="2" t="s">
        <v>81</v>
      </c>
    </row>
    <row r="7329" spans="1:5">
      <c r="A7329">
        <f t="shared" si="115"/>
        <v>7268</v>
      </c>
      <c r="B7329" s="137" t="e">
        <f>#REF!</f>
        <v>#REF!</v>
      </c>
      <c r="D7329" s="2" t="e">
        <f t="shared" si="114"/>
        <v>#REF!</v>
      </c>
      <c r="E7329" s="2" t="s">
        <v>81</v>
      </c>
    </row>
    <row r="7330" spans="1:5">
      <c r="A7330">
        <f t="shared" si="115"/>
        <v>7269</v>
      </c>
      <c r="B7330" s="137" t="e">
        <f>#REF!</f>
        <v>#REF!</v>
      </c>
      <c r="D7330" s="2" t="e">
        <f t="shared" si="114"/>
        <v>#REF!</v>
      </c>
      <c r="E7330" s="2" t="s">
        <v>81</v>
      </c>
    </row>
    <row r="7331" spans="1:5">
      <c r="A7331">
        <f t="shared" si="115"/>
        <v>7270</v>
      </c>
      <c r="B7331" s="137" t="e">
        <f>#REF!</f>
        <v>#REF!</v>
      </c>
      <c r="D7331" s="2" t="e">
        <f t="shared" si="114"/>
        <v>#REF!</v>
      </c>
      <c r="E7331" s="2" t="s">
        <v>81</v>
      </c>
    </row>
    <row r="7332" spans="1:5">
      <c r="A7332">
        <f t="shared" si="115"/>
        <v>7271</v>
      </c>
      <c r="B7332" s="137" t="e">
        <f>#REF!</f>
        <v>#REF!</v>
      </c>
      <c r="D7332" s="2" t="e">
        <f t="shared" si="114"/>
        <v>#REF!</v>
      </c>
      <c r="E7332" s="2" t="s">
        <v>81</v>
      </c>
    </row>
    <row r="7333" spans="1:5">
      <c r="A7333">
        <f t="shared" si="115"/>
        <v>7272</v>
      </c>
      <c r="B7333" s="137" t="e">
        <f>#REF!</f>
        <v>#REF!</v>
      </c>
      <c r="D7333" s="2" t="e">
        <f t="shared" si="114"/>
        <v>#REF!</v>
      </c>
      <c r="E7333" s="2" t="s">
        <v>81</v>
      </c>
    </row>
    <row r="7334" spans="1:5">
      <c r="A7334">
        <f t="shared" si="115"/>
        <v>7273</v>
      </c>
      <c r="B7334" s="137" t="e">
        <f>#REF!</f>
        <v>#REF!</v>
      </c>
      <c r="D7334" s="2" t="e">
        <f t="shared" si="114"/>
        <v>#REF!</v>
      </c>
      <c r="E7334" s="2" t="s">
        <v>81</v>
      </c>
    </row>
    <row r="7335" spans="1:5">
      <c r="A7335">
        <f t="shared" si="115"/>
        <v>7274</v>
      </c>
      <c r="B7335" s="137" t="e">
        <f>#REF!</f>
        <v>#REF!</v>
      </c>
      <c r="D7335" s="2" t="e">
        <f t="shared" si="114"/>
        <v>#REF!</v>
      </c>
      <c r="E7335" s="2" t="s">
        <v>81</v>
      </c>
    </row>
    <row r="7336" spans="1:5">
      <c r="A7336">
        <f t="shared" si="115"/>
        <v>7275</v>
      </c>
      <c r="B7336" s="137" t="e">
        <f>#REF!</f>
        <v>#REF!</v>
      </c>
      <c r="D7336" s="2" t="e">
        <f t="shared" si="114"/>
        <v>#REF!</v>
      </c>
      <c r="E7336" s="2" t="s">
        <v>81</v>
      </c>
    </row>
    <row r="7337" spans="1:5">
      <c r="A7337">
        <f t="shared" si="115"/>
        <v>7276</v>
      </c>
      <c r="B7337" s="137" t="e">
        <f>#REF!</f>
        <v>#REF!</v>
      </c>
      <c r="D7337" s="2" t="e">
        <f t="shared" si="114"/>
        <v>#REF!</v>
      </c>
      <c r="E7337" s="2" t="s">
        <v>81</v>
      </c>
    </row>
    <row r="7338" spans="1:5">
      <c r="A7338">
        <f t="shared" si="115"/>
        <v>7277</v>
      </c>
      <c r="B7338" s="137" t="e">
        <f>#REF!</f>
        <v>#REF!</v>
      </c>
      <c r="D7338" s="2" t="e">
        <f t="shared" si="114"/>
        <v>#REF!</v>
      </c>
      <c r="E7338" s="2" t="s">
        <v>81</v>
      </c>
    </row>
    <row r="7339" spans="1:5">
      <c r="A7339">
        <f t="shared" si="115"/>
        <v>7278</v>
      </c>
      <c r="B7339" s="137" t="e">
        <f>#REF!</f>
        <v>#REF!</v>
      </c>
      <c r="D7339" s="2" t="e">
        <f t="shared" si="114"/>
        <v>#REF!</v>
      </c>
      <c r="E7339" s="2" t="s">
        <v>81</v>
      </c>
    </row>
    <row r="7340" spans="1:5">
      <c r="A7340">
        <f t="shared" si="115"/>
        <v>7279</v>
      </c>
      <c r="B7340" s="137" t="e">
        <f>#REF!</f>
        <v>#REF!</v>
      </c>
      <c r="D7340" s="2" t="e">
        <f t="shared" si="114"/>
        <v>#REF!</v>
      </c>
      <c r="E7340" s="2" t="s">
        <v>81</v>
      </c>
    </row>
    <row r="7341" spans="1:5">
      <c r="A7341">
        <f t="shared" si="115"/>
        <v>7280</v>
      </c>
      <c r="B7341" s="137" t="e">
        <f>#REF!</f>
        <v>#REF!</v>
      </c>
      <c r="D7341" s="2" t="e">
        <f t="shared" si="114"/>
        <v>#REF!</v>
      </c>
      <c r="E7341" s="2" t="s">
        <v>81</v>
      </c>
    </row>
    <row r="7342" spans="1:5">
      <c r="A7342">
        <f t="shared" si="115"/>
        <v>7281</v>
      </c>
      <c r="B7342" s="137" t="e">
        <f>#REF!</f>
        <v>#REF!</v>
      </c>
      <c r="D7342" s="2" t="e">
        <f t="shared" si="114"/>
        <v>#REF!</v>
      </c>
      <c r="E7342" s="2" t="s">
        <v>81</v>
      </c>
    </row>
    <row r="7343" spans="1:5">
      <c r="A7343">
        <f t="shared" si="115"/>
        <v>7282</v>
      </c>
      <c r="B7343" s="137" t="e">
        <f>#REF!</f>
        <v>#REF!</v>
      </c>
      <c r="D7343" s="2" t="e">
        <f t="shared" si="114"/>
        <v>#REF!</v>
      </c>
      <c r="E7343" s="2" t="s">
        <v>81</v>
      </c>
    </row>
    <row r="7344" spans="1:5">
      <c r="A7344">
        <f t="shared" si="115"/>
        <v>7283</v>
      </c>
      <c r="B7344" s="137" t="e">
        <f>#REF!</f>
        <v>#REF!</v>
      </c>
      <c r="D7344" s="2" t="e">
        <f t="shared" si="114"/>
        <v>#REF!</v>
      </c>
      <c r="E7344" s="2" t="s">
        <v>81</v>
      </c>
    </row>
    <row r="7345" spans="1:5">
      <c r="A7345">
        <f t="shared" si="115"/>
        <v>7284</v>
      </c>
      <c r="B7345" s="137" t="e">
        <f>#REF!</f>
        <v>#REF!</v>
      </c>
      <c r="D7345" s="2" t="e">
        <f t="shared" si="114"/>
        <v>#REF!</v>
      </c>
      <c r="E7345" s="2" t="s">
        <v>81</v>
      </c>
    </row>
    <row r="7346" spans="1:5">
      <c r="A7346">
        <f t="shared" si="115"/>
        <v>7285</v>
      </c>
      <c r="B7346" s="137" t="e">
        <f>#REF!</f>
        <v>#REF!</v>
      </c>
      <c r="D7346" s="2" t="e">
        <f t="shared" si="114"/>
        <v>#REF!</v>
      </c>
      <c r="E7346" s="2" t="s">
        <v>81</v>
      </c>
    </row>
    <row r="7347" spans="1:5">
      <c r="A7347">
        <f t="shared" si="115"/>
        <v>7286</v>
      </c>
      <c r="B7347" s="137" t="e">
        <f>#REF!</f>
        <v>#REF!</v>
      </c>
      <c r="D7347" s="2" t="e">
        <f t="shared" si="114"/>
        <v>#REF!</v>
      </c>
      <c r="E7347" s="2" t="s">
        <v>81</v>
      </c>
    </row>
    <row r="7348" spans="1:5">
      <c r="A7348">
        <f t="shared" si="115"/>
        <v>7287</v>
      </c>
      <c r="B7348" s="137" t="e">
        <f>#REF!</f>
        <v>#REF!</v>
      </c>
      <c r="D7348" s="2" t="e">
        <f t="shared" si="114"/>
        <v>#REF!</v>
      </c>
      <c r="E7348" s="2" t="s">
        <v>81</v>
      </c>
    </row>
    <row r="7349" spans="1:5">
      <c r="A7349">
        <f t="shared" si="115"/>
        <v>7288</v>
      </c>
      <c r="B7349" s="137" t="e">
        <f>#REF!</f>
        <v>#REF!</v>
      </c>
      <c r="D7349" s="2" t="e">
        <f t="shared" si="114"/>
        <v>#REF!</v>
      </c>
      <c r="E7349" s="2" t="s">
        <v>81</v>
      </c>
    </row>
    <row r="7350" spans="1:5">
      <c r="A7350">
        <f t="shared" si="115"/>
        <v>7289</v>
      </c>
      <c r="B7350" s="137" t="e">
        <f>#REF!</f>
        <v>#REF!</v>
      </c>
      <c r="D7350" s="2" t="e">
        <f t="shared" si="114"/>
        <v>#REF!</v>
      </c>
      <c r="E7350" s="2" t="s">
        <v>81</v>
      </c>
    </row>
    <row r="7351" spans="1:5">
      <c r="A7351">
        <f t="shared" si="115"/>
        <v>7290</v>
      </c>
      <c r="B7351" s="137" t="e">
        <f>#REF!</f>
        <v>#REF!</v>
      </c>
      <c r="D7351" s="2" t="e">
        <f t="shared" si="114"/>
        <v>#REF!</v>
      </c>
      <c r="E7351" s="2" t="s">
        <v>81</v>
      </c>
    </row>
    <row r="7352" spans="1:5">
      <c r="A7352">
        <f t="shared" si="115"/>
        <v>7291</v>
      </c>
      <c r="B7352" s="137" t="e">
        <f>#REF!</f>
        <v>#REF!</v>
      </c>
      <c r="D7352" s="2" t="e">
        <f t="shared" si="114"/>
        <v>#REF!</v>
      </c>
      <c r="E7352" s="2" t="s">
        <v>81</v>
      </c>
    </row>
    <row r="7353" spans="1:5">
      <c r="A7353">
        <f t="shared" si="115"/>
        <v>7292</v>
      </c>
      <c r="B7353" s="137" t="e">
        <f>#REF!</f>
        <v>#REF!</v>
      </c>
      <c r="D7353" s="2" t="e">
        <f t="shared" si="114"/>
        <v>#REF!</v>
      </c>
      <c r="E7353" s="2" t="s">
        <v>81</v>
      </c>
    </row>
    <row r="7354" spans="1:5">
      <c r="A7354">
        <f t="shared" si="115"/>
        <v>7293</v>
      </c>
      <c r="B7354" s="137" t="e">
        <f>#REF!</f>
        <v>#REF!</v>
      </c>
      <c r="D7354" s="2" t="e">
        <f t="shared" si="114"/>
        <v>#REF!</v>
      </c>
      <c r="E7354" s="2" t="s">
        <v>81</v>
      </c>
    </row>
    <row r="7355" spans="1:5">
      <c r="A7355">
        <f t="shared" si="115"/>
        <v>7294</v>
      </c>
      <c r="B7355" s="137" t="e">
        <f>#REF!</f>
        <v>#REF!</v>
      </c>
      <c r="D7355" s="2" t="e">
        <f t="shared" si="114"/>
        <v>#REF!</v>
      </c>
      <c r="E7355" s="2" t="s">
        <v>81</v>
      </c>
    </row>
    <row r="7356" spans="1:5">
      <c r="A7356">
        <f t="shared" si="115"/>
        <v>7295</v>
      </c>
      <c r="B7356" s="137" t="e">
        <f>#REF!</f>
        <v>#REF!</v>
      </c>
      <c r="D7356" s="2" t="e">
        <f t="shared" si="114"/>
        <v>#REF!</v>
      </c>
      <c r="E7356" s="2" t="s">
        <v>81</v>
      </c>
    </row>
    <row r="7357" spans="1:5">
      <c r="A7357">
        <f t="shared" si="115"/>
        <v>7296</v>
      </c>
      <c r="B7357" s="137" t="e">
        <f>#REF!</f>
        <v>#REF!</v>
      </c>
      <c r="D7357" s="2" t="e">
        <f t="shared" si="114"/>
        <v>#REF!</v>
      </c>
      <c r="E7357" s="2" t="s">
        <v>81</v>
      </c>
    </row>
    <row r="7358" spans="1:5">
      <c r="A7358">
        <f t="shared" si="115"/>
        <v>7297</v>
      </c>
      <c r="B7358" s="137" t="e">
        <f>#REF!</f>
        <v>#REF!</v>
      </c>
      <c r="D7358" s="2" t="e">
        <f t="shared" si="114"/>
        <v>#REF!</v>
      </c>
      <c r="E7358" s="2" t="s">
        <v>81</v>
      </c>
    </row>
    <row r="7359" spans="1:5">
      <c r="A7359">
        <f t="shared" si="115"/>
        <v>7298</v>
      </c>
      <c r="B7359" s="137" t="e">
        <f>#REF!</f>
        <v>#REF!</v>
      </c>
      <c r="D7359" s="2" t="e">
        <f t="shared" ref="D7359:D7422" si="116">IF(ISBLANK(B7359),"OK",IF(A7359-B7359=0,"OK","Error?"))</f>
        <v>#REF!</v>
      </c>
      <c r="E7359" s="2" t="s">
        <v>81</v>
      </c>
    </row>
    <row r="7360" spans="1:5">
      <c r="A7360">
        <f t="shared" si="115"/>
        <v>7299</v>
      </c>
      <c r="B7360" s="137" t="e">
        <f>#REF!</f>
        <v>#REF!</v>
      </c>
      <c r="D7360" s="2" t="e">
        <f t="shared" si="116"/>
        <v>#REF!</v>
      </c>
      <c r="E7360" s="2" t="s">
        <v>81</v>
      </c>
    </row>
    <row r="7361" spans="1:5">
      <c r="A7361">
        <f t="shared" si="115"/>
        <v>7300</v>
      </c>
      <c r="B7361" s="137" t="e">
        <f>#REF!</f>
        <v>#REF!</v>
      </c>
      <c r="D7361" s="2" t="e">
        <f t="shared" si="116"/>
        <v>#REF!</v>
      </c>
      <c r="E7361" s="2" t="s">
        <v>81</v>
      </c>
    </row>
    <row r="7362" spans="1:5">
      <c r="A7362">
        <f t="shared" si="115"/>
        <v>7301</v>
      </c>
      <c r="B7362" s="137" t="e">
        <f>#REF!</f>
        <v>#REF!</v>
      </c>
      <c r="D7362" s="2" t="e">
        <f t="shared" si="116"/>
        <v>#REF!</v>
      </c>
      <c r="E7362" s="2" t="s">
        <v>81</v>
      </c>
    </row>
    <row r="7363" spans="1:5">
      <c r="A7363">
        <f t="shared" si="115"/>
        <v>7302</v>
      </c>
      <c r="B7363" s="137" t="e">
        <f>#REF!</f>
        <v>#REF!</v>
      </c>
      <c r="D7363" s="2" t="e">
        <f t="shared" si="116"/>
        <v>#REF!</v>
      </c>
      <c r="E7363" s="2" t="s">
        <v>81</v>
      </c>
    </row>
    <row r="7364" spans="1:5">
      <c r="A7364">
        <f t="shared" si="115"/>
        <v>7303</v>
      </c>
      <c r="B7364" s="137" t="e">
        <f>#REF!</f>
        <v>#REF!</v>
      </c>
      <c r="D7364" s="2" t="e">
        <f t="shared" si="116"/>
        <v>#REF!</v>
      </c>
      <c r="E7364" s="2" t="s">
        <v>81</v>
      </c>
    </row>
    <row r="7365" spans="1:5">
      <c r="A7365">
        <f t="shared" si="115"/>
        <v>7304</v>
      </c>
      <c r="B7365" s="137" t="e">
        <f>#REF!</f>
        <v>#REF!</v>
      </c>
      <c r="D7365" s="2" t="e">
        <f t="shared" si="116"/>
        <v>#REF!</v>
      </c>
      <c r="E7365" s="2" t="s">
        <v>81</v>
      </c>
    </row>
    <row r="7366" spans="1:5">
      <c r="A7366">
        <f t="shared" si="115"/>
        <v>7305</v>
      </c>
      <c r="B7366" s="137" t="e">
        <f>#REF!</f>
        <v>#REF!</v>
      </c>
      <c r="D7366" s="2" t="e">
        <f t="shared" si="116"/>
        <v>#REF!</v>
      </c>
      <c r="E7366" s="2" t="s">
        <v>81</v>
      </c>
    </row>
    <row r="7367" spans="1:5">
      <c r="A7367">
        <f t="shared" si="115"/>
        <v>7306</v>
      </c>
      <c r="B7367" s="137" t="e">
        <f>#REF!</f>
        <v>#REF!</v>
      </c>
      <c r="D7367" s="2" t="e">
        <f t="shared" si="116"/>
        <v>#REF!</v>
      </c>
      <c r="E7367" s="2" t="s">
        <v>81</v>
      </c>
    </row>
    <row r="7368" spans="1:5">
      <c r="A7368">
        <f t="shared" si="115"/>
        <v>7307</v>
      </c>
      <c r="B7368" s="137" t="e">
        <f>#REF!</f>
        <v>#REF!</v>
      </c>
      <c r="D7368" s="2" t="e">
        <f t="shared" si="116"/>
        <v>#REF!</v>
      </c>
      <c r="E7368" s="2" t="s">
        <v>81</v>
      </c>
    </row>
    <row r="7369" spans="1:5">
      <c r="A7369">
        <f t="shared" si="115"/>
        <v>7308</v>
      </c>
      <c r="B7369" s="137" t="e">
        <f>#REF!</f>
        <v>#REF!</v>
      </c>
      <c r="D7369" s="2" t="e">
        <f t="shared" si="116"/>
        <v>#REF!</v>
      </c>
      <c r="E7369" s="2" t="s">
        <v>81</v>
      </c>
    </row>
    <row r="7370" spans="1:5">
      <c r="A7370">
        <f t="shared" si="115"/>
        <v>7309</v>
      </c>
      <c r="B7370" s="137" t="e">
        <f>#REF!</f>
        <v>#REF!</v>
      </c>
      <c r="D7370" s="2" t="e">
        <f t="shared" si="116"/>
        <v>#REF!</v>
      </c>
      <c r="E7370" s="2" t="s">
        <v>81</v>
      </c>
    </row>
    <row r="7371" spans="1:5">
      <c r="A7371">
        <f t="shared" si="115"/>
        <v>7310</v>
      </c>
      <c r="B7371" s="137" t="e">
        <f>#REF!</f>
        <v>#REF!</v>
      </c>
      <c r="D7371" s="2" t="e">
        <f t="shared" si="116"/>
        <v>#REF!</v>
      </c>
      <c r="E7371" s="2" t="s">
        <v>81</v>
      </c>
    </row>
    <row r="7372" spans="1:5">
      <c r="A7372">
        <f t="shared" si="115"/>
        <v>7311</v>
      </c>
      <c r="B7372" s="137" t="e">
        <f>#REF!</f>
        <v>#REF!</v>
      </c>
      <c r="D7372" s="2" t="e">
        <f t="shared" si="116"/>
        <v>#REF!</v>
      </c>
      <c r="E7372" s="2" t="s">
        <v>81</v>
      </c>
    </row>
    <row r="7373" spans="1:5">
      <c r="A7373">
        <f t="shared" si="115"/>
        <v>7312</v>
      </c>
      <c r="B7373" s="137" t="e">
        <f>#REF!</f>
        <v>#REF!</v>
      </c>
      <c r="D7373" s="2" t="e">
        <f t="shared" si="116"/>
        <v>#REF!</v>
      </c>
      <c r="E7373" s="2" t="s">
        <v>81</v>
      </c>
    </row>
    <row r="7374" spans="1:5">
      <c r="A7374">
        <f t="shared" ref="A7374:A7437" si="117">A7373+1</f>
        <v>7313</v>
      </c>
      <c r="B7374" s="137" t="e">
        <f>#REF!</f>
        <v>#REF!</v>
      </c>
      <c r="D7374" s="2" t="e">
        <f t="shared" si="116"/>
        <v>#REF!</v>
      </c>
      <c r="E7374" s="2" t="s">
        <v>81</v>
      </c>
    </row>
    <row r="7375" spans="1:5">
      <c r="A7375">
        <f t="shared" si="117"/>
        <v>7314</v>
      </c>
      <c r="B7375" s="137" t="e">
        <f>#REF!</f>
        <v>#REF!</v>
      </c>
      <c r="D7375" s="2" t="e">
        <f t="shared" si="116"/>
        <v>#REF!</v>
      </c>
      <c r="E7375" s="2" t="s">
        <v>81</v>
      </c>
    </row>
    <row r="7376" spans="1:5">
      <c r="A7376">
        <f t="shared" si="117"/>
        <v>7315</v>
      </c>
      <c r="B7376" s="137" t="e">
        <f>#REF!</f>
        <v>#REF!</v>
      </c>
      <c r="D7376" s="2" t="e">
        <f t="shared" si="116"/>
        <v>#REF!</v>
      </c>
      <c r="E7376" s="2" t="s">
        <v>81</v>
      </c>
    </row>
    <row r="7377" spans="1:5">
      <c r="A7377">
        <f t="shared" si="117"/>
        <v>7316</v>
      </c>
      <c r="B7377" s="137" t="e">
        <f>#REF!</f>
        <v>#REF!</v>
      </c>
      <c r="D7377" s="2" t="e">
        <f t="shared" si="116"/>
        <v>#REF!</v>
      </c>
      <c r="E7377" s="2" t="s">
        <v>81</v>
      </c>
    </row>
    <row r="7378" spans="1:5">
      <c r="A7378">
        <f t="shared" si="117"/>
        <v>7317</v>
      </c>
      <c r="B7378" s="137" t="e">
        <f>#REF!</f>
        <v>#REF!</v>
      </c>
      <c r="D7378" s="2" t="e">
        <f t="shared" si="116"/>
        <v>#REF!</v>
      </c>
      <c r="E7378" s="2" t="s">
        <v>81</v>
      </c>
    </row>
    <row r="7379" spans="1:5">
      <c r="A7379">
        <f t="shared" si="117"/>
        <v>7318</v>
      </c>
      <c r="B7379" s="137" t="e">
        <f>#REF!</f>
        <v>#REF!</v>
      </c>
      <c r="D7379" s="2" t="e">
        <f t="shared" si="116"/>
        <v>#REF!</v>
      </c>
      <c r="E7379" s="2" t="s">
        <v>81</v>
      </c>
    </row>
    <row r="7380" spans="1:5">
      <c r="A7380">
        <f t="shared" si="117"/>
        <v>7319</v>
      </c>
      <c r="B7380" s="137" t="e">
        <f>#REF!</f>
        <v>#REF!</v>
      </c>
      <c r="D7380" s="2" t="e">
        <f t="shared" si="116"/>
        <v>#REF!</v>
      </c>
      <c r="E7380" s="2" t="s">
        <v>81</v>
      </c>
    </row>
    <row r="7381" spans="1:5">
      <c r="A7381">
        <f t="shared" si="117"/>
        <v>7320</v>
      </c>
      <c r="B7381" s="137" t="e">
        <f>#REF!</f>
        <v>#REF!</v>
      </c>
      <c r="D7381" s="2" t="e">
        <f t="shared" si="116"/>
        <v>#REF!</v>
      </c>
      <c r="E7381" s="2" t="s">
        <v>81</v>
      </c>
    </row>
    <row r="7382" spans="1:5">
      <c r="A7382">
        <f t="shared" si="117"/>
        <v>7321</v>
      </c>
      <c r="B7382" s="137" t="e">
        <f>#REF!</f>
        <v>#REF!</v>
      </c>
      <c r="D7382" s="2" t="e">
        <f t="shared" si="116"/>
        <v>#REF!</v>
      </c>
      <c r="E7382" s="2" t="s">
        <v>81</v>
      </c>
    </row>
    <row r="7383" spans="1:5">
      <c r="A7383">
        <f t="shared" si="117"/>
        <v>7322</v>
      </c>
      <c r="B7383" s="137" t="e">
        <f>#REF!</f>
        <v>#REF!</v>
      </c>
      <c r="D7383" s="2" t="e">
        <f t="shared" si="116"/>
        <v>#REF!</v>
      </c>
      <c r="E7383" s="2" t="s">
        <v>81</v>
      </c>
    </row>
    <row r="7384" spans="1:5">
      <c r="A7384">
        <f t="shared" si="117"/>
        <v>7323</v>
      </c>
      <c r="B7384" s="137" t="e">
        <f>#REF!</f>
        <v>#REF!</v>
      </c>
      <c r="D7384" s="2" t="e">
        <f t="shared" si="116"/>
        <v>#REF!</v>
      </c>
      <c r="E7384" s="2" t="s">
        <v>81</v>
      </c>
    </row>
    <row r="7385" spans="1:5">
      <c r="A7385">
        <f t="shared" si="117"/>
        <v>7324</v>
      </c>
      <c r="B7385" s="137" t="e">
        <f>#REF!</f>
        <v>#REF!</v>
      </c>
      <c r="D7385" s="2" t="e">
        <f t="shared" si="116"/>
        <v>#REF!</v>
      </c>
      <c r="E7385" s="2" t="s">
        <v>81</v>
      </c>
    </row>
    <row r="7386" spans="1:5">
      <c r="A7386">
        <f t="shared" si="117"/>
        <v>7325</v>
      </c>
      <c r="B7386" s="137" t="e">
        <f>#REF!</f>
        <v>#REF!</v>
      </c>
      <c r="D7386" s="2" t="e">
        <f t="shared" si="116"/>
        <v>#REF!</v>
      </c>
      <c r="E7386" s="2" t="s">
        <v>81</v>
      </c>
    </row>
    <row r="7387" spans="1:5">
      <c r="A7387">
        <f t="shared" si="117"/>
        <v>7326</v>
      </c>
      <c r="B7387" s="137" t="e">
        <f>#REF!</f>
        <v>#REF!</v>
      </c>
      <c r="D7387" s="2" t="e">
        <f t="shared" si="116"/>
        <v>#REF!</v>
      </c>
      <c r="E7387" s="2" t="s">
        <v>81</v>
      </c>
    </row>
    <row r="7388" spans="1:5">
      <c r="A7388">
        <f t="shared" si="117"/>
        <v>7327</v>
      </c>
      <c r="B7388" s="137" t="e">
        <f>#REF!</f>
        <v>#REF!</v>
      </c>
      <c r="D7388" s="2" t="e">
        <f t="shared" si="116"/>
        <v>#REF!</v>
      </c>
      <c r="E7388" s="2" t="s">
        <v>81</v>
      </c>
    </row>
    <row r="7389" spans="1:5">
      <c r="A7389">
        <f t="shared" si="117"/>
        <v>7328</v>
      </c>
      <c r="B7389" s="137" t="e">
        <f>#REF!</f>
        <v>#REF!</v>
      </c>
      <c r="D7389" s="2" t="e">
        <f t="shared" si="116"/>
        <v>#REF!</v>
      </c>
      <c r="E7389" s="2" t="s">
        <v>81</v>
      </c>
    </row>
    <row r="7390" spans="1:5">
      <c r="A7390">
        <f t="shared" si="117"/>
        <v>7329</v>
      </c>
      <c r="B7390" s="137" t="e">
        <f>#REF!</f>
        <v>#REF!</v>
      </c>
      <c r="D7390" s="2" t="e">
        <f t="shared" si="116"/>
        <v>#REF!</v>
      </c>
      <c r="E7390" s="2" t="s">
        <v>81</v>
      </c>
    </row>
    <row r="7391" spans="1:5">
      <c r="A7391">
        <f t="shared" si="117"/>
        <v>7330</v>
      </c>
      <c r="B7391" s="137" t="e">
        <f>#REF!</f>
        <v>#REF!</v>
      </c>
      <c r="D7391" s="2" t="e">
        <f t="shared" si="116"/>
        <v>#REF!</v>
      </c>
      <c r="E7391" s="2" t="s">
        <v>81</v>
      </c>
    </row>
    <row r="7392" spans="1:5">
      <c r="A7392">
        <f t="shared" si="117"/>
        <v>7331</v>
      </c>
      <c r="B7392" s="137" t="e">
        <f>#REF!</f>
        <v>#REF!</v>
      </c>
      <c r="D7392" s="2" t="e">
        <f t="shared" si="116"/>
        <v>#REF!</v>
      </c>
      <c r="E7392" s="2" t="s">
        <v>81</v>
      </c>
    </row>
    <row r="7393" spans="1:5">
      <c r="A7393">
        <f t="shared" si="117"/>
        <v>7332</v>
      </c>
      <c r="B7393" s="137" t="e">
        <f>#REF!</f>
        <v>#REF!</v>
      </c>
      <c r="D7393" s="2" t="e">
        <f t="shared" si="116"/>
        <v>#REF!</v>
      </c>
      <c r="E7393" s="2" t="s">
        <v>81</v>
      </c>
    </row>
    <row r="7394" spans="1:5">
      <c r="A7394">
        <f t="shared" si="117"/>
        <v>7333</v>
      </c>
      <c r="B7394" s="137" t="e">
        <f>#REF!</f>
        <v>#REF!</v>
      </c>
      <c r="D7394" s="2" t="e">
        <f t="shared" si="116"/>
        <v>#REF!</v>
      </c>
      <c r="E7394" s="2" t="s">
        <v>81</v>
      </c>
    </row>
    <row r="7395" spans="1:5">
      <c r="A7395">
        <f t="shared" si="117"/>
        <v>7334</v>
      </c>
      <c r="B7395" s="137" t="e">
        <f>#REF!</f>
        <v>#REF!</v>
      </c>
      <c r="D7395" s="2" t="e">
        <f t="shared" si="116"/>
        <v>#REF!</v>
      </c>
      <c r="E7395" s="2" t="s">
        <v>81</v>
      </c>
    </row>
    <row r="7396" spans="1:5">
      <c r="A7396">
        <f t="shared" si="117"/>
        <v>7335</v>
      </c>
      <c r="B7396" s="137" t="e">
        <f>#REF!</f>
        <v>#REF!</v>
      </c>
      <c r="D7396" s="2" t="e">
        <f t="shared" si="116"/>
        <v>#REF!</v>
      </c>
      <c r="E7396" s="2" t="s">
        <v>81</v>
      </c>
    </row>
    <row r="7397" spans="1:5">
      <c r="A7397">
        <f t="shared" si="117"/>
        <v>7336</v>
      </c>
      <c r="B7397" s="137" t="e">
        <f>#REF!</f>
        <v>#REF!</v>
      </c>
      <c r="D7397" s="2" t="e">
        <f t="shared" si="116"/>
        <v>#REF!</v>
      </c>
      <c r="E7397" s="2" t="s">
        <v>81</v>
      </c>
    </row>
    <row r="7398" spans="1:5">
      <c r="A7398">
        <f t="shared" si="117"/>
        <v>7337</v>
      </c>
      <c r="B7398" s="137" t="e">
        <f>#REF!</f>
        <v>#REF!</v>
      </c>
      <c r="D7398" s="2" t="e">
        <f t="shared" si="116"/>
        <v>#REF!</v>
      </c>
      <c r="E7398" s="2" t="s">
        <v>81</v>
      </c>
    </row>
    <row r="7399" spans="1:5">
      <c r="A7399">
        <f t="shared" si="117"/>
        <v>7338</v>
      </c>
      <c r="B7399" s="137" t="e">
        <f>#REF!</f>
        <v>#REF!</v>
      </c>
      <c r="D7399" s="2" t="e">
        <f t="shared" si="116"/>
        <v>#REF!</v>
      </c>
      <c r="E7399" s="2" t="s">
        <v>81</v>
      </c>
    </row>
    <row r="7400" spans="1:5">
      <c r="A7400">
        <f t="shared" si="117"/>
        <v>7339</v>
      </c>
      <c r="B7400" s="137" t="e">
        <f>#REF!</f>
        <v>#REF!</v>
      </c>
      <c r="D7400" s="2" t="e">
        <f t="shared" si="116"/>
        <v>#REF!</v>
      </c>
      <c r="E7400" s="2" t="s">
        <v>81</v>
      </c>
    </row>
    <row r="7401" spans="1:5">
      <c r="A7401">
        <f t="shared" si="117"/>
        <v>7340</v>
      </c>
      <c r="B7401" s="137" t="e">
        <f>#REF!</f>
        <v>#REF!</v>
      </c>
      <c r="D7401" s="2" t="e">
        <f t="shared" si="116"/>
        <v>#REF!</v>
      </c>
      <c r="E7401" s="2" t="s">
        <v>81</v>
      </c>
    </row>
    <row r="7402" spans="1:5">
      <c r="A7402">
        <f t="shared" si="117"/>
        <v>7341</v>
      </c>
      <c r="B7402" s="137" t="e">
        <f>#REF!</f>
        <v>#REF!</v>
      </c>
      <c r="D7402" s="2" t="e">
        <f t="shared" si="116"/>
        <v>#REF!</v>
      </c>
      <c r="E7402" s="2" t="s">
        <v>81</v>
      </c>
    </row>
    <row r="7403" spans="1:5">
      <c r="A7403">
        <f t="shared" si="117"/>
        <v>7342</v>
      </c>
      <c r="B7403" s="137" t="e">
        <f>#REF!</f>
        <v>#REF!</v>
      </c>
      <c r="D7403" s="2" t="e">
        <f t="shared" si="116"/>
        <v>#REF!</v>
      </c>
      <c r="E7403" s="2" t="s">
        <v>81</v>
      </c>
    </row>
    <row r="7404" spans="1:5">
      <c r="A7404">
        <f t="shared" si="117"/>
        <v>7343</v>
      </c>
      <c r="B7404" s="137" t="e">
        <f>#REF!</f>
        <v>#REF!</v>
      </c>
      <c r="D7404" s="2" t="e">
        <f t="shared" si="116"/>
        <v>#REF!</v>
      </c>
      <c r="E7404" s="2" t="s">
        <v>81</v>
      </c>
    </row>
    <row r="7405" spans="1:5">
      <c r="A7405">
        <f t="shared" si="117"/>
        <v>7344</v>
      </c>
      <c r="B7405" s="137" t="e">
        <f>#REF!</f>
        <v>#REF!</v>
      </c>
      <c r="D7405" s="2" t="e">
        <f t="shared" si="116"/>
        <v>#REF!</v>
      </c>
      <c r="E7405" s="2" t="s">
        <v>81</v>
      </c>
    </row>
    <row r="7406" spans="1:5">
      <c r="A7406">
        <f t="shared" si="117"/>
        <v>7345</v>
      </c>
      <c r="B7406" s="137" t="e">
        <f>#REF!</f>
        <v>#REF!</v>
      </c>
      <c r="D7406" s="2" t="e">
        <f t="shared" si="116"/>
        <v>#REF!</v>
      </c>
      <c r="E7406" s="2" t="s">
        <v>81</v>
      </c>
    </row>
    <row r="7407" spans="1:5">
      <c r="A7407">
        <f t="shared" si="117"/>
        <v>7346</v>
      </c>
      <c r="B7407" s="137" t="e">
        <f>#REF!</f>
        <v>#REF!</v>
      </c>
      <c r="D7407" s="2" t="e">
        <f t="shared" si="116"/>
        <v>#REF!</v>
      </c>
      <c r="E7407" s="2" t="s">
        <v>81</v>
      </c>
    </row>
    <row r="7408" spans="1:5">
      <c r="A7408">
        <f t="shared" si="117"/>
        <v>7347</v>
      </c>
      <c r="B7408" s="137" t="e">
        <f>#REF!</f>
        <v>#REF!</v>
      </c>
      <c r="D7408" s="2" t="e">
        <f t="shared" si="116"/>
        <v>#REF!</v>
      </c>
      <c r="E7408" s="2" t="s">
        <v>81</v>
      </c>
    </row>
    <row r="7409" spans="1:5">
      <c r="A7409">
        <f t="shared" si="117"/>
        <v>7348</v>
      </c>
      <c r="B7409" s="137" t="e">
        <f>#REF!</f>
        <v>#REF!</v>
      </c>
      <c r="D7409" s="2" t="e">
        <f t="shared" si="116"/>
        <v>#REF!</v>
      </c>
      <c r="E7409" s="2" t="s">
        <v>81</v>
      </c>
    </row>
    <row r="7410" spans="1:5">
      <c r="A7410">
        <f t="shared" si="117"/>
        <v>7349</v>
      </c>
      <c r="B7410" s="137" t="e">
        <f>#REF!</f>
        <v>#REF!</v>
      </c>
      <c r="D7410" s="2" t="e">
        <f t="shared" si="116"/>
        <v>#REF!</v>
      </c>
      <c r="E7410" s="2" t="s">
        <v>81</v>
      </c>
    </row>
    <row r="7411" spans="1:5">
      <c r="A7411">
        <f t="shared" si="117"/>
        <v>7350</v>
      </c>
      <c r="B7411" s="137" t="e">
        <f>#REF!</f>
        <v>#REF!</v>
      </c>
      <c r="D7411" s="2" t="e">
        <f t="shared" si="116"/>
        <v>#REF!</v>
      </c>
      <c r="E7411" s="2" t="s">
        <v>81</v>
      </c>
    </row>
    <row r="7412" spans="1:5">
      <c r="A7412">
        <f t="shared" si="117"/>
        <v>7351</v>
      </c>
      <c r="B7412" s="137" t="e">
        <f>#REF!</f>
        <v>#REF!</v>
      </c>
      <c r="D7412" s="2" t="e">
        <f t="shared" si="116"/>
        <v>#REF!</v>
      </c>
      <c r="E7412" s="2" t="s">
        <v>81</v>
      </c>
    </row>
    <row r="7413" spans="1:5">
      <c r="A7413">
        <f t="shared" si="117"/>
        <v>7352</v>
      </c>
      <c r="B7413" s="137" t="e">
        <f>#REF!</f>
        <v>#REF!</v>
      </c>
      <c r="D7413" s="2" t="e">
        <f t="shared" si="116"/>
        <v>#REF!</v>
      </c>
      <c r="E7413" s="2" t="s">
        <v>81</v>
      </c>
    </row>
    <row r="7414" spans="1:5">
      <c r="A7414">
        <f t="shared" si="117"/>
        <v>7353</v>
      </c>
      <c r="B7414" s="137" t="e">
        <f>#REF!</f>
        <v>#REF!</v>
      </c>
      <c r="D7414" s="2" t="e">
        <f t="shared" si="116"/>
        <v>#REF!</v>
      </c>
      <c r="E7414" s="2" t="s">
        <v>81</v>
      </c>
    </row>
    <row r="7415" spans="1:5">
      <c r="A7415">
        <f t="shared" si="117"/>
        <v>7354</v>
      </c>
      <c r="B7415" s="137" t="e">
        <f>#REF!</f>
        <v>#REF!</v>
      </c>
      <c r="D7415" s="2" t="e">
        <f t="shared" si="116"/>
        <v>#REF!</v>
      </c>
      <c r="E7415" s="2" t="s">
        <v>81</v>
      </c>
    </row>
    <row r="7416" spans="1:5">
      <c r="A7416">
        <f t="shared" si="117"/>
        <v>7355</v>
      </c>
      <c r="B7416" s="137" t="e">
        <f>#REF!</f>
        <v>#REF!</v>
      </c>
      <c r="D7416" s="2" t="e">
        <f t="shared" si="116"/>
        <v>#REF!</v>
      </c>
      <c r="E7416" s="2" t="s">
        <v>81</v>
      </c>
    </row>
    <row r="7417" spans="1:5">
      <c r="A7417">
        <f t="shared" si="117"/>
        <v>7356</v>
      </c>
      <c r="B7417" s="137" t="e">
        <f>#REF!</f>
        <v>#REF!</v>
      </c>
      <c r="D7417" s="2" t="e">
        <f t="shared" si="116"/>
        <v>#REF!</v>
      </c>
      <c r="E7417" s="2" t="s">
        <v>81</v>
      </c>
    </row>
    <row r="7418" spans="1:5">
      <c r="A7418">
        <f t="shared" si="117"/>
        <v>7357</v>
      </c>
      <c r="B7418" s="137" t="e">
        <f>#REF!</f>
        <v>#REF!</v>
      </c>
      <c r="D7418" s="2" t="e">
        <f t="shared" si="116"/>
        <v>#REF!</v>
      </c>
      <c r="E7418" s="2" t="s">
        <v>81</v>
      </c>
    </row>
    <row r="7419" spans="1:5">
      <c r="A7419">
        <f t="shared" si="117"/>
        <v>7358</v>
      </c>
      <c r="B7419" s="137" t="e">
        <f>#REF!</f>
        <v>#REF!</v>
      </c>
      <c r="D7419" s="2" t="e">
        <f t="shared" si="116"/>
        <v>#REF!</v>
      </c>
      <c r="E7419" s="2" t="s">
        <v>81</v>
      </c>
    </row>
    <row r="7420" spans="1:5">
      <c r="A7420">
        <f t="shared" si="117"/>
        <v>7359</v>
      </c>
      <c r="B7420" s="137" t="e">
        <f>#REF!</f>
        <v>#REF!</v>
      </c>
      <c r="D7420" s="2" t="e">
        <f t="shared" si="116"/>
        <v>#REF!</v>
      </c>
      <c r="E7420" s="2" t="s">
        <v>81</v>
      </c>
    </row>
    <row r="7421" spans="1:5">
      <c r="A7421">
        <f t="shared" si="117"/>
        <v>7360</v>
      </c>
      <c r="B7421" s="137" t="e">
        <f>#REF!</f>
        <v>#REF!</v>
      </c>
      <c r="D7421" s="2" t="e">
        <f t="shared" si="116"/>
        <v>#REF!</v>
      </c>
      <c r="E7421" s="2" t="s">
        <v>81</v>
      </c>
    </row>
    <row r="7422" spans="1:5">
      <c r="A7422">
        <f t="shared" si="117"/>
        <v>7361</v>
      </c>
      <c r="B7422" s="137" t="e">
        <f>#REF!</f>
        <v>#REF!</v>
      </c>
      <c r="D7422" s="2" t="e">
        <f t="shared" si="116"/>
        <v>#REF!</v>
      </c>
      <c r="E7422" s="2" t="s">
        <v>81</v>
      </c>
    </row>
    <row r="7423" spans="1:5">
      <c r="A7423">
        <f t="shared" si="117"/>
        <v>7362</v>
      </c>
      <c r="B7423" s="137" t="e">
        <f>#REF!</f>
        <v>#REF!</v>
      </c>
      <c r="D7423" s="2" t="e">
        <f t="shared" ref="D7423:D7486" si="118">IF(ISBLANK(B7423),"OK",IF(A7423-B7423=0,"OK","Error?"))</f>
        <v>#REF!</v>
      </c>
      <c r="E7423" s="2" t="s">
        <v>81</v>
      </c>
    </row>
    <row r="7424" spans="1:5">
      <c r="A7424">
        <f t="shared" si="117"/>
        <v>7363</v>
      </c>
      <c r="B7424" s="137" t="e">
        <f>#REF!</f>
        <v>#REF!</v>
      </c>
      <c r="D7424" s="2" t="e">
        <f t="shared" si="118"/>
        <v>#REF!</v>
      </c>
      <c r="E7424" s="2" t="s">
        <v>81</v>
      </c>
    </row>
    <row r="7425" spans="1:5">
      <c r="A7425">
        <f t="shared" si="117"/>
        <v>7364</v>
      </c>
      <c r="B7425" s="137" t="e">
        <f>#REF!</f>
        <v>#REF!</v>
      </c>
      <c r="D7425" s="2" t="e">
        <f t="shared" si="118"/>
        <v>#REF!</v>
      </c>
      <c r="E7425" s="2" t="s">
        <v>81</v>
      </c>
    </row>
    <row r="7426" spans="1:5">
      <c r="A7426">
        <f t="shared" si="117"/>
        <v>7365</v>
      </c>
      <c r="B7426" s="137" t="e">
        <f>#REF!</f>
        <v>#REF!</v>
      </c>
      <c r="D7426" s="2" t="e">
        <f t="shared" si="118"/>
        <v>#REF!</v>
      </c>
      <c r="E7426" s="2" t="s">
        <v>81</v>
      </c>
    </row>
    <row r="7427" spans="1:5">
      <c r="A7427">
        <f t="shared" si="117"/>
        <v>7366</v>
      </c>
      <c r="B7427" s="137" t="e">
        <f>#REF!</f>
        <v>#REF!</v>
      </c>
      <c r="D7427" s="2" t="e">
        <f t="shared" si="118"/>
        <v>#REF!</v>
      </c>
      <c r="E7427" s="2" t="s">
        <v>81</v>
      </c>
    </row>
    <row r="7428" spans="1:5">
      <c r="A7428">
        <f t="shared" si="117"/>
        <v>7367</v>
      </c>
      <c r="B7428" s="137" t="e">
        <f>#REF!</f>
        <v>#REF!</v>
      </c>
      <c r="D7428" s="2" t="e">
        <f t="shared" si="118"/>
        <v>#REF!</v>
      </c>
      <c r="E7428" s="2" t="s">
        <v>81</v>
      </c>
    </row>
    <row r="7429" spans="1:5">
      <c r="A7429">
        <f t="shared" si="117"/>
        <v>7368</v>
      </c>
      <c r="B7429" s="137" t="e">
        <f>#REF!</f>
        <v>#REF!</v>
      </c>
      <c r="D7429" s="2" t="e">
        <f t="shared" si="118"/>
        <v>#REF!</v>
      </c>
      <c r="E7429" s="2" t="s">
        <v>81</v>
      </c>
    </row>
    <row r="7430" spans="1:5">
      <c r="A7430">
        <f t="shared" si="117"/>
        <v>7369</v>
      </c>
      <c r="B7430" s="137" t="e">
        <f>#REF!</f>
        <v>#REF!</v>
      </c>
      <c r="D7430" s="2" t="e">
        <f t="shared" si="118"/>
        <v>#REF!</v>
      </c>
      <c r="E7430" s="2" t="s">
        <v>81</v>
      </c>
    </row>
    <row r="7431" spans="1:5">
      <c r="A7431">
        <f t="shared" si="117"/>
        <v>7370</v>
      </c>
      <c r="B7431" s="137" t="e">
        <f>#REF!</f>
        <v>#REF!</v>
      </c>
      <c r="D7431" s="2" t="e">
        <f t="shared" si="118"/>
        <v>#REF!</v>
      </c>
      <c r="E7431" s="2" t="s">
        <v>81</v>
      </c>
    </row>
    <row r="7432" spans="1:5">
      <c r="A7432">
        <f t="shared" si="117"/>
        <v>7371</v>
      </c>
      <c r="B7432" s="137" t="e">
        <f>#REF!</f>
        <v>#REF!</v>
      </c>
      <c r="D7432" s="2" t="e">
        <f t="shared" si="118"/>
        <v>#REF!</v>
      </c>
      <c r="E7432" s="2" t="s">
        <v>81</v>
      </c>
    </row>
    <row r="7433" spans="1:5">
      <c r="A7433">
        <f t="shared" si="117"/>
        <v>7372</v>
      </c>
      <c r="B7433" s="137" t="e">
        <f>#REF!</f>
        <v>#REF!</v>
      </c>
      <c r="D7433" s="2" t="e">
        <f t="shared" si="118"/>
        <v>#REF!</v>
      </c>
      <c r="E7433" s="2" t="s">
        <v>81</v>
      </c>
    </row>
    <row r="7434" spans="1:5">
      <c r="A7434">
        <f t="shared" si="117"/>
        <v>7373</v>
      </c>
      <c r="B7434" s="137" t="e">
        <f>#REF!</f>
        <v>#REF!</v>
      </c>
      <c r="D7434" s="2" t="e">
        <f t="shared" si="118"/>
        <v>#REF!</v>
      </c>
      <c r="E7434" s="2" t="s">
        <v>81</v>
      </c>
    </row>
    <row r="7435" spans="1:5">
      <c r="A7435">
        <f t="shared" si="117"/>
        <v>7374</v>
      </c>
      <c r="B7435" s="137" t="e">
        <f>#REF!</f>
        <v>#REF!</v>
      </c>
      <c r="D7435" s="2" t="e">
        <f t="shared" si="118"/>
        <v>#REF!</v>
      </c>
      <c r="E7435" s="2" t="s">
        <v>81</v>
      </c>
    </row>
    <row r="7436" spans="1:5">
      <c r="A7436">
        <f t="shared" si="117"/>
        <v>7375</v>
      </c>
      <c r="B7436" s="137" t="e">
        <f>#REF!</f>
        <v>#REF!</v>
      </c>
      <c r="D7436" s="2" t="e">
        <f t="shared" si="118"/>
        <v>#REF!</v>
      </c>
      <c r="E7436" s="2" t="s">
        <v>81</v>
      </c>
    </row>
    <row r="7437" spans="1:5">
      <c r="A7437">
        <f t="shared" si="117"/>
        <v>7376</v>
      </c>
      <c r="B7437" s="137" t="e">
        <f>#REF!</f>
        <v>#REF!</v>
      </c>
      <c r="D7437" s="2" t="e">
        <f t="shared" si="118"/>
        <v>#REF!</v>
      </c>
      <c r="E7437" s="2" t="s">
        <v>81</v>
      </c>
    </row>
    <row r="7438" spans="1:5">
      <c r="A7438">
        <f t="shared" ref="A7438:A7501" si="119">A7437+1</f>
        <v>7377</v>
      </c>
      <c r="B7438" s="137" t="e">
        <f>#REF!</f>
        <v>#REF!</v>
      </c>
      <c r="D7438" s="2" t="e">
        <f t="shared" si="118"/>
        <v>#REF!</v>
      </c>
      <c r="E7438" s="2" t="s">
        <v>81</v>
      </c>
    </row>
    <row r="7439" spans="1:5">
      <c r="A7439">
        <f t="shared" si="119"/>
        <v>7378</v>
      </c>
      <c r="B7439" s="137" t="e">
        <f>#REF!</f>
        <v>#REF!</v>
      </c>
      <c r="D7439" s="2" t="e">
        <f t="shared" si="118"/>
        <v>#REF!</v>
      </c>
      <c r="E7439" s="2" t="s">
        <v>81</v>
      </c>
    </row>
    <row r="7440" spans="1:5">
      <c r="A7440">
        <f t="shared" si="119"/>
        <v>7379</v>
      </c>
      <c r="B7440" s="137" t="e">
        <f>#REF!</f>
        <v>#REF!</v>
      </c>
      <c r="D7440" s="2" t="e">
        <f t="shared" si="118"/>
        <v>#REF!</v>
      </c>
      <c r="E7440" s="2" t="s">
        <v>81</v>
      </c>
    </row>
    <row r="7441" spans="1:5">
      <c r="A7441">
        <f t="shared" si="119"/>
        <v>7380</v>
      </c>
      <c r="B7441" s="137" t="e">
        <f>#REF!</f>
        <v>#REF!</v>
      </c>
      <c r="D7441" s="2" t="e">
        <f t="shared" si="118"/>
        <v>#REF!</v>
      </c>
      <c r="E7441" s="2" t="s">
        <v>81</v>
      </c>
    </row>
    <row r="7442" spans="1:5">
      <c r="A7442">
        <f t="shared" si="119"/>
        <v>7381</v>
      </c>
      <c r="B7442" s="137" t="e">
        <f>#REF!</f>
        <v>#REF!</v>
      </c>
      <c r="D7442" s="2" t="e">
        <f t="shared" si="118"/>
        <v>#REF!</v>
      </c>
      <c r="E7442" s="2" t="s">
        <v>81</v>
      </c>
    </row>
    <row r="7443" spans="1:5">
      <c r="A7443">
        <f t="shared" si="119"/>
        <v>7382</v>
      </c>
      <c r="B7443" s="137" t="e">
        <f>#REF!</f>
        <v>#REF!</v>
      </c>
      <c r="D7443" s="2" t="e">
        <f t="shared" si="118"/>
        <v>#REF!</v>
      </c>
      <c r="E7443" s="2" t="s">
        <v>81</v>
      </c>
    </row>
    <row r="7444" spans="1:5">
      <c r="A7444">
        <f t="shared" si="119"/>
        <v>7383</v>
      </c>
      <c r="B7444" s="137" t="e">
        <f>#REF!</f>
        <v>#REF!</v>
      </c>
      <c r="D7444" s="2" t="e">
        <f t="shared" si="118"/>
        <v>#REF!</v>
      </c>
      <c r="E7444" s="2" t="s">
        <v>81</v>
      </c>
    </row>
    <row r="7445" spans="1:5">
      <c r="A7445">
        <f t="shared" si="119"/>
        <v>7384</v>
      </c>
      <c r="B7445" s="137" t="e">
        <f>#REF!</f>
        <v>#REF!</v>
      </c>
      <c r="D7445" s="2" t="e">
        <f t="shared" si="118"/>
        <v>#REF!</v>
      </c>
      <c r="E7445" s="2" t="s">
        <v>81</v>
      </c>
    </row>
    <row r="7446" spans="1:5">
      <c r="A7446">
        <f t="shared" si="119"/>
        <v>7385</v>
      </c>
      <c r="B7446" s="137" t="e">
        <f>#REF!</f>
        <v>#REF!</v>
      </c>
      <c r="D7446" s="2" t="e">
        <f t="shared" si="118"/>
        <v>#REF!</v>
      </c>
      <c r="E7446" s="2" t="s">
        <v>81</v>
      </c>
    </row>
    <row r="7447" spans="1:5">
      <c r="A7447">
        <f t="shared" si="119"/>
        <v>7386</v>
      </c>
      <c r="B7447" s="137" t="e">
        <f>#REF!</f>
        <v>#REF!</v>
      </c>
      <c r="D7447" s="2" t="e">
        <f t="shared" si="118"/>
        <v>#REF!</v>
      </c>
      <c r="E7447" s="2" t="s">
        <v>81</v>
      </c>
    </row>
    <row r="7448" spans="1:5">
      <c r="A7448">
        <f t="shared" si="119"/>
        <v>7387</v>
      </c>
      <c r="B7448" s="137" t="e">
        <f>#REF!</f>
        <v>#REF!</v>
      </c>
      <c r="D7448" s="2" t="e">
        <f t="shared" si="118"/>
        <v>#REF!</v>
      </c>
      <c r="E7448" s="2" t="s">
        <v>81</v>
      </c>
    </row>
    <row r="7449" spans="1:5">
      <c r="A7449">
        <f t="shared" si="119"/>
        <v>7388</v>
      </c>
      <c r="B7449" s="137" t="e">
        <f>#REF!</f>
        <v>#REF!</v>
      </c>
      <c r="D7449" s="2" t="e">
        <f t="shared" si="118"/>
        <v>#REF!</v>
      </c>
      <c r="E7449" s="2" t="s">
        <v>81</v>
      </c>
    </row>
    <row r="7450" spans="1:5">
      <c r="A7450">
        <f t="shared" si="119"/>
        <v>7389</v>
      </c>
      <c r="B7450" s="137" t="e">
        <f>#REF!</f>
        <v>#REF!</v>
      </c>
      <c r="D7450" s="2" t="e">
        <f t="shared" si="118"/>
        <v>#REF!</v>
      </c>
      <c r="E7450" s="2" t="s">
        <v>81</v>
      </c>
    </row>
    <row r="7451" spans="1:5">
      <c r="A7451">
        <f t="shared" si="119"/>
        <v>7390</v>
      </c>
      <c r="B7451" s="137" t="e">
        <f>#REF!</f>
        <v>#REF!</v>
      </c>
      <c r="D7451" s="2" t="e">
        <f t="shared" si="118"/>
        <v>#REF!</v>
      </c>
      <c r="E7451" s="2" t="s">
        <v>81</v>
      </c>
    </row>
    <row r="7452" spans="1:5">
      <c r="A7452">
        <f t="shared" si="119"/>
        <v>7391</v>
      </c>
      <c r="B7452" s="137" t="e">
        <f>#REF!</f>
        <v>#REF!</v>
      </c>
      <c r="D7452" s="2" t="e">
        <f t="shared" si="118"/>
        <v>#REF!</v>
      </c>
      <c r="E7452" s="2" t="s">
        <v>81</v>
      </c>
    </row>
    <row r="7453" spans="1:5">
      <c r="A7453">
        <f t="shared" si="119"/>
        <v>7392</v>
      </c>
      <c r="B7453" s="137" t="e">
        <f>#REF!</f>
        <v>#REF!</v>
      </c>
      <c r="D7453" s="2" t="e">
        <f t="shared" si="118"/>
        <v>#REF!</v>
      </c>
      <c r="E7453" s="2" t="s">
        <v>81</v>
      </c>
    </row>
    <row r="7454" spans="1:5">
      <c r="A7454">
        <f t="shared" si="119"/>
        <v>7393</v>
      </c>
      <c r="B7454" s="137" t="e">
        <f>#REF!</f>
        <v>#REF!</v>
      </c>
      <c r="D7454" s="2" t="e">
        <f t="shared" si="118"/>
        <v>#REF!</v>
      </c>
      <c r="E7454" s="2" t="s">
        <v>81</v>
      </c>
    </row>
    <row r="7455" spans="1:5">
      <c r="A7455">
        <f t="shared" si="119"/>
        <v>7394</v>
      </c>
      <c r="B7455" s="137" t="e">
        <f>#REF!</f>
        <v>#REF!</v>
      </c>
      <c r="D7455" s="2" t="e">
        <f t="shared" si="118"/>
        <v>#REF!</v>
      </c>
      <c r="E7455" s="2" t="s">
        <v>81</v>
      </c>
    </row>
    <row r="7456" spans="1:5">
      <c r="A7456">
        <f t="shared" si="119"/>
        <v>7395</v>
      </c>
      <c r="B7456" s="137" t="e">
        <f>#REF!</f>
        <v>#REF!</v>
      </c>
      <c r="D7456" s="2" t="e">
        <f t="shared" si="118"/>
        <v>#REF!</v>
      </c>
      <c r="E7456" s="2" t="s">
        <v>81</v>
      </c>
    </row>
    <row r="7457" spans="1:5">
      <c r="A7457">
        <f t="shared" si="119"/>
        <v>7396</v>
      </c>
      <c r="B7457" s="137" t="e">
        <f>#REF!</f>
        <v>#REF!</v>
      </c>
      <c r="D7457" s="2" t="e">
        <f t="shared" si="118"/>
        <v>#REF!</v>
      </c>
      <c r="E7457" s="2" t="s">
        <v>81</v>
      </c>
    </row>
    <row r="7458" spans="1:5">
      <c r="A7458">
        <f t="shared" si="119"/>
        <v>7397</v>
      </c>
      <c r="B7458" s="137" t="e">
        <f>#REF!</f>
        <v>#REF!</v>
      </c>
      <c r="D7458" s="2" t="e">
        <f t="shared" si="118"/>
        <v>#REF!</v>
      </c>
      <c r="E7458" s="2" t="s">
        <v>81</v>
      </c>
    </row>
    <row r="7459" spans="1:5">
      <c r="A7459">
        <f t="shared" si="119"/>
        <v>7398</v>
      </c>
      <c r="B7459" s="137" t="e">
        <f>#REF!</f>
        <v>#REF!</v>
      </c>
      <c r="D7459" s="2" t="e">
        <f t="shared" si="118"/>
        <v>#REF!</v>
      </c>
      <c r="E7459" s="2" t="s">
        <v>81</v>
      </c>
    </row>
    <row r="7460" spans="1:5">
      <c r="A7460">
        <f t="shared" si="119"/>
        <v>7399</v>
      </c>
      <c r="B7460" s="137" t="e">
        <f>#REF!</f>
        <v>#REF!</v>
      </c>
      <c r="D7460" s="2" t="e">
        <f t="shared" si="118"/>
        <v>#REF!</v>
      </c>
      <c r="E7460" s="2" t="s">
        <v>81</v>
      </c>
    </row>
    <row r="7461" spans="1:5">
      <c r="A7461">
        <f t="shared" si="119"/>
        <v>7400</v>
      </c>
      <c r="B7461" s="137" t="e">
        <f>#REF!</f>
        <v>#REF!</v>
      </c>
      <c r="D7461" s="2" t="e">
        <f t="shared" si="118"/>
        <v>#REF!</v>
      </c>
      <c r="E7461" s="2" t="s">
        <v>81</v>
      </c>
    </row>
    <row r="7462" spans="1:5">
      <c r="A7462">
        <f t="shared" si="119"/>
        <v>7401</v>
      </c>
      <c r="B7462" s="137" t="e">
        <f>#REF!</f>
        <v>#REF!</v>
      </c>
      <c r="D7462" s="2" t="e">
        <f t="shared" si="118"/>
        <v>#REF!</v>
      </c>
      <c r="E7462" s="2" t="s">
        <v>81</v>
      </c>
    </row>
    <row r="7463" spans="1:5">
      <c r="A7463">
        <f t="shared" si="119"/>
        <v>7402</v>
      </c>
      <c r="B7463" s="137" t="e">
        <f>#REF!</f>
        <v>#REF!</v>
      </c>
      <c r="D7463" s="2" t="e">
        <f t="shared" si="118"/>
        <v>#REF!</v>
      </c>
      <c r="E7463" s="2" t="s">
        <v>81</v>
      </c>
    </row>
    <row r="7464" spans="1:5">
      <c r="A7464">
        <f t="shared" si="119"/>
        <v>7403</v>
      </c>
      <c r="B7464" s="137" t="e">
        <f>#REF!</f>
        <v>#REF!</v>
      </c>
      <c r="D7464" s="2" t="e">
        <f t="shared" si="118"/>
        <v>#REF!</v>
      </c>
      <c r="E7464" s="2" t="s">
        <v>81</v>
      </c>
    </row>
    <row r="7465" spans="1:5">
      <c r="A7465">
        <f t="shared" si="119"/>
        <v>7404</v>
      </c>
      <c r="B7465" s="137" t="e">
        <f>#REF!</f>
        <v>#REF!</v>
      </c>
      <c r="D7465" s="2" t="e">
        <f t="shared" si="118"/>
        <v>#REF!</v>
      </c>
      <c r="E7465" s="2" t="s">
        <v>81</v>
      </c>
    </row>
    <row r="7466" spans="1:5">
      <c r="A7466">
        <f t="shared" si="119"/>
        <v>7405</v>
      </c>
      <c r="B7466" s="137" t="e">
        <f>#REF!</f>
        <v>#REF!</v>
      </c>
      <c r="D7466" s="2" t="e">
        <f t="shared" si="118"/>
        <v>#REF!</v>
      </c>
      <c r="E7466" s="2" t="s">
        <v>81</v>
      </c>
    </row>
    <row r="7467" spans="1:5">
      <c r="A7467">
        <f t="shared" si="119"/>
        <v>7406</v>
      </c>
      <c r="B7467" s="137" t="e">
        <f>#REF!</f>
        <v>#REF!</v>
      </c>
      <c r="D7467" s="2" t="e">
        <f t="shared" si="118"/>
        <v>#REF!</v>
      </c>
      <c r="E7467" s="2" t="s">
        <v>81</v>
      </c>
    </row>
    <row r="7468" spans="1:5">
      <c r="A7468">
        <f t="shared" si="119"/>
        <v>7407</v>
      </c>
      <c r="B7468" s="137" t="e">
        <f>#REF!</f>
        <v>#REF!</v>
      </c>
      <c r="D7468" s="2" t="e">
        <f t="shared" si="118"/>
        <v>#REF!</v>
      </c>
      <c r="E7468" s="2" t="s">
        <v>81</v>
      </c>
    </row>
    <row r="7469" spans="1:5">
      <c r="A7469">
        <f t="shared" si="119"/>
        <v>7408</v>
      </c>
      <c r="B7469" s="137" t="e">
        <f>#REF!</f>
        <v>#REF!</v>
      </c>
      <c r="D7469" s="2" t="e">
        <f t="shared" si="118"/>
        <v>#REF!</v>
      </c>
      <c r="E7469" s="2" t="s">
        <v>81</v>
      </c>
    </row>
    <row r="7470" spans="1:5">
      <c r="A7470">
        <f t="shared" si="119"/>
        <v>7409</v>
      </c>
      <c r="B7470" s="137" t="e">
        <f>#REF!</f>
        <v>#REF!</v>
      </c>
      <c r="D7470" s="2" t="e">
        <f t="shared" si="118"/>
        <v>#REF!</v>
      </c>
      <c r="E7470" s="2" t="s">
        <v>81</v>
      </c>
    </row>
    <row r="7471" spans="1:5">
      <c r="A7471">
        <f t="shared" si="119"/>
        <v>7410</v>
      </c>
      <c r="B7471" s="137" t="e">
        <f>#REF!</f>
        <v>#REF!</v>
      </c>
      <c r="D7471" s="2" t="e">
        <f t="shared" si="118"/>
        <v>#REF!</v>
      </c>
      <c r="E7471" s="2" t="s">
        <v>81</v>
      </c>
    </row>
    <row r="7472" spans="1:5">
      <c r="A7472">
        <f t="shared" si="119"/>
        <v>7411</v>
      </c>
      <c r="B7472" s="137" t="e">
        <f>#REF!</f>
        <v>#REF!</v>
      </c>
      <c r="D7472" s="2" t="e">
        <f t="shared" si="118"/>
        <v>#REF!</v>
      </c>
      <c r="E7472" s="2" t="s">
        <v>81</v>
      </c>
    </row>
    <row r="7473" spans="1:5">
      <c r="A7473">
        <f t="shared" si="119"/>
        <v>7412</v>
      </c>
      <c r="B7473" s="137" t="e">
        <f>#REF!</f>
        <v>#REF!</v>
      </c>
      <c r="D7473" s="2" t="e">
        <f t="shared" si="118"/>
        <v>#REF!</v>
      </c>
      <c r="E7473" s="2" t="s">
        <v>81</v>
      </c>
    </row>
    <row r="7474" spans="1:5">
      <c r="A7474">
        <f t="shared" si="119"/>
        <v>7413</v>
      </c>
      <c r="B7474" s="137" t="e">
        <f>#REF!</f>
        <v>#REF!</v>
      </c>
      <c r="D7474" s="2" t="e">
        <f t="shared" si="118"/>
        <v>#REF!</v>
      </c>
      <c r="E7474" s="2" t="s">
        <v>81</v>
      </c>
    </row>
    <row r="7475" spans="1:5">
      <c r="A7475">
        <f t="shared" si="119"/>
        <v>7414</v>
      </c>
      <c r="B7475" s="137" t="e">
        <f>#REF!</f>
        <v>#REF!</v>
      </c>
      <c r="D7475" s="2" t="e">
        <f t="shared" si="118"/>
        <v>#REF!</v>
      </c>
      <c r="E7475" s="2" t="s">
        <v>81</v>
      </c>
    </row>
    <row r="7476" spans="1:5">
      <c r="A7476">
        <f t="shared" si="119"/>
        <v>7415</v>
      </c>
      <c r="B7476" s="137" t="e">
        <f>#REF!</f>
        <v>#REF!</v>
      </c>
      <c r="D7476" s="2" t="e">
        <f t="shared" si="118"/>
        <v>#REF!</v>
      </c>
      <c r="E7476" s="2" t="s">
        <v>81</v>
      </c>
    </row>
    <row r="7477" spans="1:5">
      <c r="A7477">
        <f t="shared" si="119"/>
        <v>7416</v>
      </c>
      <c r="B7477" s="137" t="e">
        <f>#REF!</f>
        <v>#REF!</v>
      </c>
      <c r="D7477" s="2" t="e">
        <f t="shared" si="118"/>
        <v>#REF!</v>
      </c>
      <c r="E7477" s="2" t="s">
        <v>81</v>
      </c>
    </row>
    <row r="7478" spans="1:5">
      <c r="A7478">
        <f t="shared" si="119"/>
        <v>7417</v>
      </c>
      <c r="B7478" s="137" t="e">
        <f>#REF!</f>
        <v>#REF!</v>
      </c>
      <c r="D7478" s="2" t="e">
        <f t="shared" si="118"/>
        <v>#REF!</v>
      </c>
      <c r="E7478" s="2" t="s">
        <v>81</v>
      </c>
    </row>
    <row r="7479" spans="1:5">
      <c r="A7479">
        <f t="shared" si="119"/>
        <v>7418</v>
      </c>
      <c r="B7479" s="137" t="e">
        <f>#REF!</f>
        <v>#REF!</v>
      </c>
      <c r="D7479" s="2" t="e">
        <f t="shared" si="118"/>
        <v>#REF!</v>
      </c>
      <c r="E7479" s="2" t="s">
        <v>81</v>
      </c>
    </row>
    <row r="7480" spans="1:5">
      <c r="A7480">
        <f t="shared" si="119"/>
        <v>7419</v>
      </c>
      <c r="B7480" s="137" t="e">
        <f>#REF!</f>
        <v>#REF!</v>
      </c>
      <c r="D7480" s="2" t="e">
        <f t="shared" si="118"/>
        <v>#REF!</v>
      </c>
      <c r="E7480" s="2" t="s">
        <v>81</v>
      </c>
    </row>
    <row r="7481" spans="1:5">
      <c r="A7481">
        <f t="shared" si="119"/>
        <v>7420</v>
      </c>
      <c r="B7481" s="137" t="e">
        <f>#REF!</f>
        <v>#REF!</v>
      </c>
      <c r="D7481" s="2" t="e">
        <f t="shared" si="118"/>
        <v>#REF!</v>
      </c>
      <c r="E7481" s="2" t="s">
        <v>81</v>
      </c>
    </row>
    <row r="7482" spans="1:5">
      <c r="A7482">
        <f t="shared" si="119"/>
        <v>7421</v>
      </c>
      <c r="B7482" s="137" t="e">
        <f>#REF!</f>
        <v>#REF!</v>
      </c>
      <c r="D7482" s="2" t="e">
        <f t="shared" si="118"/>
        <v>#REF!</v>
      </c>
      <c r="E7482" s="2" t="s">
        <v>81</v>
      </c>
    </row>
    <row r="7483" spans="1:5">
      <c r="A7483">
        <f t="shared" si="119"/>
        <v>7422</v>
      </c>
      <c r="B7483" s="137" t="e">
        <f>#REF!</f>
        <v>#REF!</v>
      </c>
      <c r="D7483" s="2" t="e">
        <f t="shared" si="118"/>
        <v>#REF!</v>
      </c>
      <c r="E7483" s="2" t="s">
        <v>81</v>
      </c>
    </row>
    <row r="7484" spans="1:5">
      <c r="A7484">
        <f t="shared" si="119"/>
        <v>7423</v>
      </c>
      <c r="B7484" s="137" t="e">
        <f>#REF!</f>
        <v>#REF!</v>
      </c>
      <c r="D7484" s="2" t="e">
        <f t="shared" si="118"/>
        <v>#REF!</v>
      </c>
      <c r="E7484" s="2" t="s">
        <v>81</v>
      </c>
    </row>
    <row r="7485" spans="1:5">
      <c r="A7485">
        <f t="shared" si="119"/>
        <v>7424</v>
      </c>
      <c r="B7485" s="137" t="e">
        <f>#REF!</f>
        <v>#REF!</v>
      </c>
      <c r="D7485" s="2" t="e">
        <f t="shared" si="118"/>
        <v>#REF!</v>
      </c>
      <c r="E7485" s="2" t="s">
        <v>81</v>
      </c>
    </row>
    <row r="7486" spans="1:5">
      <c r="A7486">
        <f t="shared" si="119"/>
        <v>7425</v>
      </c>
      <c r="B7486" s="137" t="e">
        <f>#REF!</f>
        <v>#REF!</v>
      </c>
      <c r="D7486" s="2" t="e">
        <f t="shared" si="118"/>
        <v>#REF!</v>
      </c>
      <c r="E7486" s="2" t="s">
        <v>81</v>
      </c>
    </row>
    <row r="7487" spans="1:5">
      <c r="A7487">
        <f t="shared" si="119"/>
        <v>7426</v>
      </c>
      <c r="B7487" s="137" t="e">
        <f>#REF!</f>
        <v>#REF!</v>
      </c>
      <c r="D7487" s="2" t="e">
        <f t="shared" ref="D7487:D7550" si="120">IF(ISBLANK(B7487),"OK",IF(A7487-B7487=0,"OK","Error?"))</f>
        <v>#REF!</v>
      </c>
      <c r="E7487" s="2" t="s">
        <v>81</v>
      </c>
    </row>
    <row r="7488" spans="1:5">
      <c r="A7488">
        <f t="shared" si="119"/>
        <v>7427</v>
      </c>
      <c r="B7488" s="137" t="e">
        <f>#REF!</f>
        <v>#REF!</v>
      </c>
      <c r="D7488" s="2" t="e">
        <f t="shared" si="120"/>
        <v>#REF!</v>
      </c>
      <c r="E7488" s="2" t="s">
        <v>81</v>
      </c>
    </row>
    <row r="7489" spans="1:5">
      <c r="A7489">
        <f t="shared" si="119"/>
        <v>7428</v>
      </c>
      <c r="B7489" s="137" t="e">
        <f>#REF!</f>
        <v>#REF!</v>
      </c>
      <c r="D7489" s="2" t="e">
        <f t="shared" si="120"/>
        <v>#REF!</v>
      </c>
      <c r="E7489" s="2" t="s">
        <v>81</v>
      </c>
    </row>
    <row r="7490" spans="1:5">
      <c r="A7490">
        <f t="shared" si="119"/>
        <v>7429</v>
      </c>
      <c r="B7490" s="137" t="e">
        <f>#REF!</f>
        <v>#REF!</v>
      </c>
      <c r="D7490" s="2" t="e">
        <f t="shared" si="120"/>
        <v>#REF!</v>
      </c>
      <c r="E7490" s="2" t="s">
        <v>81</v>
      </c>
    </row>
    <row r="7491" spans="1:5">
      <c r="A7491">
        <f t="shared" si="119"/>
        <v>7430</v>
      </c>
      <c r="B7491" s="137" t="e">
        <f>#REF!</f>
        <v>#REF!</v>
      </c>
      <c r="D7491" s="2" t="e">
        <f t="shared" si="120"/>
        <v>#REF!</v>
      </c>
      <c r="E7491" s="2" t="s">
        <v>81</v>
      </c>
    </row>
    <row r="7492" spans="1:5">
      <c r="A7492">
        <f t="shared" si="119"/>
        <v>7431</v>
      </c>
      <c r="B7492" s="137" t="e">
        <f>#REF!</f>
        <v>#REF!</v>
      </c>
      <c r="D7492" s="2" t="e">
        <f t="shared" si="120"/>
        <v>#REF!</v>
      </c>
      <c r="E7492" s="2" t="s">
        <v>81</v>
      </c>
    </row>
    <row r="7493" spans="1:5">
      <c r="A7493">
        <f t="shared" si="119"/>
        <v>7432</v>
      </c>
      <c r="B7493" s="137" t="e">
        <f>#REF!</f>
        <v>#REF!</v>
      </c>
      <c r="D7493" s="2" t="e">
        <f t="shared" si="120"/>
        <v>#REF!</v>
      </c>
      <c r="E7493" s="2" t="s">
        <v>81</v>
      </c>
    </row>
    <row r="7494" spans="1:5">
      <c r="A7494">
        <f t="shared" si="119"/>
        <v>7433</v>
      </c>
      <c r="B7494" s="137" t="e">
        <f>#REF!</f>
        <v>#REF!</v>
      </c>
      <c r="D7494" s="2" t="e">
        <f t="shared" si="120"/>
        <v>#REF!</v>
      </c>
      <c r="E7494" s="2" t="s">
        <v>81</v>
      </c>
    </row>
    <row r="7495" spans="1:5">
      <c r="A7495">
        <f t="shared" si="119"/>
        <v>7434</v>
      </c>
      <c r="B7495" s="137" t="e">
        <f>#REF!</f>
        <v>#REF!</v>
      </c>
      <c r="D7495" s="2" t="e">
        <f t="shared" si="120"/>
        <v>#REF!</v>
      </c>
      <c r="E7495" s="2" t="s">
        <v>81</v>
      </c>
    </row>
    <row r="7496" spans="1:5">
      <c r="A7496">
        <f t="shared" si="119"/>
        <v>7435</v>
      </c>
      <c r="B7496" s="137" t="e">
        <f>#REF!</f>
        <v>#REF!</v>
      </c>
      <c r="D7496" s="2" t="e">
        <f t="shared" si="120"/>
        <v>#REF!</v>
      </c>
      <c r="E7496" s="2" t="s">
        <v>81</v>
      </c>
    </row>
    <row r="7497" spans="1:5">
      <c r="A7497">
        <f t="shared" si="119"/>
        <v>7436</v>
      </c>
      <c r="B7497" s="137" t="e">
        <f>#REF!</f>
        <v>#REF!</v>
      </c>
      <c r="D7497" s="2" t="e">
        <f t="shared" si="120"/>
        <v>#REF!</v>
      </c>
      <c r="E7497" s="2" t="s">
        <v>81</v>
      </c>
    </row>
    <row r="7498" spans="1:5">
      <c r="A7498">
        <f t="shared" si="119"/>
        <v>7437</v>
      </c>
      <c r="B7498" s="137" t="e">
        <f>#REF!</f>
        <v>#REF!</v>
      </c>
      <c r="D7498" s="2" t="e">
        <f t="shared" si="120"/>
        <v>#REF!</v>
      </c>
      <c r="E7498" s="2" t="s">
        <v>81</v>
      </c>
    </row>
    <row r="7499" spans="1:5">
      <c r="A7499">
        <f t="shared" si="119"/>
        <v>7438</v>
      </c>
      <c r="B7499" s="137" t="e">
        <f>#REF!</f>
        <v>#REF!</v>
      </c>
      <c r="D7499" s="2" t="e">
        <f t="shared" si="120"/>
        <v>#REF!</v>
      </c>
      <c r="E7499" s="2" t="s">
        <v>81</v>
      </c>
    </row>
    <row r="7500" spans="1:5">
      <c r="A7500">
        <f t="shared" si="119"/>
        <v>7439</v>
      </c>
      <c r="B7500" s="137" t="e">
        <f>#REF!</f>
        <v>#REF!</v>
      </c>
      <c r="D7500" s="2" t="e">
        <f t="shared" si="120"/>
        <v>#REF!</v>
      </c>
      <c r="E7500" s="2" t="s">
        <v>81</v>
      </c>
    </row>
    <row r="7501" spans="1:5">
      <c r="A7501">
        <f t="shared" si="119"/>
        <v>7440</v>
      </c>
      <c r="B7501" s="137" t="e">
        <f>#REF!</f>
        <v>#REF!</v>
      </c>
      <c r="D7501" s="2" t="e">
        <f t="shared" si="120"/>
        <v>#REF!</v>
      </c>
      <c r="E7501" s="2" t="s">
        <v>81</v>
      </c>
    </row>
    <row r="7502" spans="1:5">
      <c r="A7502">
        <f t="shared" ref="A7502:A7565" si="121">A7501+1</f>
        <v>7441</v>
      </c>
      <c r="B7502" s="137" t="e">
        <f>#REF!</f>
        <v>#REF!</v>
      </c>
      <c r="D7502" s="2" t="e">
        <f t="shared" si="120"/>
        <v>#REF!</v>
      </c>
      <c r="E7502" s="2" t="s">
        <v>81</v>
      </c>
    </row>
    <row r="7503" spans="1:5">
      <c r="A7503">
        <f t="shared" si="121"/>
        <v>7442</v>
      </c>
      <c r="B7503" s="137" t="e">
        <f>#REF!</f>
        <v>#REF!</v>
      </c>
      <c r="D7503" s="2" t="e">
        <f t="shared" si="120"/>
        <v>#REF!</v>
      </c>
      <c r="E7503" s="2" t="s">
        <v>81</v>
      </c>
    </row>
    <row r="7504" spans="1:5">
      <c r="A7504">
        <f t="shared" si="121"/>
        <v>7443</v>
      </c>
      <c r="B7504" s="137" t="e">
        <f>#REF!</f>
        <v>#REF!</v>
      </c>
      <c r="D7504" s="2" t="e">
        <f t="shared" si="120"/>
        <v>#REF!</v>
      </c>
      <c r="E7504" s="2" t="s">
        <v>81</v>
      </c>
    </row>
    <row r="7505" spans="1:5">
      <c r="A7505">
        <f t="shared" si="121"/>
        <v>7444</v>
      </c>
      <c r="B7505" s="137" t="e">
        <f>#REF!</f>
        <v>#REF!</v>
      </c>
      <c r="D7505" s="2" t="e">
        <f t="shared" si="120"/>
        <v>#REF!</v>
      </c>
      <c r="E7505" s="2" t="s">
        <v>81</v>
      </c>
    </row>
    <row r="7506" spans="1:5">
      <c r="A7506">
        <f t="shared" si="121"/>
        <v>7445</v>
      </c>
      <c r="B7506" s="137" t="e">
        <f>#REF!</f>
        <v>#REF!</v>
      </c>
      <c r="D7506" s="2" t="e">
        <f t="shared" si="120"/>
        <v>#REF!</v>
      </c>
      <c r="E7506" s="2" t="s">
        <v>81</v>
      </c>
    </row>
    <row r="7507" spans="1:5">
      <c r="A7507">
        <f t="shared" si="121"/>
        <v>7446</v>
      </c>
      <c r="B7507" s="137" t="e">
        <f>#REF!</f>
        <v>#REF!</v>
      </c>
      <c r="D7507" s="2" t="e">
        <f t="shared" si="120"/>
        <v>#REF!</v>
      </c>
      <c r="E7507" s="2" t="s">
        <v>81</v>
      </c>
    </row>
    <row r="7508" spans="1:5">
      <c r="A7508">
        <f t="shared" si="121"/>
        <v>7447</v>
      </c>
      <c r="B7508" s="137" t="e">
        <f>#REF!</f>
        <v>#REF!</v>
      </c>
      <c r="D7508" s="2" t="e">
        <f t="shared" si="120"/>
        <v>#REF!</v>
      </c>
      <c r="E7508" s="2" t="s">
        <v>81</v>
      </c>
    </row>
    <row r="7509" spans="1:5">
      <c r="A7509">
        <f t="shared" si="121"/>
        <v>7448</v>
      </c>
      <c r="B7509" s="137" t="e">
        <f>#REF!</f>
        <v>#REF!</v>
      </c>
      <c r="D7509" s="2" t="e">
        <f t="shared" si="120"/>
        <v>#REF!</v>
      </c>
      <c r="E7509" s="2" t="s">
        <v>81</v>
      </c>
    </row>
    <row r="7510" spans="1:5">
      <c r="A7510">
        <f t="shared" si="121"/>
        <v>7449</v>
      </c>
      <c r="B7510" s="137" t="e">
        <f>#REF!</f>
        <v>#REF!</v>
      </c>
      <c r="D7510" s="2" t="e">
        <f t="shared" si="120"/>
        <v>#REF!</v>
      </c>
      <c r="E7510" s="2" t="s">
        <v>81</v>
      </c>
    </row>
    <row r="7511" spans="1:5">
      <c r="A7511">
        <f t="shared" si="121"/>
        <v>7450</v>
      </c>
      <c r="B7511" s="137" t="e">
        <f>#REF!</f>
        <v>#REF!</v>
      </c>
      <c r="D7511" s="2" t="e">
        <f t="shared" si="120"/>
        <v>#REF!</v>
      </c>
      <c r="E7511" s="2" t="s">
        <v>81</v>
      </c>
    </row>
    <row r="7512" spans="1:5">
      <c r="A7512">
        <f t="shared" si="121"/>
        <v>7451</v>
      </c>
      <c r="B7512" s="137" t="e">
        <f>#REF!</f>
        <v>#REF!</v>
      </c>
      <c r="D7512" s="2" t="e">
        <f t="shared" si="120"/>
        <v>#REF!</v>
      </c>
      <c r="E7512" s="2" t="s">
        <v>81</v>
      </c>
    </row>
    <row r="7513" spans="1:5">
      <c r="A7513">
        <f t="shared" si="121"/>
        <v>7452</v>
      </c>
      <c r="B7513" s="137" t="e">
        <f>#REF!</f>
        <v>#REF!</v>
      </c>
      <c r="D7513" s="2" t="e">
        <f t="shared" si="120"/>
        <v>#REF!</v>
      </c>
      <c r="E7513" s="2" t="s">
        <v>81</v>
      </c>
    </row>
    <row r="7514" spans="1:5">
      <c r="A7514">
        <f t="shared" si="121"/>
        <v>7453</v>
      </c>
      <c r="B7514" s="137" t="e">
        <f>#REF!</f>
        <v>#REF!</v>
      </c>
      <c r="D7514" s="2" t="e">
        <f t="shared" si="120"/>
        <v>#REF!</v>
      </c>
      <c r="E7514" s="2" t="s">
        <v>81</v>
      </c>
    </row>
    <row r="7515" spans="1:5">
      <c r="A7515">
        <f t="shared" si="121"/>
        <v>7454</v>
      </c>
      <c r="B7515" s="137" t="e">
        <f>#REF!</f>
        <v>#REF!</v>
      </c>
      <c r="D7515" s="2" t="e">
        <f t="shared" si="120"/>
        <v>#REF!</v>
      </c>
      <c r="E7515" s="2" t="s">
        <v>81</v>
      </c>
    </row>
    <row r="7516" spans="1:5">
      <c r="A7516">
        <f t="shared" si="121"/>
        <v>7455</v>
      </c>
      <c r="B7516" s="137" t="e">
        <f>#REF!</f>
        <v>#REF!</v>
      </c>
      <c r="D7516" s="2" t="e">
        <f t="shared" si="120"/>
        <v>#REF!</v>
      </c>
      <c r="E7516" s="2" t="s">
        <v>81</v>
      </c>
    </row>
    <row r="7517" spans="1:5">
      <c r="A7517">
        <f t="shared" si="121"/>
        <v>7456</v>
      </c>
      <c r="B7517" s="137" t="e">
        <f>#REF!</f>
        <v>#REF!</v>
      </c>
      <c r="D7517" s="2" t="e">
        <f t="shared" si="120"/>
        <v>#REF!</v>
      </c>
      <c r="E7517" s="2" t="s">
        <v>81</v>
      </c>
    </row>
    <row r="7518" spans="1:5">
      <c r="A7518">
        <f t="shared" si="121"/>
        <v>7457</v>
      </c>
      <c r="B7518" s="137" t="e">
        <f>#REF!</f>
        <v>#REF!</v>
      </c>
      <c r="D7518" s="2" t="e">
        <f t="shared" si="120"/>
        <v>#REF!</v>
      </c>
      <c r="E7518" s="2" t="s">
        <v>81</v>
      </c>
    </row>
    <row r="7519" spans="1:5">
      <c r="A7519">
        <f t="shared" si="121"/>
        <v>7458</v>
      </c>
      <c r="B7519" s="137" t="e">
        <f>#REF!</f>
        <v>#REF!</v>
      </c>
      <c r="D7519" s="2" t="e">
        <f t="shared" si="120"/>
        <v>#REF!</v>
      </c>
      <c r="E7519" s="2" t="s">
        <v>81</v>
      </c>
    </row>
    <row r="7520" spans="1:5">
      <c r="A7520">
        <f t="shared" si="121"/>
        <v>7459</v>
      </c>
      <c r="B7520" s="137" t="e">
        <f>#REF!</f>
        <v>#REF!</v>
      </c>
      <c r="D7520" s="2" t="e">
        <f t="shared" si="120"/>
        <v>#REF!</v>
      </c>
      <c r="E7520" s="2" t="s">
        <v>81</v>
      </c>
    </row>
    <row r="7521" spans="1:5">
      <c r="A7521">
        <f t="shared" si="121"/>
        <v>7460</v>
      </c>
      <c r="B7521" s="137" t="e">
        <f>#REF!</f>
        <v>#REF!</v>
      </c>
      <c r="D7521" s="2" t="e">
        <f t="shared" si="120"/>
        <v>#REF!</v>
      </c>
      <c r="E7521" s="2" t="s">
        <v>81</v>
      </c>
    </row>
    <row r="7522" spans="1:5">
      <c r="A7522">
        <f t="shared" si="121"/>
        <v>7461</v>
      </c>
      <c r="B7522" s="137" t="e">
        <f>#REF!</f>
        <v>#REF!</v>
      </c>
      <c r="D7522" s="2" t="e">
        <f t="shared" si="120"/>
        <v>#REF!</v>
      </c>
      <c r="E7522" s="2" t="s">
        <v>81</v>
      </c>
    </row>
    <row r="7523" spans="1:5">
      <c r="A7523">
        <f t="shared" si="121"/>
        <v>7462</v>
      </c>
      <c r="B7523" s="137" t="e">
        <f>#REF!</f>
        <v>#REF!</v>
      </c>
      <c r="D7523" s="2" t="e">
        <f t="shared" si="120"/>
        <v>#REF!</v>
      </c>
      <c r="E7523" s="2" t="s">
        <v>81</v>
      </c>
    </row>
    <row r="7524" spans="1:5">
      <c r="A7524">
        <f t="shared" si="121"/>
        <v>7463</v>
      </c>
      <c r="B7524" s="137" t="e">
        <f>#REF!</f>
        <v>#REF!</v>
      </c>
      <c r="D7524" s="2" t="e">
        <f t="shared" si="120"/>
        <v>#REF!</v>
      </c>
      <c r="E7524" s="2" t="s">
        <v>81</v>
      </c>
    </row>
    <row r="7525" spans="1:5">
      <c r="A7525">
        <f t="shared" si="121"/>
        <v>7464</v>
      </c>
      <c r="B7525" s="137" t="e">
        <f>#REF!</f>
        <v>#REF!</v>
      </c>
      <c r="D7525" s="2" t="e">
        <f t="shared" si="120"/>
        <v>#REF!</v>
      </c>
      <c r="E7525" s="2" t="s">
        <v>81</v>
      </c>
    </row>
    <row r="7526" spans="1:5">
      <c r="A7526">
        <f t="shared" si="121"/>
        <v>7465</v>
      </c>
      <c r="B7526" s="137" t="e">
        <f>#REF!</f>
        <v>#REF!</v>
      </c>
      <c r="D7526" s="2" t="e">
        <f t="shared" si="120"/>
        <v>#REF!</v>
      </c>
      <c r="E7526" s="2" t="s">
        <v>81</v>
      </c>
    </row>
    <row r="7527" spans="1:5">
      <c r="A7527">
        <f t="shared" si="121"/>
        <v>7466</v>
      </c>
      <c r="B7527" s="137" t="e">
        <f>#REF!</f>
        <v>#REF!</v>
      </c>
      <c r="D7527" s="2" t="e">
        <f t="shared" si="120"/>
        <v>#REF!</v>
      </c>
      <c r="E7527" s="2" t="s">
        <v>81</v>
      </c>
    </row>
    <row r="7528" spans="1:5">
      <c r="A7528">
        <f t="shared" si="121"/>
        <v>7467</v>
      </c>
      <c r="B7528" s="137" t="e">
        <f>#REF!</f>
        <v>#REF!</v>
      </c>
      <c r="D7528" s="2" t="e">
        <f t="shared" si="120"/>
        <v>#REF!</v>
      </c>
      <c r="E7528" s="2" t="s">
        <v>81</v>
      </c>
    </row>
    <row r="7529" spans="1:5">
      <c r="A7529">
        <f t="shared" si="121"/>
        <v>7468</v>
      </c>
      <c r="B7529" s="137" t="e">
        <f>#REF!</f>
        <v>#REF!</v>
      </c>
      <c r="D7529" s="2" t="e">
        <f t="shared" si="120"/>
        <v>#REF!</v>
      </c>
      <c r="E7529" s="2" t="s">
        <v>81</v>
      </c>
    </row>
    <row r="7530" spans="1:5">
      <c r="A7530">
        <f t="shared" si="121"/>
        <v>7469</v>
      </c>
      <c r="B7530" s="137" t="e">
        <f>#REF!</f>
        <v>#REF!</v>
      </c>
      <c r="D7530" s="2" t="e">
        <f t="shared" si="120"/>
        <v>#REF!</v>
      </c>
      <c r="E7530" s="2" t="s">
        <v>81</v>
      </c>
    </row>
    <row r="7531" spans="1:5">
      <c r="A7531">
        <f t="shared" si="121"/>
        <v>7470</v>
      </c>
      <c r="B7531" s="137" t="e">
        <f>#REF!</f>
        <v>#REF!</v>
      </c>
      <c r="D7531" s="2" t="e">
        <f t="shared" si="120"/>
        <v>#REF!</v>
      </c>
      <c r="E7531" s="2" t="s">
        <v>81</v>
      </c>
    </row>
    <row r="7532" spans="1:5">
      <c r="A7532">
        <f t="shared" si="121"/>
        <v>7471</v>
      </c>
      <c r="B7532" s="137" t="e">
        <f>#REF!</f>
        <v>#REF!</v>
      </c>
      <c r="D7532" s="2" t="e">
        <f t="shared" si="120"/>
        <v>#REF!</v>
      </c>
      <c r="E7532" s="2" t="s">
        <v>81</v>
      </c>
    </row>
    <row r="7533" spans="1:5">
      <c r="A7533">
        <f t="shared" si="121"/>
        <v>7472</v>
      </c>
      <c r="B7533" s="137" t="e">
        <f>#REF!</f>
        <v>#REF!</v>
      </c>
      <c r="D7533" s="2" t="e">
        <f t="shared" si="120"/>
        <v>#REF!</v>
      </c>
      <c r="E7533" s="2" t="s">
        <v>81</v>
      </c>
    </row>
    <row r="7534" spans="1:5">
      <c r="A7534">
        <f t="shared" si="121"/>
        <v>7473</v>
      </c>
      <c r="B7534" s="137" t="e">
        <f>#REF!</f>
        <v>#REF!</v>
      </c>
      <c r="D7534" s="2" t="e">
        <f t="shared" si="120"/>
        <v>#REF!</v>
      </c>
      <c r="E7534" s="2" t="s">
        <v>81</v>
      </c>
    </row>
    <row r="7535" spans="1:5">
      <c r="A7535">
        <f t="shared" si="121"/>
        <v>7474</v>
      </c>
      <c r="B7535" s="137" t="e">
        <f>#REF!</f>
        <v>#REF!</v>
      </c>
      <c r="D7535" s="2" t="e">
        <f t="shared" si="120"/>
        <v>#REF!</v>
      </c>
      <c r="E7535" s="2" t="s">
        <v>81</v>
      </c>
    </row>
    <row r="7536" spans="1:5">
      <c r="A7536">
        <f t="shared" si="121"/>
        <v>7475</v>
      </c>
      <c r="B7536" s="137" t="e">
        <f>#REF!</f>
        <v>#REF!</v>
      </c>
      <c r="D7536" s="2" t="e">
        <f t="shared" si="120"/>
        <v>#REF!</v>
      </c>
      <c r="E7536" s="2" t="s">
        <v>81</v>
      </c>
    </row>
    <row r="7537" spans="1:5">
      <c r="A7537">
        <f t="shared" si="121"/>
        <v>7476</v>
      </c>
      <c r="B7537" s="137" t="e">
        <f>#REF!</f>
        <v>#REF!</v>
      </c>
      <c r="D7537" s="2" t="e">
        <f t="shared" si="120"/>
        <v>#REF!</v>
      </c>
      <c r="E7537" s="2" t="s">
        <v>81</v>
      </c>
    </row>
    <row r="7538" spans="1:5">
      <c r="A7538">
        <f t="shared" si="121"/>
        <v>7477</v>
      </c>
      <c r="B7538" s="137" t="e">
        <f>#REF!</f>
        <v>#REF!</v>
      </c>
      <c r="D7538" s="2" t="e">
        <f t="shared" si="120"/>
        <v>#REF!</v>
      </c>
      <c r="E7538" s="2" t="s">
        <v>81</v>
      </c>
    </row>
    <row r="7539" spans="1:5">
      <c r="A7539">
        <f t="shared" si="121"/>
        <v>7478</v>
      </c>
      <c r="B7539" s="137" t="e">
        <f>#REF!</f>
        <v>#REF!</v>
      </c>
      <c r="D7539" s="2" t="e">
        <f t="shared" si="120"/>
        <v>#REF!</v>
      </c>
      <c r="E7539" s="2" t="s">
        <v>81</v>
      </c>
    </row>
    <row r="7540" spans="1:5">
      <c r="A7540">
        <f t="shared" si="121"/>
        <v>7479</v>
      </c>
      <c r="B7540" s="137" t="e">
        <f>#REF!</f>
        <v>#REF!</v>
      </c>
      <c r="D7540" s="2" t="e">
        <f t="shared" si="120"/>
        <v>#REF!</v>
      </c>
      <c r="E7540" s="2" t="s">
        <v>81</v>
      </c>
    </row>
    <row r="7541" spans="1:5">
      <c r="A7541">
        <f t="shared" si="121"/>
        <v>7480</v>
      </c>
      <c r="B7541" s="137" t="e">
        <f>#REF!</f>
        <v>#REF!</v>
      </c>
      <c r="D7541" s="2" t="e">
        <f t="shared" si="120"/>
        <v>#REF!</v>
      </c>
      <c r="E7541" s="2" t="s">
        <v>81</v>
      </c>
    </row>
    <row r="7542" spans="1:5">
      <c r="A7542">
        <f t="shared" si="121"/>
        <v>7481</v>
      </c>
      <c r="B7542" s="137" t="e">
        <f>#REF!</f>
        <v>#REF!</v>
      </c>
      <c r="D7542" s="2" t="e">
        <f t="shared" si="120"/>
        <v>#REF!</v>
      </c>
      <c r="E7542" s="2" t="s">
        <v>81</v>
      </c>
    </row>
    <row r="7543" spans="1:5">
      <c r="A7543">
        <f t="shared" si="121"/>
        <v>7482</v>
      </c>
      <c r="B7543" s="137" t="e">
        <f>#REF!</f>
        <v>#REF!</v>
      </c>
      <c r="D7543" s="2" t="e">
        <f t="shared" si="120"/>
        <v>#REF!</v>
      </c>
      <c r="E7543" s="2" t="s">
        <v>81</v>
      </c>
    </row>
    <row r="7544" spans="1:5">
      <c r="A7544">
        <f t="shared" si="121"/>
        <v>7483</v>
      </c>
      <c r="B7544" s="137" t="e">
        <f>#REF!</f>
        <v>#REF!</v>
      </c>
      <c r="D7544" s="2" t="e">
        <f t="shared" si="120"/>
        <v>#REF!</v>
      </c>
      <c r="E7544" s="2" t="s">
        <v>81</v>
      </c>
    </row>
    <row r="7545" spans="1:5">
      <c r="A7545">
        <f t="shared" si="121"/>
        <v>7484</v>
      </c>
      <c r="B7545" s="137" t="e">
        <f>#REF!</f>
        <v>#REF!</v>
      </c>
      <c r="D7545" s="2" t="e">
        <f t="shared" si="120"/>
        <v>#REF!</v>
      </c>
      <c r="E7545" s="2" t="s">
        <v>81</v>
      </c>
    </row>
    <row r="7546" spans="1:5">
      <c r="A7546">
        <f t="shared" si="121"/>
        <v>7485</v>
      </c>
      <c r="B7546" s="137" t="e">
        <f>#REF!</f>
        <v>#REF!</v>
      </c>
      <c r="D7546" s="2" t="e">
        <f t="shared" si="120"/>
        <v>#REF!</v>
      </c>
      <c r="E7546" s="2" t="s">
        <v>81</v>
      </c>
    </row>
    <row r="7547" spans="1:5">
      <c r="A7547">
        <f t="shared" si="121"/>
        <v>7486</v>
      </c>
      <c r="B7547" s="137" t="e">
        <f>#REF!</f>
        <v>#REF!</v>
      </c>
      <c r="D7547" s="2" t="e">
        <f t="shared" si="120"/>
        <v>#REF!</v>
      </c>
      <c r="E7547" s="2" t="s">
        <v>81</v>
      </c>
    </row>
    <row r="7548" spans="1:5">
      <c r="A7548">
        <f t="shared" si="121"/>
        <v>7487</v>
      </c>
      <c r="B7548" s="137" t="e">
        <f>#REF!</f>
        <v>#REF!</v>
      </c>
      <c r="D7548" s="2" t="e">
        <f t="shared" si="120"/>
        <v>#REF!</v>
      </c>
      <c r="E7548" s="2" t="s">
        <v>81</v>
      </c>
    </row>
    <row r="7549" spans="1:5">
      <c r="A7549">
        <f t="shared" si="121"/>
        <v>7488</v>
      </c>
      <c r="B7549" s="137" t="e">
        <f>#REF!</f>
        <v>#REF!</v>
      </c>
      <c r="D7549" s="2" t="e">
        <f t="shared" si="120"/>
        <v>#REF!</v>
      </c>
      <c r="E7549" s="2" t="s">
        <v>81</v>
      </c>
    </row>
    <row r="7550" spans="1:5">
      <c r="A7550">
        <f t="shared" si="121"/>
        <v>7489</v>
      </c>
      <c r="B7550" s="137" t="e">
        <f>#REF!</f>
        <v>#REF!</v>
      </c>
      <c r="D7550" s="2" t="e">
        <f t="shared" si="120"/>
        <v>#REF!</v>
      </c>
      <c r="E7550" s="2" t="s">
        <v>81</v>
      </c>
    </row>
    <row r="7551" spans="1:5">
      <c r="A7551">
        <f t="shared" si="121"/>
        <v>7490</v>
      </c>
      <c r="B7551" s="137" t="e">
        <f>#REF!</f>
        <v>#REF!</v>
      </c>
      <c r="D7551" s="2" t="e">
        <f t="shared" ref="D7551:D7614" si="122">IF(ISBLANK(B7551),"OK",IF(A7551-B7551=0,"OK","Error?"))</f>
        <v>#REF!</v>
      </c>
      <c r="E7551" s="2" t="s">
        <v>81</v>
      </c>
    </row>
    <row r="7552" spans="1:5">
      <c r="A7552">
        <f t="shared" si="121"/>
        <v>7491</v>
      </c>
      <c r="B7552" s="137" t="e">
        <f>#REF!</f>
        <v>#REF!</v>
      </c>
      <c r="D7552" s="2" t="e">
        <f t="shared" si="122"/>
        <v>#REF!</v>
      </c>
      <c r="E7552" s="2" t="s">
        <v>81</v>
      </c>
    </row>
    <row r="7553" spans="1:5">
      <c r="A7553">
        <f t="shared" si="121"/>
        <v>7492</v>
      </c>
      <c r="B7553" s="137" t="e">
        <f>#REF!</f>
        <v>#REF!</v>
      </c>
      <c r="D7553" s="2" t="e">
        <f t="shared" si="122"/>
        <v>#REF!</v>
      </c>
      <c r="E7553" s="2" t="s">
        <v>81</v>
      </c>
    </row>
    <row r="7554" spans="1:5">
      <c r="A7554">
        <f t="shared" si="121"/>
        <v>7493</v>
      </c>
      <c r="B7554" s="137" t="e">
        <f>#REF!</f>
        <v>#REF!</v>
      </c>
      <c r="D7554" s="2" t="e">
        <f t="shared" si="122"/>
        <v>#REF!</v>
      </c>
      <c r="E7554" s="2" t="s">
        <v>81</v>
      </c>
    </row>
    <row r="7555" spans="1:5">
      <c r="A7555">
        <f t="shared" si="121"/>
        <v>7494</v>
      </c>
      <c r="B7555" s="137" t="e">
        <f>#REF!</f>
        <v>#REF!</v>
      </c>
      <c r="D7555" s="2" t="e">
        <f t="shared" si="122"/>
        <v>#REF!</v>
      </c>
      <c r="E7555" s="2" t="s">
        <v>81</v>
      </c>
    </row>
    <row r="7556" spans="1:5">
      <c r="A7556">
        <f t="shared" si="121"/>
        <v>7495</v>
      </c>
      <c r="B7556" s="137" t="e">
        <f>#REF!</f>
        <v>#REF!</v>
      </c>
      <c r="D7556" s="2" t="e">
        <f t="shared" si="122"/>
        <v>#REF!</v>
      </c>
      <c r="E7556" s="2" t="s">
        <v>81</v>
      </c>
    </row>
    <row r="7557" spans="1:5">
      <c r="A7557">
        <f t="shared" si="121"/>
        <v>7496</v>
      </c>
      <c r="B7557" s="137" t="e">
        <f>#REF!</f>
        <v>#REF!</v>
      </c>
      <c r="D7557" s="2" t="e">
        <f t="shared" si="122"/>
        <v>#REF!</v>
      </c>
      <c r="E7557" s="2" t="s">
        <v>81</v>
      </c>
    </row>
    <row r="7558" spans="1:5">
      <c r="A7558">
        <f t="shared" si="121"/>
        <v>7497</v>
      </c>
      <c r="B7558" s="137" t="e">
        <f>#REF!</f>
        <v>#REF!</v>
      </c>
      <c r="D7558" s="2" t="e">
        <f t="shared" si="122"/>
        <v>#REF!</v>
      </c>
      <c r="E7558" s="2" t="s">
        <v>81</v>
      </c>
    </row>
    <row r="7559" spans="1:5">
      <c r="A7559">
        <f t="shared" si="121"/>
        <v>7498</v>
      </c>
      <c r="B7559" s="137" t="e">
        <f>#REF!</f>
        <v>#REF!</v>
      </c>
      <c r="D7559" s="2" t="e">
        <f t="shared" si="122"/>
        <v>#REF!</v>
      </c>
      <c r="E7559" s="2" t="s">
        <v>81</v>
      </c>
    </row>
    <row r="7560" spans="1:5">
      <c r="A7560">
        <f t="shared" si="121"/>
        <v>7499</v>
      </c>
      <c r="B7560" s="137" t="e">
        <f>#REF!</f>
        <v>#REF!</v>
      </c>
      <c r="D7560" s="2" t="e">
        <f t="shared" si="122"/>
        <v>#REF!</v>
      </c>
      <c r="E7560" s="2" t="s">
        <v>81</v>
      </c>
    </row>
    <row r="7561" spans="1:5">
      <c r="A7561">
        <f t="shared" si="121"/>
        <v>7500</v>
      </c>
      <c r="B7561" s="137" t="e">
        <f>#REF!</f>
        <v>#REF!</v>
      </c>
      <c r="D7561" s="2" t="e">
        <f t="shared" si="122"/>
        <v>#REF!</v>
      </c>
      <c r="E7561" s="2" t="s">
        <v>81</v>
      </c>
    </row>
    <row r="7562" spans="1:5">
      <c r="A7562">
        <f t="shared" si="121"/>
        <v>7501</v>
      </c>
      <c r="B7562" s="137" t="e">
        <f>#REF!</f>
        <v>#REF!</v>
      </c>
      <c r="D7562" s="2" t="e">
        <f t="shared" si="122"/>
        <v>#REF!</v>
      </c>
      <c r="E7562" s="2" t="s">
        <v>81</v>
      </c>
    </row>
    <row r="7563" spans="1:5">
      <c r="A7563">
        <f t="shared" si="121"/>
        <v>7502</v>
      </c>
      <c r="B7563" s="137" t="e">
        <f>#REF!</f>
        <v>#REF!</v>
      </c>
      <c r="D7563" s="2" t="e">
        <f t="shared" si="122"/>
        <v>#REF!</v>
      </c>
      <c r="E7563" s="2" t="s">
        <v>81</v>
      </c>
    </row>
    <row r="7564" spans="1:5">
      <c r="A7564">
        <f t="shared" si="121"/>
        <v>7503</v>
      </c>
      <c r="B7564" s="137" t="e">
        <f>#REF!</f>
        <v>#REF!</v>
      </c>
      <c r="D7564" s="2" t="e">
        <f t="shared" si="122"/>
        <v>#REF!</v>
      </c>
      <c r="E7564" s="2" t="s">
        <v>81</v>
      </c>
    </row>
    <row r="7565" spans="1:5">
      <c r="A7565">
        <f t="shared" si="121"/>
        <v>7504</v>
      </c>
      <c r="B7565" s="137" t="e">
        <f>#REF!</f>
        <v>#REF!</v>
      </c>
      <c r="D7565" s="2" t="e">
        <f t="shared" si="122"/>
        <v>#REF!</v>
      </c>
      <c r="E7565" s="2" t="s">
        <v>81</v>
      </c>
    </row>
    <row r="7566" spans="1:5">
      <c r="A7566">
        <f t="shared" ref="A7566:A7629" si="123">A7565+1</f>
        <v>7505</v>
      </c>
      <c r="B7566" s="137" t="e">
        <f>#REF!</f>
        <v>#REF!</v>
      </c>
      <c r="D7566" s="2" t="e">
        <f t="shared" si="122"/>
        <v>#REF!</v>
      </c>
      <c r="E7566" s="2" t="s">
        <v>81</v>
      </c>
    </row>
    <row r="7567" spans="1:5">
      <c r="A7567">
        <f t="shared" si="123"/>
        <v>7506</v>
      </c>
      <c r="B7567" s="137" t="e">
        <f>#REF!</f>
        <v>#REF!</v>
      </c>
      <c r="D7567" s="2" t="e">
        <f t="shared" si="122"/>
        <v>#REF!</v>
      </c>
      <c r="E7567" s="2" t="s">
        <v>81</v>
      </c>
    </row>
    <row r="7568" spans="1:5">
      <c r="A7568">
        <f t="shared" si="123"/>
        <v>7507</v>
      </c>
      <c r="B7568" s="137" t="e">
        <f>#REF!</f>
        <v>#REF!</v>
      </c>
      <c r="D7568" s="2" t="e">
        <f t="shared" si="122"/>
        <v>#REF!</v>
      </c>
      <c r="E7568" s="2" t="s">
        <v>81</v>
      </c>
    </row>
    <row r="7569" spans="1:5">
      <c r="A7569">
        <f t="shared" si="123"/>
        <v>7508</v>
      </c>
      <c r="B7569" s="137" t="e">
        <f>#REF!</f>
        <v>#REF!</v>
      </c>
      <c r="D7569" s="2" t="e">
        <f t="shared" si="122"/>
        <v>#REF!</v>
      </c>
      <c r="E7569" s="2" t="s">
        <v>81</v>
      </c>
    </row>
    <row r="7570" spans="1:5">
      <c r="A7570">
        <f t="shared" si="123"/>
        <v>7509</v>
      </c>
      <c r="B7570" s="137" t="e">
        <f>#REF!</f>
        <v>#REF!</v>
      </c>
      <c r="D7570" s="2" t="e">
        <f t="shared" si="122"/>
        <v>#REF!</v>
      </c>
      <c r="E7570" s="2" t="s">
        <v>81</v>
      </c>
    </row>
    <row r="7571" spans="1:5">
      <c r="A7571">
        <f t="shared" si="123"/>
        <v>7510</v>
      </c>
      <c r="B7571" s="137" t="e">
        <f>#REF!</f>
        <v>#REF!</v>
      </c>
      <c r="D7571" s="2" t="e">
        <f t="shared" si="122"/>
        <v>#REF!</v>
      </c>
      <c r="E7571" s="2" t="s">
        <v>81</v>
      </c>
    </row>
    <row r="7572" spans="1:5">
      <c r="A7572">
        <f t="shared" si="123"/>
        <v>7511</v>
      </c>
      <c r="B7572" s="137" t="e">
        <f>#REF!</f>
        <v>#REF!</v>
      </c>
      <c r="D7572" s="2" t="e">
        <f t="shared" si="122"/>
        <v>#REF!</v>
      </c>
      <c r="E7572" s="2" t="s">
        <v>81</v>
      </c>
    </row>
    <row r="7573" spans="1:5">
      <c r="A7573">
        <f t="shared" si="123"/>
        <v>7512</v>
      </c>
      <c r="B7573" s="137" t="e">
        <f>#REF!</f>
        <v>#REF!</v>
      </c>
      <c r="D7573" s="2" t="e">
        <f t="shared" si="122"/>
        <v>#REF!</v>
      </c>
      <c r="E7573" s="2" t="s">
        <v>81</v>
      </c>
    </row>
    <row r="7574" spans="1:5">
      <c r="A7574">
        <f t="shared" si="123"/>
        <v>7513</v>
      </c>
      <c r="B7574" s="137" t="e">
        <f>#REF!</f>
        <v>#REF!</v>
      </c>
      <c r="D7574" s="2" t="e">
        <f t="shared" si="122"/>
        <v>#REF!</v>
      </c>
      <c r="E7574" s="2" t="s">
        <v>81</v>
      </c>
    </row>
    <row r="7575" spans="1:5">
      <c r="A7575">
        <f t="shared" si="123"/>
        <v>7514</v>
      </c>
      <c r="B7575" s="137" t="e">
        <f>#REF!</f>
        <v>#REF!</v>
      </c>
      <c r="D7575" s="2" t="e">
        <f t="shared" si="122"/>
        <v>#REF!</v>
      </c>
      <c r="E7575" s="2" t="s">
        <v>81</v>
      </c>
    </row>
    <row r="7576" spans="1:5">
      <c r="A7576">
        <f t="shared" si="123"/>
        <v>7515</v>
      </c>
      <c r="B7576" s="137" t="e">
        <f>#REF!</f>
        <v>#REF!</v>
      </c>
      <c r="D7576" s="2" t="e">
        <f t="shared" si="122"/>
        <v>#REF!</v>
      </c>
      <c r="E7576" s="2" t="s">
        <v>81</v>
      </c>
    </row>
    <row r="7577" spans="1:5">
      <c r="A7577">
        <f t="shared" si="123"/>
        <v>7516</v>
      </c>
      <c r="B7577" s="137" t="e">
        <f>#REF!</f>
        <v>#REF!</v>
      </c>
      <c r="D7577" s="2" t="e">
        <f t="shared" si="122"/>
        <v>#REF!</v>
      </c>
      <c r="E7577" s="2" t="s">
        <v>81</v>
      </c>
    </row>
    <row r="7578" spans="1:5">
      <c r="A7578">
        <f t="shared" si="123"/>
        <v>7517</v>
      </c>
      <c r="B7578" s="137" t="e">
        <f>#REF!</f>
        <v>#REF!</v>
      </c>
      <c r="D7578" s="2" t="e">
        <f t="shared" si="122"/>
        <v>#REF!</v>
      </c>
      <c r="E7578" s="2" t="s">
        <v>81</v>
      </c>
    </row>
    <row r="7579" spans="1:5">
      <c r="A7579">
        <f t="shared" si="123"/>
        <v>7518</v>
      </c>
      <c r="B7579" s="137" t="e">
        <f>#REF!</f>
        <v>#REF!</v>
      </c>
      <c r="D7579" s="2" t="e">
        <f t="shared" si="122"/>
        <v>#REF!</v>
      </c>
      <c r="E7579" s="2" t="s">
        <v>81</v>
      </c>
    </row>
    <row r="7580" spans="1:5">
      <c r="A7580">
        <f t="shared" si="123"/>
        <v>7519</v>
      </c>
      <c r="B7580" s="137" t="e">
        <f>#REF!</f>
        <v>#REF!</v>
      </c>
      <c r="D7580" s="2" t="e">
        <f t="shared" si="122"/>
        <v>#REF!</v>
      </c>
      <c r="E7580" s="2" t="s">
        <v>81</v>
      </c>
    </row>
    <row r="7581" spans="1:5">
      <c r="A7581">
        <f t="shared" si="123"/>
        <v>7520</v>
      </c>
      <c r="B7581" s="137" t="e">
        <f>#REF!</f>
        <v>#REF!</v>
      </c>
      <c r="D7581" s="2" t="e">
        <f t="shared" si="122"/>
        <v>#REF!</v>
      </c>
      <c r="E7581" s="2" t="s">
        <v>81</v>
      </c>
    </row>
    <row r="7582" spans="1:5">
      <c r="A7582">
        <f t="shared" si="123"/>
        <v>7521</v>
      </c>
      <c r="B7582" s="137" t="e">
        <f>#REF!</f>
        <v>#REF!</v>
      </c>
      <c r="D7582" s="2" t="e">
        <f t="shared" si="122"/>
        <v>#REF!</v>
      </c>
      <c r="E7582" s="2" t="s">
        <v>81</v>
      </c>
    </row>
    <row r="7583" spans="1:5">
      <c r="A7583">
        <f t="shared" si="123"/>
        <v>7522</v>
      </c>
      <c r="B7583" s="137" t="e">
        <f>#REF!</f>
        <v>#REF!</v>
      </c>
      <c r="D7583" s="2" t="e">
        <f t="shared" si="122"/>
        <v>#REF!</v>
      </c>
      <c r="E7583" s="2" t="s">
        <v>81</v>
      </c>
    </row>
    <row r="7584" spans="1:5">
      <c r="A7584">
        <f t="shared" si="123"/>
        <v>7523</v>
      </c>
      <c r="B7584" s="137" t="e">
        <f>#REF!</f>
        <v>#REF!</v>
      </c>
      <c r="D7584" s="2" t="e">
        <f t="shared" si="122"/>
        <v>#REF!</v>
      </c>
      <c r="E7584" s="2" t="s">
        <v>81</v>
      </c>
    </row>
    <row r="7585" spans="1:5">
      <c r="A7585">
        <f t="shared" si="123"/>
        <v>7524</v>
      </c>
      <c r="B7585" s="137" t="e">
        <f>#REF!</f>
        <v>#REF!</v>
      </c>
      <c r="D7585" s="2" t="e">
        <f t="shared" si="122"/>
        <v>#REF!</v>
      </c>
      <c r="E7585" s="2" t="s">
        <v>81</v>
      </c>
    </row>
    <row r="7586" spans="1:5">
      <c r="A7586">
        <f t="shared" si="123"/>
        <v>7525</v>
      </c>
      <c r="B7586" s="137" t="e">
        <f>#REF!</f>
        <v>#REF!</v>
      </c>
      <c r="D7586" s="2" t="e">
        <f t="shared" si="122"/>
        <v>#REF!</v>
      </c>
      <c r="E7586" s="2" t="s">
        <v>81</v>
      </c>
    </row>
    <row r="7587" spans="1:5">
      <c r="A7587">
        <f t="shared" si="123"/>
        <v>7526</v>
      </c>
      <c r="B7587" s="137" t="e">
        <f>#REF!</f>
        <v>#REF!</v>
      </c>
      <c r="D7587" s="2" t="e">
        <f t="shared" si="122"/>
        <v>#REF!</v>
      </c>
      <c r="E7587" s="2" t="s">
        <v>81</v>
      </c>
    </row>
    <row r="7588" spans="1:5">
      <c r="A7588">
        <f t="shared" si="123"/>
        <v>7527</v>
      </c>
      <c r="B7588" s="137" t="e">
        <f>#REF!</f>
        <v>#REF!</v>
      </c>
      <c r="D7588" s="2" t="e">
        <f t="shared" si="122"/>
        <v>#REF!</v>
      </c>
      <c r="E7588" s="2" t="s">
        <v>81</v>
      </c>
    </row>
    <row r="7589" spans="1:5">
      <c r="A7589">
        <f t="shared" si="123"/>
        <v>7528</v>
      </c>
      <c r="B7589" s="137" t="e">
        <f>#REF!</f>
        <v>#REF!</v>
      </c>
      <c r="D7589" s="2" t="e">
        <f t="shared" si="122"/>
        <v>#REF!</v>
      </c>
      <c r="E7589" s="2" t="s">
        <v>81</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378574</v>
      </c>
      <c r="D7624" s="2" t="str">
        <f t="shared" si="124"/>
        <v>Error?</v>
      </c>
      <c r="E7624" s="2" t="s">
        <v>19</v>
      </c>
    </row>
    <row r="7625" spans="1:5">
      <c r="A7625">
        <f t="shared" si="123"/>
        <v>7564</v>
      </c>
      <c r="B7625" s="137">
        <f>'Cap Outlay Deprec 26'!I17</f>
        <v>37857.4</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7">
        <f>'Cap Outlay Deprec 26'!I18</f>
        <v>2441153.4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7" t="e">
        <f>#REF!</f>
        <v>#REF!</v>
      </c>
      <c r="D7635" s="2" t="e">
        <f t="shared" si="124"/>
        <v>#REF!</v>
      </c>
      <c r="E7635" s="2" t="s">
        <v>81</v>
      </c>
    </row>
    <row r="7636" spans="1:6">
      <c r="A7636">
        <f t="shared" si="125"/>
        <v>7575</v>
      </c>
      <c r="B7636" s="137">
        <f>'Revenues 9-14'!G106</f>
        <v>0</v>
      </c>
      <c r="D7636" s="2" t="str">
        <f t="shared" si="124"/>
        <v>Error?</v>
      </c>
      <c r="E7636" s="2" t="s">
        <v>82</v>
      </c>
    </row>
    <row r="7637" spans="1:6">
      <c r="A7637">
        <f t="shared" si="125"/>
        <v>7576</v>
      </c>
      <c r="B7637" s="137">
        <f>'Revenues 9-14'!H106</f>
        <v>0</v>
      </c>
      <c r="D7637" s="2" t="str">
        <f t="shared" si="124"/>
        <v>Error?</v>
      </c>
      <c r="E7637" s="2" t="s">
        <v>82</v>
      </c>
    </row>
    <row r="7638" spans="1:6">
      <c r="A7638">
        <f t="shared" si="125"/>
        <v>7577</v>
      </c>
      <c r="B7638" s="137">
        <f>'Revenues 9-14'!J106</f>
        <v>0</v>
      </c>
      <c r="D7638" s="2" t="str">
        <f t="shared" si="124"/>
        <v>Error?</v>
      </c>
      <c r="E7638" s="2" t="s">
        <v>82</v>
      </c>
    </row>
    <row r="7639" spans="1:6">
      <c r="A7639">
        <f t="shared" si="125"/>
        <v>7578</v>
      </c>
      <c r="B7639" s="137">
        <f>'Revenues 9-14'!K106</f>
        <v>0</v>
      </c>
      <c r="D7639" s="2" t="str">
        <f t="shared" si="124"/>
        <v>Error?</v>
      </c>
      <c r="E7639" s="2" t="s">
        <v>82</v>
      </c>
      <c r="F7639" s="2"/>
    </row>
    <row r="7640" spans="1:6">
      <c r="A7640">
        <f t="shared" si="125"/>
        <v>7579</v>
      </c>
      <c r="B7640" s="137" t="e">
        <f>#REF!</f>
        <v>#REF!</v>
      </c>
      <c r="D7640" s="2" t="e">
        <f t="shared" si="124"/>
        <v>#REF!</v>
      </c>
      <c r="E7640" s="2" t="s">
        <v>81</v>
      </c>
    </row>
    <row r="7641" spans="1:6">
      <c r="A7641">
        <f t="shared" si="125"/>
        <v>7580</v>
      </c>
      <c r="B7641" s="137" t="e">
        <f>#REF!</f>
        <v>#REF!</v>
      </c>
      <c r="D7641" s="2" t="e">
        <f t="shared" si="124"/>
        <v>#REF!</v>
      </c>
      <c r="E7641" s="2" t="s">
        <v>81</v>
      </c>
    </row>
    <row r="7642" spans="1:6">
      <c r="A7642">
        <f t="shared" si="125"/>
        <v>7581</v>
      </c>
      <c r="B7642" s="137" t="e">
        <f>#REF!</f>
        <v>#REF!</v>
      </c>
      <c r="D7642" s="2" t="e">
        <f t="shared" si="124"/>
        <v>#REF!</v>
      </c>
      <c r="E7642" s="2" t="s">
        <v>81</v>
      </c>
    </row>
    <row r="7643" spans="1:6">
      <c r="A7643">
        <f t="shared" si="125"/>
        <v>7582</v>
      </c>
      <c r="B7643" s="137" t="e">
        <f>#REF!</f>
        <v>#REF!</v>
      </c>
      <c r="D7643" s="2" t="e">
        <f t="shared" si="124"/>
        <v>#REF!</v>
      </c>
      <c r="E7643" s="2" t="s">
        <v>81</v>
      </c>
    </row>
    <row r="7644" spans="1:6">
      <c r="A7644">
        <f t="shared" si="125"/>
        <v>7583</v>
      </c>
      <c r="B7644" s="137" t="e">
        <f>#REF!</f>
        <v>#REF!</v>
      </c>
      <c r="D7644" s="2" t="e">
        <f t="shared" si="124"/>
        <v>#REF!</v>
      </c>
      <c r="E7644" s="2" t="s">
        <v>81</v>
      </c>
    </row>
    <row r="7645" spans="1:6">
      <c r="A7645">
        <f t="shared" si="125"/>
        <v>7584</v>
      </c>
      <c r="B7645" s="137" t="e">
        <f>#REF!</f>
        <v>#REF!</v>
      </c>
      <c r="D7645" s="2" t="e">
        <f t="shared" si="124"/>
        <v>#REF!</v>
      </c>
      <c r="E7645" s="2" t="s">
        <v>81</v>
      </c>
    </row>
    <row r="7646" spans="1:6">
      <c r="A7646">
        <f t="shared" si="125"/>
        <v>7585</v>
      </c>
      <c r="B7646" s="137" t="e">
        <f>#REF!</f>
        <v>#REF!</v>
      </c>
      <c r="D7646" s="2" t="e">
        <f t="shared" si="124"/>
        <v>#REF!</v>
      </c>
      <c r="E7646" s="2" t="s">
        <v>81</v>
      </c>
    </row>
    <row r="7647" spans="1:6">
      <c r="A7647">
        <f t="shared" si="125"/>
        <v>7586</v>
      </c>
      <c r="B7647" s="137" t="e">
        <f>#REF!</f>
        <v>#REF!</v>
      </c>
      <c r="D7647" s="2" t="e">
        <f t="shared" si="124"/>
        <v>#REF!</v>
      </c>
      <c r="E7647" s="2" t="s">
        <v>81</v>
      </c>
    </row>
    <row r="7648" spans="1:6">
      <c r="A7648">
        <f t="shared" si="125"/>
        <v>7587</v>
      </c>
      <c r="B7648" s="137" t="e">
        <f>#REF!</f>
        <v>#REF!</v>
      </c>
      <c r="D7648" s="2" t="e">
        <f t="shared" si="124"/>
        <v>#REF!</v>
      </c>
      <c r="E7648" s="2" t="s">
        <v>81</v>
      </c>
    </row>
    <row r="7649" spans="1:5">
      <c r="A7649">
        <f t="shared" si="125"/>
        <v>7588</v>
      </c>
      <c r="B7649" s="137" t="e">
        <f>#REF!</f>
        <v>#REF!</v>
      </c>
      <c r="D7649" s="2" t="e">
        <f t="shared" si="124"/>
        <v>#REF!</v>
      </c>
      <c r="E7649" s="2" t="s">
        <v>81</v>
      </c>
    </row>
    <row r="7650" spans="1:5">
      <c r="A7650">
        <f t="shared" si="125"/>
        <v>7589</v>
      </c>
      <c r="B7650" s="137" t="e">
        <f>#REF!</f>
        <v>#REF!</v>
      </c>
      <c r="D7650" s="2" t="e">
        <f t="shared" si="124"/>
        <v>#REF!</v>
      </c>
      <c r="E7650" s="2" t="s">
        <v>81</v>
      </c>
    </row>
    <row r="7651" spans="1:5">
      <c r="A7651">
        <v>7590</v>
      </c>
      <c r="B7651" s="137">
        <f>'Acct Summary 7-8'!C55</f>
        <v>0</v>
      </c>
      <c r="D7651" s="2" t="str">
        <f t="shared" si="124"/>
        <v>Error?</v>
      </c>
      <c r="E7651" s="2" t="s">
        <v>881</v>
      </c>
    </row>
    <row r="7652" spans="1:5">
      <c r="A7652">
        <v>7591</v>
      </c>
      <c r="B7652" s="137">
        <f>'Acct Summary 7-8'!D55</f>
        <v>0</v>
      </c>
      <c r="D7652" s="2" t="str">
        <f t="shared" si="124"/>
        <v>Error?</v>
      </c>
      <c r="E7652" s="2" t="s">
        <v>881</v>
      </c>
    </row>
    <row r="7653" spans="1:5">
      <c r="A7653">
        <v>7592</v>
      </c>
      <c r="B7653" s="137">
        <f>'Acct Summary 7-8'!H55</f>
        <v>0</v>
      </c>
      <c r="D7653" s="2" t="str">
        <f t="shared" si="124"/>
        <v>Error?</v>
      </c>
      <c r="E7653" s="2" t="s">
        <v>881</v>
      </c>
    </row>
    <row r="7654" spans="1:5">
      <c r="A7654">
        <v>7593</v>
      </c>
      <c r="B7654" s="137">
        <f>'Acct Summary 7-8'!C56</f>
        <v>0</v>
      </c>
      <c r="D7654" s="2" t="str">
        <f t="shared" si="124"/>
        <v>Error?</v>
      </c>
      <c r="E7654" s="2" t="s">
        <v>881</v>
      </c>
    </row>
    <row r="7655" spans="1:5">
      <c r="A7655">
        <v>7594</v>
      </c>
      <c r="B7655" s="137">
        <f>'Acct Summary 7-8'!D56</f>
        <v>0</v>
      </c>
      <c r="D7655" s="2" t="str">
        <f t="shared" si="124"/>
        <v>Error?</v>
      </c>
      <c r="E7655" s="2" t="s">
        <v>881</v>
      </c>
    </row>
    <row r="7656" spans="1:5">
      <c r="A7656">
        <v>7595</v>
      </c>
      <c r="B7656" s="137">
        <f>'Acct Summary 7-8'!H56</f>
        <v>0</v>
      </c>
      <c r="D7656" s="2" t="str">
        <f t="shared" si="124"/>
        <v>Error?</v>
      </c>
      <c r="E7656" s="2" t="s">
        <v>881</v>
      </c>
    </row>
    <row r="7657" spans="1:5">
      <c r="A7657">
        <v>7596</v>
      </c>
      <c r="B7657" s="137">
        <f>'Acct Summary 7-8'!C57</f>
        <v>159700</v>
      </c>
      <c r="D7657" s="2" t="str">
        <f t="shared" si="124"/>
        <v>Error?</v>
      </c>
      <c r="E7657" s="2" t="s">
        <v>881</v>
      </c>
    </row>
    <row r="7658" spans="1:5">
      <c r="A7658">
        <v>7597</v>
      </c>
      <c r="B7658" s="137">
        <f>'Acct Summary 7-8'!D57</f>
        <v>0</v>
      </c>
      <c r="D7658" s="2" t="str">
        <f t="shared" si="124"/>
        <v>Error?</v>
      </c>
      <c r="E7658" s="2" t="s">
        <v>881</v>
      </c>
    </row>
    <row r="7659" spans="1:5">
      <c r="A7659">
        <v>7598</v>
      </c>
      <c r="B7659" s="137">
        <f>'Acct Summary 7-8'!H57</f>
        <v>0</v>
      </c>
      <c r="D7659" s="2" t="str">
        <f t="shared" si="124"/>
        <v>Error?</v>
      </c>
      <c r="E7659" s="2" t="s">
        <v>881</v>
      </c>
    </row>
    <row r="7660" spans="1:5">
      <c r="A7660">
        <v>7599</v>
      </c>
      <c r="B7660" s="137">
        <f>'Acct Summary 7-8'!C59</f>
        <v>0</v>
      </c>
      <c r="D7660" s="2" t="str">
        <f t="shared" si="124"/>
        <v>Error?</v>
      </c>
      <c r="E7660" s="2" t="s">
        <v>881</v>
      </c>
    </row>
    <row r="7661" spans="1:5">
      <c r="A7661">
        <v>7600</v>
      </c>
      <c r="B7661" s="137">
        <f>'Acct Summary 7-8'!D59</f>
        <v>0</v>
      </c>
      <c r="D7661" s="2" t="str">
        <f t="shared" si="124"/>
        <v>Error?</v>
      </c>
      <c r="E7661" s="2" t="s">
        <v>881</v>
      </c>
    </row>
    <row r="7662" spans="1:5">
      <c r="A7662">
        <v>7601</v>
      </c>
      <c r="B7662" s="137">
        <f>'Acct Summary 7-8'!H59</f>
        <v>0</v>
      </c>
      <c r="D7662" s="2" t="str">
        <f t="shared" si="124"/>
        <v>Error?</v>
      </c>
      <c r="E7662" s="2" t="s">
        <v>881</v>
      </c>
    </row>
    <row r="7663" spans="1:5">
      <c r="A7663">
        <v>7602</v>
      </c>
      <c r="B7663" s="137">
        <f>'Acct Summary 7-8'!C60</f>
        <v>0</v>
      </c>
      <c r="D7663" s="2" t="str">
        <f t="shared" si="124"/>
        <v>Error?</v>
      </c>
      <c r="E7663" s="2" t="s">
        <v>881</v>
      </c>
    </row>
    <row r="7664" spans="1:5">
      <c r="A7664">
        <v>7603</v>
      </c>
      <c r="B7664" s="137">
        <f>'Acct Summary 7-8'!D60</f>
        <v>0</v>
      </c>
      <c r="D7664" s="2" t="str">
        <f t="shared" si="124"/>
        <v>Error?</v>
      </c>
      <c r="E7664" s="2" t="s">
        <v>881</v>
      </c>
    </row>
    <row r="7665" spans="1:5">
      <c r="A7665">
        <v>7604</v>
      </c>
      <c r="B7665" s="137">
        <f>'Acct Summary 7-8'!H60</f>
        <v>0</v>
      </c>
      <c r="D7665" s="2" t="str">
        <f t="shared" si="124"/>
        <v>Error?</v>
      </c>
      <c r="E7665" s="2" t="s">
        <v>881</v>
      </c>
    </row>
    <row r="7666" spans="1:5">
      <c r="A7666">
        <v>7605</v>
      </c>
      <c r="B7666" s="137">
        <f>'Acct Summary 7-8'!C61</f>
        <v>19614</v>
      </c>
      <c r="D7666" s="2" t="str">
        <f t="shared" si="124"/>
        <v>Error?</v>
      </c>
      <c r="E7666" s="2" t="s">
        <v>881</v>
      </c>
    </row>
    <row r="7667" spans="1:5">
      <c r="A7667">
        <v>7606</v>
      </c>
      <c r="B7667" s="137">
        <f>'Acct Summary 7-8'!D61</f>
        <v>0</v>
      </c>
      <c r="D7667" s="2" t="str">
        <f t="shared" si="124"/>
        <v>Error?</v>
      </c>
      <c r="E7667" s="2" t="s">
        <v>881</v>
      </c>
    </row>
    <row r="7668" spans="1:5">
      <c r="A7668">
        <v>7607</v>
      </c>
      <c r="B7668" s="137">
        <f>'Acct Summary 7-8'!H61</f>
        <v>0</v>
      </c>
      <c r="D7668" s="2" t="str">
        <f t="shared" si="124"/>
        <v>Error?</v>
      </c>
      <c r="E7668" s="2" t="s">
        <v>881</v>
      </c>
    </row>
    <row r="7669" spans="1:5">
      <c r="A7669">
        <v>7608</v>
      </c>
      <c r="B7669" s="137">
        <f>'Acct Summary 7-8'!C63</f>
        <v>0</v>
      </c>
      <c r="D7669" s="2" t="str">
        <f t="shared" si="124"/>
        <v>Error?</v>
      </c>
      <c r="E7669" s="2" t="s">
        <v>881</v>
      </c>
    </row>
    <row r="7670" spans="1:5">
      <c r="A7670">
        <v>7609</v>
      </c>
      <c r="B7670" s="137">
        <f>'Acct Summary 7-8'!D63</f>
        <v>0</v>
      </c>
      <c r="D7670" s="2" t="str">
        <f t="shared" si="124"/>
        <v>Error?</v>
      </c>
      <c r="E7670" s="2" t="s">
        <v>881</v>
      </c>
    </row>
    <row r="7671" spans="1:5">
      <c r="A7671">
        <v>7610</v>
      </c>
      <c r="B7671" s="137">
        <f>'Acct Summary 7-8'!C64</f>
        <v>0</v>
      </c>
      <c r="D7671" s="2" t="str">
        <f t="shared" si="124"/>
        <v>Error?</v>
      </c>
      <c r="E7671" s="2" t="s">
        <v>881</v>
      </c>
    </row>
    <row r="7672" spans="1:5">
      <c r="A7672">
        <v>7611</v>
      </c>
      <c r="B7672" s="137">
        <f>'Acct Summary 7-8'!D64</f>
        <v>0</v>
      </c>
      <c r="D7672" s="2" t="str">
        <f t="shared" si="124"/>
        <v>Error?</v>
      </c>
      <c r="E7672" s="2" t="s">
        <v>881</v>
      </c>
    </row>
    <row r="7673" spans="1:5">
      <c r="A7673">
        <v>7612</v>
      </c>
      <c r="B7673" s="137">
        <f>'Acct Summary 7-8'!C65</f>
        <v>0</v>
      </c>
      <c r="D7673" s="2" t="str">
        <f t="shared" si="124"/>
        <v>Error?</v>
      </c>
      <c r="E7673" s="2" t="s">
        <v>881</v>
      </c>
    </row>
    <row r="7674" spans="1:5">
      <c r="A7674">
        <v>7613</v>
      </c>
      <c r="B7674" s="137">
        <f>'Acct Summary 7-8'!D65</f>
        <v>175000</v>
      </c>
      <c r="D7674" s="2" t="str">
        <f t="shared" si="124"/>
        <v>Error?</v>
      </c>
      <c r="E7674" s="2" t="s">
        <v>881</v>
      </c>
    </row>
    <row r="7675" spans="1:5">
      <c r="A7675">
        <v>7614</v>
      </c>
      <c r="B7675" s="137">
        <f>'Acct Summary 7-8'!C67</f>
        <v>0</v>
      </c>
      <c r="D7675" s="2" t="str">
        <f t="shared" si="124"/>
        <v>Error?</v>
      </c>
      <c r="E7675" s="2" t="s">
        <v>881</v>
      </c>
    </row>
    <row r="7676" spans="1:5">
      <c r="A7676">
        <v>7615</v>
      </c>
      <c r="B7676" s="137">
        <f>'Acct Summary 7-8'!D67</f>
        <v>0</v>
      </c>
      <c r="D7676" s="2" t="str">
        <f t="shared" si="124"/>
        <v>Error?</v>
      </c>
      <c r="E7676" s="2" t="s">
        <v>881</v>
      </c>
    </row>
    <row r="7677" spans="1:5">
      <c r="A7677">
        <v>7616</v>
      </c>
      <c r="B7677" s="137">
        <f>'Acct Summary 7-8'!C68</f>
        <v>0</v>
      </c>
      <c r="D7677" s="2" t="str">
        <f t="shared" si="124"/>
        <v>Error?</v>
      </c>
      <c r="E7677" s="2" t="s">
        <v>881</v>
      </c>
    </row>
    <row r="7678" spans="1:5">
      <c r="A7678">
        <v>7617</v>
      </c>
      <c r="B7678" s="137">
        <f>'Acct Summary 7-8'!D68</f>
        <v>0</v>
      </c>
      <c r="D7678" s="2" t="str">
        <f t="shared" si="124"/>
        <v>Error?</v>
      </c>
      <c r="E7678" s="2" t="s">
        <v>881</v>
      </c>
    </row>
    <row r="7679" spans="1:5">
      <c r="A7679">
        <v>7618</v>
      </c>
      <c r="B7679" s="137">
        <f>'Acct Summary 7-8'!C69</f>
        <v>0</v>
      </c>
      <c r="D7679" s="2" t="str">
        <f t="shared" ref="D7679:D7742" si="126">IF(ISBLANK(B7679),"OK",IF(A7679-B7679=0,"OK","Error?"))</f>
        <v>Error?</v>
      </c>
      <c r="E7679" s="2" t="s">
        <v>881</v>
      </c>
    </row>
    <row r="7680" spans="1:5">
      <c r="A7680">
        <v>7619</v>
      </c>
      <c r="B7680" s="137">
        <f>'Acct Summary 7-8'!D69</f>
        <v>137136</v>
      </c>
      <c r="D7680" s="2" t="str">
        <f t="shared" si="126"/>
        <v>Error?</v>
      </c>
      <c r="E7680" s="2" t="s">
        <v>881</v>
      </c>
    </row>
    <row r="7681" spans="1:5">
      <c r="A7681">
        <v>7620</v>
      </c>
      <c r="B7681" s="137">
        <f>'Acct Summary 7-8'!C71</f>
        <v>0</v>
      </c>
      <c r="D7681" s="2" t="str">
        <f t="shared" si="126"/>
        <v>Error?</v>
      </c>
      <c r="E7681" s="2" t="s">
        <v>881</v>
      </c>
    </row>
    <row r="7682" spans="1:5">
      <c r="A7682">
        <v>7621</v>
      </c>
      <c r="B7682" s="137">
        <f>'Acct Summary 7-8'!D71</f>
        <v>0</v>
      </c>
      <c r="D7682" s="2" t="str">
        <f t="shared" si="126"/>
        <v>Error?</v>
      </c>
      <c r="E7682" s="2" t="s">
        <v>881</v>
      </c>
    </row>
    <row r="7683" spans="1:5">
      <c r="A7683">
        <v>7622</v>
      </c>
      <c r="B7683" s="137">
        <f>'Acct Summary 7-8'!C72</f>
        <v>0</v>
      </c>
      <c r="D7683" s="2" t="str">
        <f t="shared" si="126"/>
        <v>Error?</v>
      </c>
      <c r="E7683" s="2" t="s">
        <v>881</v>
      </c>
    </row>
    <row r="7684" spans="1:5">
      <c r="A7684">
        <v>7623</v>
      </c>
      <c r="B7684" s="137">
        <f>'Acct Summary 7-8'!D72</f>
        <v>0</v>
      </c>
      <c r="D7684" s="2" t="str">
        <f t="shared" si="126"/>
        <v>Error?</v>
      </c>
      <c r="E7684" s="2" t="s">
        <v>881</v>
      </c>
    </row>
    <row r="7685" spans="1:5">
      <c r="A7685">
        <v>7624</v>
      </c>
      <c r="B7685" s="137">
        <f>'Acct Summary 7-8'!C73</f>
        <v>0</v>
      </c>
      <c r="D7685" s="2" t="str">
        <f t="shared" si="126"/>
        <v>Error?</v>
      </c>
      <c r="E7685" s="2" t="s">
        <v>881</v>
      </c>
    </row>
    <row r="7686" spans="1:5">
      <c r="A7686">
        <v>7625</v>
      </c>
      <c r="B7686" s="137">
        <f>'Acct Summary 7-8'!D73</f>
        <v>0</v>
      </c>
      <c r="D7686" s="2" t="str">
        <f t="shared" si="126"/>
        <v>Error?</v>
      </c>
      <c r="E7686" s="2" t="s">
        <v>881</v>
      </c>
    </row>
    <row r="7687" spans="1:5">
      <c r="A7687">
        <v>7626</v>
      </c>
      <c r="B7687" s="137">
        <f>'Revenues 9-14'!C199</f>
        <v>0</v>
      </c>
      <c r="D7687" s="2" t="str">
        <f t="shared" si="126"/>
        <v>Error?</v>
      </c>
      <c r="E7687" s="2" t="s">
        <v>881</v>
      </c>
    </row>
    <row r="7688" spans="1:5">
      <c r="A7688">
        <v>7627</v>
      </c>
      <c r="B7688" s="137">
        <f>'Expenditures 15-22'!C328</f>
        <v>0</v>
      </c>
      <c r="D7688" s="2" t="str">
        <f t="shared" si="126"/>
        <v>Error?</v>
      </c>
      <c r="E7688" s="2" t="s">
        <v>881</v>
      </c>
    </row>
    <row r="7689" spans="1:5">
      <c r="A7689">
        <v>7628</v>
      </c>
      <c r="B7689" s="137">
        <f>'Expenditures 15-22'!D328</f>
        <v>0</v>
      </c>
      <c r="D7689" s="2" t="str">
        <f t="shared" si="126"/>
        <v>Error?</v>
      </c>
      <c r="E7689" s="2" t="s">
        <v>881</v>
      </c>
    </row>
    <row r="7690" spans="1:5">
      <c r="A7690">
        <v>7629</v>
      </c>
      <c r="B7690" s="137">
        <f>'Expenditures 15-22'!E328</f>
        <v>0</v>
      </c>
      <c r="D7690" s="2" t="str">
        <f t="shared" si="126"/>
        <v>Error?</v>
      </c>
      <c r="E7690" s="2" t="s">
        <v>881</v>
      </c>
    </row>
    <row r="7691" spans="1:5">
      <c r="A7691">
        <v>7630</v>
      </c>
      <c r="B7691" s="137">
        <f>'Expenditures 15-22'!F328</f>
        <v>0</v>
      </c>
      <c r="D7691" s="2" t="str">
        <f t="shared" si="126"/>
        <v>Error?</v>
      </c>
      <c r="E7691" s="2" t="s">
        <v>881</v>
      </c>
    </row>
    <row r="7692" spans="1:5">
      <c r="A7692">
        <v>7631</v>
      </c>
      <c r="B7692" s="137">
        <f>'Expenditures 15-22'!G328</f>
        <v>0</v>
      </c>
      <c r="D7692" s="2" t="str">
        <f t="shared" si="126"/>
        <v>Error?</v>
      </c>
      <c r="E7692" s="2" t="s">
        <v>881</v>
      </c>
    </row>
    <row r="7693" spans="1:5">
      <c r="A7693">
        <v>7632</v>
      </c>
      <c r="B7693" s="137">
        <f>'Expenditures 15-22'!H328</f>
        <v>0</v>
      </c>
      <c r="D7693" s="2" t="str">
        <f t="shared" si="126"/>
        <v>Error?</v>
      </c>
      <c r="E7693" s="2" t="s">
        <v>881</v>
      </c>
    </row>
    <row r="7694" spans="1:5">
      <c r="A7694">
        <v>7633</v>
      </c>
      <c r="B7694" s="137">
        <f>'Expenditures 15-22'!I328</f>
        <v>0</v>
      </c>
      <c r="D7694" s="2" t="str">
        <f t="shared" si="126"/>
        <v>Error?</v>
      </c>
      <c r="E7694" s="2" t="s">
        <v>881</v>
      </c>
    </row>
    <row r="7695" spans="1:5">
      <c r="A7695">
        <v>7634</v>
      </c>
      <c r="B7695" s="137">
        <f>'Expenditures 15-22'!J328</f>
        <v>0</v>
      </c>
      <c r="D7695" s="2" t="str">
        <f t="shared" si="126"/>
        <v>Error?</v>
      </c>
      <c r="E7695" s="2" t="s">
        <v>881</v>
      </c>
    </row>
    <row r="7696" spans="1:5">
      <c r="A7696">
        <v>7635</v>
      </c>
      <c r="B7696" s="137">
        <f>'Expenditures 15-22'!K328</f>
        <v>0</v>
      </c>
      <c r="D7696" s="2" t="str">
        <f t="shared" si="126"/>
        <v>Error?</v>
      </c>
      <c r="E7696" s="2" t="s">
        <v>881</v>
      </c>
    </row>
    <row r="7697" spans="1:5">
      <c r="A7697">
        <v>7636</v>
      </c>
      <c r="B7697" s="137">
        <f>'Expenditures 15-22'!C329</f>
        <v>0</v>
      </c>
      <c r="D7697" s="2" t="str">
        <f t="shared" si="126"/>
        <v>Error?</v>
      </c>
      <c r="E7697" s="2" t="s">
        <v>881</v>
      </c>
    </row>
    <row r="7698" spans="1:5">
      <c r="A7698">
        <v>7637</v>
      </c>
      <c r="B7698" s="137">
        <f>'Expenditures 15-22'!D329</f>
        <v>0</v>
      </c>
      <c r="D7698" s="2" t="str">
        <f t="shared" si="126"/>
        <v>Error?</v>
      </c>
      <c r="E7698" s="2" t="s">
        <v>881</v>
      </c>
    </row>
    <row r="7699" spans="1:5">
      <c r="A7699">
        <v>7638</v>
      </c>
      <c r="B7699" s="137">
        <f>'Expenditures 15-22'!E329</f>
        <v>0</v>
      </c>
      <c r="D7699" s="2" t="str">
        <f t="shared" si="126"/>
        <v>Error?</v>
      </c>
      <c r="E7699" s="2" t="s">
        <v>881</v>
      </c>
    </row>
    <row r="7700" spans="1:5">
      <c r="A7700">
        <v>7639</v>
      </c>
      <c r="B7700" s="137">
        <f>'Expenditures 15-22'!F329</f>
        <v>0</v>
      </c>
      <c r="D7700" s="2" t="str">
        <f t="shared" si="126"/>
        <v>Error?</v>
      </c>
      <c r="E7700" s="2" t="s">
        <v>881</v>
      </c>
    </row>
    <row r="7701" spans="1:5">
      <c r="A7701">
        <v>7640</v>
      </c>
      <c r="B7701" s="137">
        <f>'Expenditures 15-22'!G329</f>
        <v>0</v>
      </c>
      <c r="D7701" s="2" t="str">
        <f t="shared" si="126"/>
        <v>Error?</v>
      </c>
      <c r="E7701" s="2" t="s">
        <v>881</v>
      </c>
    </row>
    <row r="7702" spans="1:5">
      <c r="A7702">
        <v>7641</v>
      </c>
      <c r="B7702" s="137">
        <f>'Expenditures 15-22'!H329</f>
        <v>0</v>
      </c>
      <c r="D7702" s="2" t="str">
        <f t="shared" si="126"/>
        <v>Error?</v>
      </c>
      <c r="E7702" s="2" t="s">
        <v>881</v>
      </c>
    </row>
    <row r="7703" spans="1:5">
      <c r="A7703">
        <v>7642</v>
      </c>
      <c r="B7703" s="137">
        <f>'Expenditures 15-22'!I329</f>
        <v>0</v>
      </c>
      <c r="D7703" s="2" t="str">
        <f t="shared" si="126"/>
        <v>Error?</v>
      </c>
      <c r="E7703" s="2" t="s">
        <v>881</v>
      </c>
    </row>
    <row r="7704" spans="1:5">
      <c r="A7704">
        <v>7643</v>
      </c>
      <c r="B7704" s="137">
        <f>'Expenditures 15-22'!J329</f>
        <v>0</v>
      </c>
      <c r="D7704" s="2" t="str">
        <f t="shared" si="126"/>
        <v>Error?</v>
      </c>
      <c r="E7704" s="2" t="s">
        <v>881</v>
      </c>
    </row>
    <row r="7705" spans="1:5">
      <c r="A7705">
        <v>7644</v>
      </c>
      <c r="B7705" s="137">
        <f>'Expenditures 15-22'!K329</f>
        <v>0</v>
      </c>
      <c r="D7705" s="2" t="str">
        <f t="shared" si="126"/>
        <v>Error?</v>
      </c>
      <c r="E7705" s="2" t="s">
        <v>881</v>
      </c>
    </row>
    <row r="7706" spans="1:5">
      <c r="A7706">
        <v>7645</v>
      </c>
      <c r="B7706" s="137">
        <f>'Revenues 9-14'!H170</f>
        <v>0</v>
      </c>
      <c r="D7706" s="2" t="str">
        <f t="shared" si="126"/>
        <v>Error?</v>
      </c>
      <c r="E7706" s="2" t="s">
        <v>881</v>
      </c>
    </row>
    <row r="7707" spans="1:5">
      <c r="A7707">
        <v>7646</v>
      </c>
      <c r="B7707" s="137">
        <f>'Expenditures 15-22'!I64</f>
        <v>0</v>
      </c>
      <c r="D7707" s="2" t="str">
        <f t="shared" si="126"/>
        <v>Error?</v>
      </c>
      <c r="E7707" s="2" t="s">
        <v>881</v>
      </c>
    </row>
    <row r="7708" spans="1:5">
      <c r="A7708">
        <v>7647</v>
      </c>
      <c r="B7708" s="137">
        <f>'Rest Tax Levies-Tort Im 25'!J3</f>
        <v>0</v>
      </c>
      <c r="D7708" s="2" t="str">
        <f t="shared" si="126"/>
        <v>Error?</v>
      </c>
      <c r="E7708" s="2" t="s">
        <v>881</v>
      </c>
    </row>
    <row r="7709" spans="1:5">
      <c r="A7709">
        <v>7648</v>
      </c>
      <c r="B7709" s="137">
        <f>'Rest Tax Levies-Tort Im 25'!K3</f>
        <v>0</v>
      </c>
      <c r="D7709" s="2" t="str">
        <f t="shared" si="126"/>
        <v>Error?</v>
      </c>
      <c r="E7709" s="2" t="s">
        <v>881</v>
      </c>
    </row>
    <row r="7710" spans="1:5">
      <c r="A7710">
        <v>7649</v>
      </c>
      <c r="B7710" s="137">
        <f>'Rest Tax Levies-Tort Im 25'!J6</f>
        <v>0</v>
      </c>
      <c r="D7710" s="2" t="str">
        <f t="shared" si="126"/>
        <v>Error?</v>
      </c>
      <c r="E7710" s="2" t="s">
        <v>881</v>
      </c>
    </row>
    <row r="7711" spans="1:5">
      <c r="A7711">
        <v>7650</v>
      </c>
      <c r="B7711" s="137">
        <f>'Rest Tax Levies-Tort Im 25'!K6</f>
        <v>0</v>
      </c>
      <c r="D7711" s="2" t="str">
        <f t="shared" si="126"/>
        <v>Error?</v>
      </c>
      <c r="E7711" s="2" t="s">
        <v>881</v>
      </c>
    </row>
    <row r="7712" spans="1:5">
      <c r="A7712">
        <v>7651</v>
      </c>
      <c r="B7712" s="137">
        <f>'Rest Tax Levies-Tort Im 25'!K7</f>
        <v>0</v>
      </c>
      <c r="D7712" s="2" t="str">
        <f t="shared" si="126"/>
        <v>Error?</v>
      </c>
      <c r="E7712" s="2" t="s">
        <v>881</v>
      </c>
    </row>
    <row r="7713" spans="1:6">
      <c r="A7713">
        <v>7652</v>
      </c>
      <c r="B7713" s="137">
        <f>'Rest Tax Levies-Tort Im 25'!J8</f>
        <v>0</v>
      </c>
      <c r="D7713" s="2" t="str">
        <f t="shared" si="126"/>
        <v>Error?</v>
      </c>
      <c r="E7713" s="2" t="s">
        <v>881</v>
      </c>
    </row>
    <row r="7714" spans="1:6">
      <c r="A7714">
        <v>7653</v>
      </c>
      <c r="B7714" s="137">
        <f>'Rest Tax Levies-Tort Im 25'!K9</f>
        <v>125145</v>
      </c>
      <c r="D7714" s="2" t="str">
        <f t="shared" si="126"/>
        <v>Error?</v>
      </c>
      <c r="E7714" s="2" t="s">
        <v>881</v>
      </c>
    </row>
    <row r="7715" spans="1:6">
      <c r="A7715">
        <v>7654</v>
      </c>
      <c r="B7715" s="137">
        <f>'Rest Tax Levies-Tort Im 25'!J10</f>
        <v>0</v>
      </c>
      <c r="D7715" s="2" t="str">
        <f t="shared" si="126"/>
        <v>Error?</v>
      </c>
      <c r="E7715" s="2" t="s">
        <v>881</v>
      </c>
    </row>
    <row r="7716" spans="1:6">
      <c r="A7716">
        <v>7655</v>
      </c>
      <c r="B7716" s="137">
        <f>'Rest Tax Levies-Tort Im 25'!K10</f>
        <v>0</v>
      </c>
      <c r="D7716" s="2" t="str">
        <f t="shared" si="126"/>
        <v>Error?</v>
      </c>
      <c r="E7716" s="2" t="s">
        <v>881</v>
      </c>
    </row>
    <row r="7717" spans="1:6">
      <c r="A7717">
        <v>7656</v>
      </c>
      <c r="B7717" s="137">
        <f>'Rest Tax Levies-Tort Im 25'!J11</f>
        <v>0</v>
      </c>
      <c r="D7717" s="2" t="str">
        <f t="shared" si="126"/>
        <v>Error?</v>
      </c>
      <c r="E7717" s="2" t="s">
        <v>881</v>
      </c>
    </row>
    <row r="7718" spans="1:6">
      <c r="A7718">
        <v>7657</v>
      </c>
      <c r="B7718" s="137">
        <f>'Rest Tax Levies-Tort Im 25'!J12</f>
        <v>0</v>
      </c>
      <c r="D7718" s="2" t="str">
        <f t="shared" si="126"/>
        <v>Error?</v>
      </c>
      <c r="E7718" s="2" t="s">
        <v>881</v>
      </c>
    </row>
    <row r="7719" spans="1:6">
      <c r="A7719">
        <v>7658</v>
      </c>
      <c r="B7719" s="137">
        <f>'Rest Tax Levies-Tort Im 25'!K12</f>
        <v>125145</v>
      </c>
      <c r="D7719" s="2" t="str">
        <f t="shared" si="126"/>
        <v>Error?</v>
      </c>
      <c r="E7719" s="2" t="s">
        <v>881</v>
      </c>
    </row>
    <row r="7720" spans="1:6">
      <c r="A7720">
        <v>7659</v>
      </c>
      <c r="B7720" s="137">
        <f>'Rest Tax Levies-Tort Im 25'!H14</f>
        <v>3175665</v>
      </c>
      <c r="D7720" s="2" t="str">
        <f t="shared" si="126"/>
        <v>Error?</v>
      </c>
      <c r="E7720" s="2" t="s">
        <v>881</v>
      </c>
    </row>
    <row r="7721" spans="1:6">
      <c r="A7721">
        <v>7660</v>
      </c>
      <c r="B7721" s="137">
        <f>'Rest Tax Levies-Tort Im 25'!K14</f>
        <v>125145</v>
      </c>
      <c r="D7721" s="2" t="str">
        <f t="shared" si="126"/>
        <v>Error?</v>
      </c>
      <c r="E7721" s="2" t="s">
        <v>881</v>
      </c>
    </row>
    <row r="7722" spans="1:6">
      <c r="A7722">
        <v>7661</v>
      </c>
      <c r="B7722" s="137">
        <f>'Rest Tax Levies-Tort Im 25'!J15</f>
        <v>0</v>
      </c>
      <c r="D7722" s="2" t="str">
        <f t="shared" si="126"/>
        <v>Error?</v>
      </c>
      <c r="E7722" s="2" t="s">
        <v>881</v>
      </c>
    </row>
    <row r="7723" spans="1:6">
      <c r="A7723">
        <v>7662</v>
      </c>
      <c r="B7723" s="137">
        <f>'Rest Tax Levies-Tort Im 25'!K15</f>
        <v>0</v>
      </c>
      <c r="D7723" s="2" t="str">
        <f t="shared" si="126"/>
        <v>Error?</v>
      </c>
      <c r="E7723" s="2" t="s">
        <v>881</v>
      </c>
    </row>
    <row r="7724" spans="1:6">
      <c r="A7724">
        <v>7663</v>
      </c>
      <c r="B7724" s="137">
        <f>'Rest Tax Levies-Tort Im 25'!J18</f>
        <v>0</v>
      </c>
      <c r="D7724" s="2" t="str">
        <f t="shared" si="126"/>
        <v>Error?</v>
      </c>
      <c r="E7724" s="2" t="s">
        <v>881</v>
      </c>
      <c r="F7724" s="2"/>
    </row>
    <row r="7725" spans="1:6">
      <c r="A7725">
        <v>7664</v>
      </c>
      <c r="B7725" s="137">
        <f>'Rest Tax Levies-Tort Im 25'!J19</f>
        <v>0</v>
      </c>
      <c r="D7725" s="2" t="str">
        <f t="shared" si="126"/>
        <v>Error?</v>
      </c>
      <c r="E7725" s="2" t="s">
        <v>881</v>
      </c>
    </row>
    <row r="7726" spans="1:6">
      <c r="A7726">
        <v>7665</v>
      </c>
      <c r="B7726" s="137">
        <f>'Rest Tax Levies-Tort Im 25'!J20</f>
        <v>0</v>
      </c>
      <c r="D7726" s="2" t="str">
        <f t="shared" si="126"/>
        <v>Error?</v>
      </c>
      <c r="E7726" s="2" t="s">
        <v>881</v>
      </c>
    </row>
    <row r="7727" spans="1:6">
      <c r="A7727">
        <v>7666</v>
      </c>
      <c r="B7727" s="137">
        <f>'Rest Tax Levies-Tort Im 25'!J21</f>
        <v>0</v>
      </c>
      <c r="D7727" s="2" t="str">
        <f t="shared" si="126"/>
        <v>Error?</v>
      </c>
      <c r="E7727" s="2" t="s">
        <v>881</v>
      </c>
    </row>
    <row r="7728" spans="1:6">
      <c r="A7728">
        <v>7667</v>
      </c>
      <c r="B7728" s="137">
        <f>'Revenues 9-14'!E103</f>
        <v>0</v>
      </c>
      <c r="D7728" s="2" t="str">
        <f t="shared" si="126"/>
        <v>Error?</v>
      </c>
      <c r="E7728" s="2" t="s">
        <v>881</v>
      </c>
    </row>
    <row r="7729" spans="1:6">
      <c r="A7729">
        <v>7668</v>
      </c>
      <c r="B7729" s="137">
        <f>'Rest Tax Levies-Tort Im 25'!K22</f>
        <v>0</v>
      </c>
      <c r="D7729" s="2" t="str">
        <f t="shared" si="126"/>
        <v>Error?</v>
      </c>
      <c r="E7729" s="2" t="s">
        <v>881</v>
      </c>
    </row>
    <row r="7730" spans="1:6">
      <c r="A7730">
        <v>7669</v>
      </c>
      <c r="B7730" s="137">
        <f>'Rest Tax Levies-Tort Im 25'!J23</f>
        <v>0</v>
      </c>
      <c r="D7730" s="2" t="str">
        <f t="shared" si="126"/>
        <v>Error?</v>
      </c>
      <c r="E7730" s="2" t="s">
        <v>881</v>
      </c>
    </row>
    <row r="7731" spans="1:6">
      <c r="A7731">
        <v>7670</v>
      </c>
      <c r="B7731" s="137">
        <f>'Revenues 9-14'!H103</f>
        <v>0</v>
      </c>
      <c r="D7731" s="2" t="str">
        <f t="shared" si="126"/>
        <v>Error?</v>
      </c>
      <c r="E7731" s="2" t="s">
        <v>881</v>
      </c>
    </row>
    <row r="7732" spans="1:6">
      <c r="A7732">
        <v>7671</v>
      </c>
      <c r="B7732" s="137">
        <f>'Rest Tax Levies-Tort Im 25'!J24</f>
        <v>0</v>
      </c>
      <c r="D7732" s="2" t="str">
        <f t="shared" si="126"/>
        <v>Error?</v>
      </c>
      <c r="E7732" s="2" t="s">
        <v>881</v>
      </c>
    </row>
    <row r="7733" spans="1:6">
      <c r="A7733">
        <v>7672</v>
      </c>
      <c r="B7733" s="137">
        <f>'Rest Tax Levies-Tort Im 25'!K24</f>
        <v>0</v>
      </c>
      <c r="D7733" s="2" t="str">
        <f t="shared" si="126"/>
        <v>Error?</v>
      </c>
      <c r="E7733" s="2" t="s">
        <v>881</v>
      </c>
    </row>
    <row r="7734" spans="1:6">
      <c r="A7734">
        <v>7673</v>
      </c>
      <c r="B7734" s="137">
        <f>'Rest Tax Levies-Tort Im 25'!G25</f>
        <v>0</v>
      </c>
      <c r="D7734" s="2" t="str">
        <f t="shared" si="126"/>
        <v>Error?</v>
      </c>
      <c r="E7734" s="2" t="s">
        <v>881</v>
      </c>
    </row>
    <row r="7735" spans="1:6">
      <c r="A7735">
        <v>7674</v>
      </c>
      <c r="B7735" s="137">
        <f>'Rest Tax Levies-Tort Im 25'!H25</f>
        <v>0</v>
      </c>
      <c r="D7735" s="2" t="str">
        <f t="shared" si="126"/>
        <v>Error?</v>
      </c>
      <c r="E7735" s="2" t="s">
        <v>881</v>
      </c>
    </row>
    <row r="7736" spans="1:6">
      <c r="A7736">
        <v>7675</v>
      </c>
      <c r="B7736" s="137">
        <f>'Rest Tax Levies-Tort Im 25'!I25</f>
        <v>0</v>
      </c>
      <c r="D7736" s="2" t="str">
        <f t="shared" si="126"/>
        <v>Error?</v>
      </c>
      <c r="E7736" s="2" t="s">
        <v>881</v>
      </c>
    </row>
    <row r="7737" spans="1:6">
      <c r="A7737">
        <v>7676</v>
      </c>
      <c r="B7737" s="137">
        <f>'Rest Tax Levies-Tort Im 25'!J25</f>
        <v>0</v>
      </c>
      <c r="D7737" s="2" t="str">
        <f t="shared" si="126"/>
        <v>Error?</v>
      </c>
      <c r="E7737" s="2" t="s">
        <v>881</v>
      </c>
    </row>
    <row r="7738" spans="1:6">
      <c r="A7738">
        <v>7677</v>
      </c>
      <c r="B7738" s="137">
        <f>'Rest Tax Levies-Tort Im 25'!K25</f>
        <v>0</v>
      </c>
      <c r="D7738" s="2" t="str">
        <f t="shared" si="126"/>
        <v>Error?</v>
      </c>
      <c r="E7738" s="2" t="s">
        <v>881</v>
      </c>
    </row>
    <row r="7739" spans="1:6">
      <c r="A7739">
        <v>7678</v>
      </c>
      <c r="B7739" s="137">
        <f>'Rest Tax Levies-Tort Im 25'!G26</f>
        <v>0</v>
      </c>
      <c r="D7739" s="2" t="str">
        <f t="shared" si="126"/>
        <v>Error?</v>
      </c>
      <c r="E7739" s="2" t="s">
        <v>881</v>
      </c>
    </row>
    <row r="7740" spans="1:6">
      <c r="A7740">
        <v>7679</v>
      </c>
      <c r="B7740" s="137">
        <f>'Rest Tax Levies-Tort Im 25'!H26</f>
        <v>0</v>
      </c>
      <c r="D7740" s="2" t="str">
        <f t="shared" si="126"/>
        <v>Error?</v>
      </c>
      <c r="E7740" s="2" t="s">
        <v>881</v>
      </c>
    </row>
    <row r="7741" spans="1:6">
      <c r="A7741">
        <v>7680</v>
      </c>
      <c r="B7741" s="137">
        <f>'Rest Tax Levies-Tort Im 25'!I26</f>
        <v>0</v>
      </c>
      <c r="D7741" s="2" t="str">
        <f t="shared" si="126"/>
        <v>Error?</v>
      </c>
      <c r="E7741" s="2" t="s">
        <v>881</v>
      </c>
    </row>
    <row r="7742" spans="1:6">
      <c r="A7742">
        <v>7681</v>
      </c>
      <c r="B7742" s="137">
        <f>'Rest Tax Levies-Tort Im 25'!J26</f>
        <v>0</v>
      </c>
      <c r="D7742" s="2" t="str">
        <f t="shared" si="126"/>
        <v>Error?</v>
      </c>
      <c r="E7742" s="2" t="s">
        <v>881</v>
      </c>
    </row>
    <row r="7743" spans="1:6">
      <c r="A7743">
        <v>7682</v>
      </c>
      <c r="B7743" s="137">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7">
        <f>'Expenditures 15-22'!H364</f>
        <v>0</v>
      </c>
      <c r="D7745" s="2" t="str">
        <f t="shared" si="127"/>
        <v>Error?</v>
      </c>
      <c r="E7745" s="2" t="s">
        <v>881</v>
      </c>
    </row>
    <row r="7746" spans="1:6">
      <c r="A7746">
        <v>7685</v>
      </c>
      <c r="B7746" s="137">
        <f>'Expenditures 15-22'!K364</f>
        <v>0</v>
      </c>
      <c r="D7746" s="2" t="str">
        <f t="shared" si="127"/>
        <v>Error?</v>
      </c>
      <c r="E7746" s="2" t="s">
        <v>881</v>
      </c>
    </row>
    <row r="7747" spans="1:6">
      <c r="A7747">
        <v>7686</v>
      </c>
      <c r="B7747" s="137">
        <f>'Revenues 9-14'!E273</f>
        <v>0</v>
      </c>
      <c r="D7747" s="2" t="str">
        <f t="shared" si="127"/>
        <v>Error?</v>
      </c>
      <c r="E7747" s="2" t="s">
        <v>881</v>
      </c>
      <c r="F7747" s="2" t="s">
        <v>882</v>
      </c>
    </row>
    <row r="7748" spans="1:6">
      <c r="A7748">
        <v>7687</v>
      </c>
      <c r="B7748" s="137">
        <f>'Acct Summary 7-8'!C25</f>
        <v>0</v>
      </c>
      <c r="D7748" s="2" t="str">
        <f t="shared" si="127"/>
        <v>Error?</v>
      </c>
      <c r="E7748" s="4" t="s">
        <v>1400</v>
      </c>
    </row>
    <row r="7749" spans="1:6">
      <c r="A7749">
        <v>7688</v>
      </c>
      <c r="B7749" s="137">
        <f>'Acct Summary 7-8'!D25</f>
        <v>0</v>
      </c>
      <c r="D7749" s="2" t="str">
        <f t="shared" si="127"/>
        <v>Error?</v>
      </c>
      <c r="E7749" s="4" t="s">
        <v>1400</v>
      </c>
    </row>
    <row r="7750" spans="1:6">
      <c r="A7750">
        <v>7689</v>
      </c>
      <c r="B7750" s="137">
        <f>'Acct Summary 7-8'!E25</f>
        <v>0</v>
      </c>
      <c r="D7750" s="2" t="str">
        <f t="shared" si="127"/>
        <v>Error?</v>
      </c>
      <c r="E7750" s="4" t="s">
        <v>1400</v>
      </c>
    </row>
    <row r="7751" spans="1:6">
      <c r="A7751">
        <v>7690</v>
      </c>
      <c r="B7751" s="137">
        <f>'Acct Summary 7-8'!F25</f>
        <v>0</v>
      </c>
      <c r="D7751" s="2" t="str">
        <f t="shared" si="127"/>
        <v>Error?</v>
      </c>
      <c r="E7751" s="4" t="s">
        <v>1400</v>
      </c>
    </row>
    <row r="7752" spans="1:6">
      <c r="A7752">
        <v>7691</v>
      </c>
      <c r="B7752" s="137">
        <f>'Acct Summary 7-8'!G25</f>
        <v>0</v>
      </c>
      <c r="D7752" s="2" t="str">
        <f t="shared" si="127"/>
        <v>Error?</v>
      </c>
      <c r="E7752" s="4" t="s">
        <v>1400</v>
      </c>
    </row>
    <row r="7753" spans="1:6">
      <c r="A7753">
        <v>7692</v>
      </c>
      <c r="B7753" s="137">
        <f>'Acct Summary 7-8'!H25</f>
        <v>0</v>
      </c>
      <c r="D7753" s="2" t="str">
        <f t="shared" si="127"/>
        <v>Error?</v>
      </c>
      <c r="E7753" s="4" t="s">
        <v>1400</v>
      </c>
    </row>
    <row r="7754" spans="1:6">
      <c r="A7754">
        <v>7693</v>
      </c>
      <c r="B7754" s="137">
        <f>'Acct Summary 7-8'!J25</f>
        <v>0</v>
      </c>
      <c r="D7754" s="2" t="str">
        <f t="shared" si="127"/>
        <v>Error?</v>
      </c>
      <c r="E7754" s="4" t="s">
        <v>1400</v>
      </c>
    </row>
    <row r="7755" spans="1:6">
      <c r="A7755">
        <v>7694</v>
      </c>
      <c r="B7755" s="137">
        <f>'Acct Summary 7-8'!K25</f>
        <v>0</v>
      </c>
      <c r="D7755" s="2" t="str">
        <f t="shared" si="127"/>
        <v>Error?</v>
      </c>
      <c r="E7755" s="4" t="s">
        <v>1400</v>
      </c>
    </row>
    <row r="7756" spans="1:6">
      <c r="A7756">
        <v>7695</v>
      </c>
      <c r="B7756" s="137">
        <f>'Aud Quest 2'!E85</f>
        <v>0</v>
      </c>
      <c r="D7756" s="2" t="str">
        <f t="shared" si="127"/>
        <v>Error?</v>
      </c>
      <c r="E7756" s="4" t="s">
        <v>1400</v>
      </c>
      <c r="F7756" t="s">
        <v>1520</v>
      </c>
    </row>
    <row r="7757" spans="1:6">
      <c r="A7757">
        <v>7696</v>
      </c>
      <c r="B7757" s="137">
        <f>'Aud Quest 2'!E87</f>
        <v>0</v>
      </c>
      <c r="D7757" s="2" t="str">
        <f t="shared" si="127"/>
        <v>Error?</v>
      </c>
      <c r="E7757" s="4" t="s">
        <v>1400</v>
      </c>
      <c r="F7757" t="s">
        <v>1520</v>
      </c>
    </row>
    <row r="7758" spans="1:6">
      <c r="A7758">
        <v>7697</v>
      </c>
      <c r="B7758" s="137">
        <f>'Aud Quest 2'!J85</f>
        <v>0</v>
      </c>
      <c r="D7758" s="2" t="str">
        <f t="shared" si="127"/>
        <v>Error?</v>
      </c>
      <c r="E7758" s="4" t="s">
        <v>1400</v>
      </c>
    </row>
    <row r="7759" spans="1:6">
      <c r="A7759">
        <v>7698</v>
      </c>
      <c r="B7759" s="137">
        <f>'Aud Quest 2'!J88</f>
        <v>0</v>
      </c>
      <c r="D7759" s="2" t="str">
        <f t="shared" si="127"/>
        <v>Error?</v>
      </c>
      <c r="E7759" s="4" t="s">
        <v>1400</v>
      </c>
    </row>
    <row r="7760" spans="1:6">
      <c r="A7760">
        <v>7699</v>
      </c>
      <c r="B7760" s="137">
        <f>'Aud Quest 2'!J90</f>
        <v>0</v>
      </c>
      <c r="D7760" s="2" t="str">
        <f t="shared" si="127"/>
        <v>Error?</v>
      </c>
      <c r="E7760" s="4" t="s">
        <v>1400</v>
      </c>
    </row>
    <row r="7761" spans="1:5">
      <c r="A7761">
        <v>7700</v>
      </c>
      <c r="B7761" s="137">
        <f>'Revenues 9-14'!C260</f>
        <v>0</v>
      </c>
      <c r="D7761" s="2" t="str">
        <f t="shared" si="127"/>
        <v>Error?</v>
      </c>
      <c r="E7761" s="4" t="s">
        <v>1494</v>
      </c>
    </row>
    <row r="7762" spans="1:5">
      <c r="A7762">
        <v>7701</v>
      </c>
      <c r="B7762" s="137">
        <f>'Expenditures 15-22'!E6</f>
        <v>0</v>
      </c>
      <c r="D7762" s="2" t="str">
        <f t="shared" si="127"/>
        <v>Error?</v>
      </c>
      <c r="E7762" s="4" t="s">
        <v>1507</v>
      </c>
    </row>
    <row r="7763" spans="1:5">
      <c r="A7763">
        <v>7702</v>
      </c>
      <c r="B7763" s="137">
        <f>'Expenditures 15-22'!K6</f>
        <v>0</v>
      </c>
      <c r="D7763" s="2" t="str">
        <f t="shared" si="127"/>
        <v>Error?</v>
      </c>
      <c r="E7763" s="4"/>
    </row>
    <row r="7764" spans="1:5">
      <c r="A7764">
        <v>7703</v>
      </c>
      <c r="B7764" s="137">
        <f>'Revenues 9-14'!F58</f>
        <v>0</v>
      </c>
      <c r="D7764" s="2" t="str">
        <f t="shared" si="127"/>
        <v>Error?</v>
      </c>
      <c r="E7764" s="4" t="s">
        <v>1535</v>
      </c>
    </row>
    <row r="7765" spans="1:5">
      <c r="A7765">
        <v>7704</v>
      </c>
      <c r="B7765" s="137">
        <f>'Revenues 9-14'!C261</f>
        <v>0</v>
      </c>
      <c r="D7765" s="2" t="str">
        <f t="shared" si="127"/>
        <v>Error?</v>
      </c>
      <c r="E7765" s="4" t="s">
        <v>1539</v>
      </c>
    </row>
    <row r="7766" spans="1:5">
      <c r="A7766">
        <v>7705</v>
      </c>
      <c r="B7766" s="137">
        <f>'Revenues 9-14'!D261</f>
        <v>0</v>
      </c>
      <c r="D7766" s="2" t="str">
        <f t="shared" si="127"/>
        <v>Error?</v>
      </c>
      <c r="E7766" s="4" t="s">
        <v>1539</v>
      </c>
    </row>
    <row r="7767" spans="1:5">
      <c r="A7767" s="128">
        <v>7706</v>
      </c>
      <c r="E7767" s="4"/>
    </row>
    <row r="7768" spans="1:5">
      <c r="A7768">
        <v>7707</v>
      </c>
      <c r="B7768" s="137">
        <f>'Revenues 9-14'!F261</f>
        <v>0</v>
      </c>
      <c r="D7768" s="2" t="str">
        <f t="shared" si="127"/>
        <v>Error?</v>
      </c>
      <c r="E7768" s="4" t="s">
        <v>1539</v>
      </c>
    </row>
    <row r="7769" spans="1:5">
      <c r="A7769">
        <v>7708</v>
      </c>
      <c r="B7769" s="137">
        <f>'Revenues 9-14'!G261</f>
        <v>0</v>
      </c>
      <c r="D7769" s="2" t="str">
        <f t="shared" si="127"/>
        <v>Error?</v>
      </c>
      <c r="E7769" s="4" t="s">
        <v>1539</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1540</v>
      </c>
    </row>
    <row r="7773" spans="1:5">
      <c r="A7773">
        <v>7712</v>
      </c>
      <c r="B7773" s="137">
        <f>'Rest Tax Levies-Tort Im 25'!J22</f>
        <v>0</v>
      </c>
      <c r="D7773" s="2" t="str">
        <f t="shared" si="127"/>
        <v>Error?</v>
      </c>
      <c r="E7773" s="4" t="s">
        <v>1634</v>
      </c>
    </row>
    <row r="7774" spans="1:5">
      <c r="A7774">
        <v>7713</v>
      </c>
      <c r="B7774" s="137">
        <f>'Expenditures 15-22'!E133</f>
        <v>0</v>
      </c>
      <c r="D7774" s="2" t="str">
        <f t="shared" si="127"/>
        <v>Error?</v>
      </c>
      <c r="E7774" s="4" t="s">
        <v>1965</v>
      </c>
    </row>
    <row r="7775" spans="1:5">
      <c r="A7775">
        <v>7714</v>
      </c>
      <c r="B7775" s="137">
        <f>'Expenditures 15-22'!H133</f>
        <v>0</v>
      </c>
      <c r="D7775" s="2" t="str">
        <f t="shared" si="127"/>
        <v>Error?</v>
      </c>
      <c r="E7775" s="4" t="s">
        <v>1965</v>
      </c>
    </row>
    <row r="7776" spans="1:5">
      <c r="A7776">
        <v>7715</v>
      </c>
      <c r="B7776" s="137">
        <f>'Expenditures 15-22'!K133</f>
        <v>0</v>
      </c>
      <c r="D7776" s="2" t="str">
        <f t="shared" si="127"/>
        <v>Error?</v>
      </c>
      <c r="E7776" s="4" t="s">
        <v>1965</v>
      </c>
    </row>
    <row r="7777" spans="1:5">
      <c r="A7777">
        <v>7716</v>
      </c>
      <c r="B7777" s="137">
        <f>'Expenditures 15-22'!H157</f>
        <v>0</v>
      </c>
      <c r="D7777" s="2" t="str">
        <f t="shared" si="127"/>
        <v>Error?</v>
      </c>
      <c r="E7777" s="4" t="s">
        <v>1965</v>
      </c>
    </row>
    <row r="7778" spans="1:5">
      <c r="A7778">
        <v>7717</v>
      </c>
      <c r="B7778" s="137">
        <f>'Expenditures 15-22'!K157</f>
        <v>0</v>
      </c>
      <c r="D7778" s="2" t="str">
        <f t="shared" si="127"/>
        <v>Error?</v>
      </c>
      <c r="E7778" s="4" t="s">
        <v>1965</v>
      </c>
    </row>
    <row r="7779" spans="1:5">
      <c r="A7779">
        <v>7718</v>
      </c>
      <c r="B7779" s="137">
        <f>'Expenditures 15-22'!H158</f>
        <v>0</v>
      </c>
      <c r="D7779" s="2" t="str">
        <f t="shared" si="127"/>
        <v>Error?</v>
      </c>
      <c r="E7779" s="4" t="s">
        <v>1965</v>
      </c>
    </row>
    <row r="7780" spans="1:5">
      <c r="A7780">
        <v>7719</v>
      </c>
      <c r="B7780" s="137">
        <f>'Expenditures 15-22'!K158</f>
        <v>0</v>
      </c>
      <c r="D7780" s="2" t="str">
        <f t="shared" si="127"/>
        <v>Error?</v>
      </c>
      <c r="E7780" s="4" t="s">
        <v>1965</v>
      </c>
    </row>
    <row r="7781" spans="1:5">
      <c r="A7781">
        <v>7720</v>
      </c>
      <c r="B7781" s="137">
        <f>'Expenditures 15-22'!H159</f>
        <v>0</v>
      </c>
      <c r="D7781" s="2" t="str">
        <f t="shared" si="127"/>
        <v>Error?</v>
      </c>
      <c r="E7781" s="4" t="s">
        <v>1965</v>
      </c>
    </row>
    <row r="7782" spans="1:5">
      <c r="A7782">
        <v>7721</v>
      </c>
      <c r="B7782" s="137">
        <f>'Expenditures 15-22'!K159</f>
        <v>0</v>
      </c>
      <c r="D7782" s="2" t="str">
        <f t="shared" si="127"/>
        <v>Error?</v>
      </c>
      <c r="E7782" s="4" t="s">
        <v>1965</v>
      </c>
    </row>
    <row r="7783" spans="1:5">
      <c r="A7783">
        <v>7722</v>
      </c>
      <c r="B7783" s="137">
        <f>'Expenditures 15-22'!D282</f>
        <v>0</v>
      </c>
      <c r="D7783" s="2" t="str">
        <f t="shared" si="127"/>
        <v>Error?</v>
      </c>
      <c r="E7783" s="4" t="s">
        <v>1965</v>
      </c>
    </row>
    <row r="7784" spans="1:5">
      <c r="A7784">
        <v>7723</v>
      </c>
      <c r="B7784" s="137">
        <f>'Expenditures 15-22'!K282</f>
        <v>0</v>
      </c>
      <c r="D7784" s="2" t="str">
        <f t="shared" si="127"/>
        <v>Error?</v>
      </c>
      <c r="E7784" s="4" t="s">
        <v>1965</v>
      </c>
    </row>
    <row r="7785" spans="1:5">
      <c r="A7785">
        <v>7724</v>
      </c>
      <c r="B7785" s="137">
        <f>'Expenditures 15-22'!H332</f>
        <v>0</v>
      </c>
      <c r="D7785" s="2" t="str">
        <f t="shared" si="127"/>
        <v>Error?</v>
      </c>
      <c r="E7785" s="4" t="s">
        <v>1965</v>
      </c>
    </row>
    <row r="7786" spans="1:5">
      <c r="A7786">
        <v>7725</v>
      </c>
      <c r="B7786" s="137">
        <f>'Expenditures 15-22'!K332</f>
        <v>0</v>
      </c>
      <c r="D7786" s="2" t="str">
        <f t="shared" si="127"/>
        <v>Error?</v>
      </c>
      <c r="E7786" s="4" t="s">
        <v>1965</v>
      </c>
    </row>
    <row r="7787" spans="1:5">
      <c r="A7787">
        <v>7726</v>
      </c>
      <c r="B7787" s="137">
        <f>'Expenditures 15-22'!H333</f>
        <v>0</v>
      </c>
      <c r="D7787" s="2" t="str">
        <f t="shared" si="127"/>
        <v>Error?</v>
      </c>
      <c r="E7787" s="4" t="s">
        <v>1965</v>
      </c>
    </row>
    <row r="7788" spans="1:5">
      <c r="A7788">
        <v>7727</v>
      </c>
      <c r="B7788" s="137">
        <f>'Expenditures 15-22'!K333</f>
        <v>0</v>
      </c>
      <c r="D7788" s="2" t="str">
        <f t="shared" si="127"/>
        <v>Error?</v>
      </c>
      <c r="E7788" s="4" t="s">
        <v>1965</v>
      </c>
    </row>
    <row r="7789" spans="1:5">
      <c r="A7789">
        <v>7728</v>
      </c>
      <c r="B7789" s="137">
        <f>'Expenditures 15-22'!H334</f>
        <v>0</v>
      </c>
      <c r="D7789" s="2" t="str">
        <f t="shared" si="127"/>
        <v>Error?</v>
      </c>
      <c r="E7789" s="4" t="s">
        <v>1965</v>
      </c>
    </row>
    <row r="7790" spans="1:5">
      <c r="A7790">
        <v>7729</v>
      </c>
      <c r="B7790" s="137">
        <f>'Expenditures 15-22'!K334</f>
        <v>0</v>
      </c>
      <c r="D7790" s="2" t="str">
        <f t="shared" si="127"/>
        <v>Error?</v>
      </c>
      <c r="E7790" s="4" t="s">
        <v>1965</v>
      </c>
    </row>
    <row r="7791" spans="1:5">
      <c r="A7791">
        <v>7730</v>
      </c>
      <c r="B7791" s="137">
        <f>'Expenditures 15-22'!H354</f>
        <v>0</v>
      </c>
      <c r="D7791" s="2" t="str">
        <f t="shared" si="127"/>
        <v>Error?</v>
      </c>
      <c r="E7791" s="4" t="s">
        <v>1965</v>
      </c>
    </row>
    <row r="7792" spans="1:5">
      <c r="A7792">
        <v>7731</v>
      </c>
      <c r="B7792" s="137">
        <f>'Expenditures 15-22'!K354</f>
        <v>0</v>
      </c>
      <c r="D7792" s="2" t="str">
        <f t="shared" si="127"/>
        <v>Error?</v>
      </c>
      <c r="E7792" s="4" t="s">
        <v>1965</v>
      </c>
    </row>
    <row r="7793" spans="1:5">
      <c r="A7793">
        <v>7732</v>
      </c>
      <c r="B7793" s="137">
        <f>'Expenditures 15-22'!H355</f>
        <v>0</v>
      </c>
      <c r="D7793" s="2" t="str">
        <f t="shared" si="127"/>
        <v>Error?</v>
      </c>
      <c r="E7793" s="4" t="s">
        <v>1965</v>
      </c>
    </row>
    <row r="7794" spans="1:5">
      <c r="A7794">
        <v>7733</v>
      </c>
      <c r="B7794" s="137">
        <f>'Expenditures 15-22'!K355</f>
        <v>0</v>
      </c>
      <c r="D7794" s="2" t="str">
        <f t="shared" si="127"/>
        <v>Error?</v>
      </c>
      <c r="E7794" s="4" t="s">
        <v>1965</v>
      </c>
    </row>
    <row r="7795" spans="1:5">
      <c r="A7795">
        <v>7734</v>
      </c>
      <c r="B7795" s="137">
        <f>'Expenditures 15-22'!E138</f>
        <v>0</v>
      </c>
      <c r="D7795" s="2" t="str">
        <f t="shared" si="127"/>
        <v>Error?</v>
      </c>
      <c r="E7795" s="4" t="s">
        <v>1965</v>
      </c>
    </row>
    <row r="7796" spans="1:5">
      <c r="A7796">
        <v>7735</v>
      </c>
      <c r="B7796" s="137">
        <f>'Acct Summary 7-8'!J15</f>
        <v>0</v>
      </c>
      <c r="D7796" s="2" t="str">
        <f t="shared" si="127"/>
        <v>Error?</v>
      </c>
      <c r="E7796" s="4" t="s">
        <v>1965</v>
      </c>
    </row>
    <row r="7797" spans="1:5">
      <c r="A7797">
        <v>7736</v>
      </c>
      <c r="B7797" s="137">
        <f>'Contracts Paid in CY 29'!D141</f>
        <v>5888908</v>
      </c>
      <c r="D7797" s="2" t="str">
        <f t="shared" si="127"/>
        <v>Error?</v>
      </c>
      <c r="E7797" s="4" t="s">
        <v>2018</v>
      </c>
    </row>
    <row r="7798" spans="1:5">
      <c r="A7798">
        <v>7737</v>
      </c>
      <c r="B7798" s="137">
        <f>'Contracts Paid in CY 29'!F141</f>
        <v>650000</v>
      </c>
      <c r="D7798" s="2" t="str">
        <f t="shared" si="127"/>
        <v>Error?</v>
      </c>
      <c r="E7798" s="4" t="s">
        <v>2018</v>
      </c>
    </row>
    <row r="7799" spans="1:5">
      <c r="A7799">
        <v>7738</v>
      </c>
      <c r="B7799" s="137">
        <f>'Contracts Paid in CY 29'!G141</f>
        <v>5238908</v>
      </c>
      <c r="D7799" s="2" t="str">
        <f t="shared" si="127"/>
        <v>Error?</v>
      </c>
      <c r="E7799" s="4" t="s">
        <v>2018</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Normal="110" zoomScaleSheetLayoutView="100" workbookViewId="0">
      <selection activeCell="D29" sqref="D29"/>
    </sheetView>
  </sheetViews>
  <sheetFormatPr defaultColWidth="9.140625" defaultRowHeight="12.75"/>
  <cols>
    <col min="1" max="1" width="7.85546875" style="1151" customWidth="1"/>
    <col min="2" max="2" width="2.28515625" style="1147" customWidth="1"/>
    <col min="3" max="3" width="9.140625" style="1151"/>
    <col min="4" max="4" width="13" style="1151" customWidth="1"/>
    <col min="5" max="5" width="16" style="1151" customWidth="1"/>
    <col min="6" max="6" width="4.140625" style="1151" customWidth="1"/>
    <col min="7" max="7" width="3.7109375" style="1151" customWidth="1"/>
    <col min="8" max="8" width="9.7109375" style="1151" customWidth="1"/>
    <col min="9" max="9" width="10.7109375" style="1151" customWidth="1"/>
    <col min="10" max="10" width="5" style="1151" customWidth="1"/>
    <col min="11" max="11" width="6.5703125" style="1151" customWidth="1"/>
    <col min="12" max="12" width="12.85546875" style="1151" customWidth="1"/>
    <col min="13" max="13" width="2.7109375" style="1151" customWidth="1"/>
    <col min="14" max="14" width="13.140625" style="1151" customWidth="1"/>
    <col min="15" max="15" width="7.140625" style="1151" customWidth="1"/>
    <col min="16" max="16" width="7" style="1151" customWidth="1"/>
    <col min="17" max="17" width="9.7109375" style="1151" customWidth="1"/>
    <col min="18" max="19" width="9.85546875" style="1151" customWidth="1"/>
    <col min="20" max="16384" width="9.140625" style="1151"/>
  </cols>
  <sheetData>
    <row r="1" spans="1:29">
      <c r="A1" s="1146"/>
      <c r="C1" s="1146"/>
      <c r="D1" s="1146"/>
      <c r="E1" s="1146"/>
      <c r="F1" s="1148"/>
      <c r="G1" s="1148"/>
      <c r="H1" s="1146"/>
      <c r="I1" s="1146"/>
      <c r="J1" s="1146"/>
      <c r="K1" s="1146"/>
      <c r="L1" s="1149"/>
      <c r="M1" s="1150"/>
    </row>
    <row r="2" spans="1:29" ht="13.5" customHeight="1">
      <c r="A2" s="2437" t="s">
        <v>1253</v>
      </c>
      <c r="B2" s="2437"/>
      <c r="C2" s="2437"/>
      <c r="D2" s="2437"/>
      <c r="E2" s="2437"/>
      <c r="F2" s="2437"/>
      <c r="G2" s="2437"/>
      <c r="H2" s="2437"/>
      <c r="I2" s="2437"/>
      <c r="J2" s="2437"/>
      <c r="K2" s="2437"/>
      <c r="L2" s="2437"/>
    </row>
    <row r="3" spans="1:29" ht="13.5" customHeight="1">
      <c r="A3" s="2423" t="s">
        <v>1252</v>
      </c>
      <c r="B3" s="2423"/>
      <c r="C3" s="2423"/>
      <c r="D3" s="2423"/>
      <c r="E3" s="2423"/>
      <c r="F3" s="2423"/>
      <c r="G3" s="2423"/>
      <c r="H3" s="2423"/>
      <c r="I3" s="2423"/>
      <c r="J3" s="2423"/>
      <c r="K3" s="2423"/>
      <c r="L3" s="2423"/>
    </row>
    <row r="4" spans="1:29" ht="13.5" customHeight="1">
      <c r="A4" s="2437" t="s">
        <v>1799</v>
      </c>
      <c r="B4" s="2454"/>
      <c r="C4" s="2454"/>
      <c r="D4" s="2454"/>
      <c r="E4" s="2454"/>
      <c r="F4" s="2454"/>
      <c r="G4" s="2454"/>
      <c r="H4" s="2454"/>
      <c r="I4" s="2454"/>
      <c r="J4" s="2454"/>
      <c r="K4" s="2454"/>
      <c r="L4" s="2454"/>
    </row>
    <row r="5" spans="1:29" ht="29.85" customHeight="1">
      <c r="A5" s="1152"/>
      <c r="B5" s="1153"/>
      <c r="C5" s="1152"/>
      <c r="D5" s="1152"/>
      <c r="E5" s="1152"/>
      <c r="F5" s="1152"/>
      <c r="G5" s="1152"/>
      <c r="H5" s="1152"/>
      <c r="I5" s="1152"/>
      <c r="J5" s="1152"/>
      <c r="K5" s="1152"/>
      <c r="L5" s="1152"/>
      <c r="V5" s="1154"/>
      <c r="W5" s="1154"/>
      <c r="X5" s="1154"/>
      <c r="Y5" s="1154"/>
      <c r="Z5" s="1154"/>
      <c r="AA5" s="1154"/>
      <c r="AB5" s="1154"/>
      <c r="AC5" s="1154"/>
    </row>
    <row r="6" spans="1:29" ht="13.5" customHeight="1">
      <c r="A6" s="1155" t="s">
        <v>1251</v>
      </c>
      <c r="B6" s="1156"/>
      <c r="C6" s="1157"/>
      <c r="D6" s="1157"/>
      <c r="E6" s="1158" t="s">
        <v>1250</v>
      </c>
      <c r="F6" s="1159"/>
      <c r="G6" s="1160" t="s">
        <v>1249</v>
      </c>
      <c r="H6" s="1157"/>
      <c r="I6" s="1157"/>
      <c r="J6" s="1157"/>
      <c r="K6" s="1157"/>
      <c r="L6" s="1161"/>
      <c r="V6" s="1154"/>
      <c r="W6" s="1154"/>
      <c r="X6" s="1154"/>
      <c r="Y6" s="1154"/>
      <c r="Z6" s="1154"/>
      <c r="AA6" s="1154"/>
      <c r="AB6" s="1154"/>
      <c r="AC6" s="1154"/>
    </row>
    <row r="7" spans="1:29" ht="16.5" customHeight="1">
      <c r="A7" s="2417" t="str">
        <f>COVER!A17</f>
        <v>Rich Township High School District 227</v>
      </c>
      <c r="B7" s="2418"/>
      <c r="C7" s="2418"/>
      <c r="D7" s="2455"/>
      <c r="E7" s="2456" t="str">
        <f>COVER!A13</f>
        <v>07-016-2270-17</v>
      </c>
      <c r="F7" s="2457"/>
      <c r="G7" s="2424" t="str">
        <f>COVER!T23</f>
        <v>065-046525</v>
      </c>
      <c r="H7" s="2425"/>
      <c r="I7" s="2425"/>
      <c r="J7" s="2425"/>
      <c r="K7" s="2425"/>
      <c r="L7" s="2426"/>
    </row>
    <row r="8" spans="1:29" ht="13.5" customHeight="1">
      <c r="A8" s="1155" t="s">
        <v>1597</v>
      </c>
      <c r="B8" s="1156"/>
      <c r="C8" s="1157"/>
      <c r="D8" s="1157"/>
      <c r="E8" s="1162"/>
      <c r="F8" s="1161"/>
      <c r="G8" s="1163" t="s">
        <v>1248</v>
      </c>
      <c r="H8" s="1164"/>
      <c r="I8" s="1164"/>
      <c r="J8" s="1164"/>
      <c r="K8" s="1164"/>
      <c r="L8" s="1165"/>
    </row>
    <row r="9" spans="1:29" ht="13.5" customHeight="1">
      <c r="A9" s="2427"/>
      <c r="B9" s="2428"/>
      <c r="C9" s="2428"/>
      <c r="D9" s="2428"/>
      <c r="E9" s="2428"/>
      <c r="F9" s="2429"/>
      <c r="G9" s="2430" t="str">
        <f>COVER!T13</f>
        <v>Miller, Cooper &amp; Co., Ltd.</v>
      </c>
      <c r="H9" s="2431"/>
      <c r="I9" s="2431"/>
      <c r="J9" s="2431"/>
      <c r="K9" s="2431"/>
      <c r="L9" s="2432"/>
    </row>
    <row r="10" spans="1:29" ht="13.5" customHeight="1">
      <c r="A10" s="2414" t="str">
        <f>COVER!A38</f>
        <v>Dr. Johnnie Thomas</v>
      </c>
      <c r="B10" s="2415"/>
      <c r="C10" s="2415"/>
      <c r="D10" s="2415"/>
      <c r="E10" s="2415"/>
      <c r="F10" s="2416"/>
      <c r="G10" s="2430" t="str">
        <f>COVER!T17</f>
        <v>1751 Lake Cook Road</v>
      </c>
      <c r="H10" s="2443"/>
      <c r="I10" s="2443"/>
      <c r="J10" s="2443"/>
      <c r="K10" s="2443"/>
      <c r="L10" s="2444"/>
    </row>
    <row r="11" spans="1:29" ht="13.5" customHeight="1">
      <c r="A11" s="1155" t="s">
        <v>1599</v>
      </c>
      <c r="B11" s="1156"/>
      <c r="C11" s="1157"/>
      <c r="D11" s="1162"/>
      <c r="E11" s="1157"/>
      <c r="F11" s="1161"/>
      <c r="G11" s="2430" t="str">
        <f>COVER!T19</f>
        <v>Deerfield</v>
      </c>
      <c r="H11" s="2443"/>
      <c r="I11" s="2443"/>
      <c r="J11" s="2443"/>
      <c r="K11" s="2443"/>
      <c r="L11" s="2444"/>
    </row>
    <row r="12" spans="1:29" ht="13.5" customHeight="1">
      <c r="A12" s="2448" t="s">
        <v>1598</v>
      </c>
      <c r="B12" s="2449"/>
      <c r="C12" s="2449"/>
      <c r="D12" s="2449"/>
      <c r="E12" s="2449"/>
      <c r="F12" s="2450"/>
      <c r="G12" s="2445"/>
      <c r="H12" s="2446"/>
      <c r="I12" s="2446"/>
      <c r="J12" s="2446"/>
      <c r="K12" s="2446"/>
      <c r="L12" s="2447"/>
    </row>
    <row r="13" spans="1:29" ht="13.5" customHeight="1">
      <c r="A13" s="2430"/>
      <c r="B13" s="2443"/>
      <c r="C13" s="2443"/>
      <c r="D13" s="2443"/>
      <c r="E13" s="2443"/>
      <c r="F13" s="2444"/>
      <c r="G13" s="2438" t="s">
        <v>1600</v>
      </c>
      <c r="H13" s="2439"/>
      <c r="I13" s="2451" t="str">
        <f>COVER!T25</f>
        <v>ballen@millercooper.com</v>
      </c>
      <c r="J13" s="2452"/>
      <c r="K13" s="2452"/>
      <c r="L13" s="2453"/>
    </row>
    <row r="14" spans="1:29" ht="13.5" customHeight="1">
      <c r="A14" s="2430" t="str">
        <f>COVER!A19</f>
        <v>20550 S Cicero Avenue</v>
      </c>
      <c r="B14" s="2443"/>
      <c r="C14" s="2443"/>
      <c r="D14" s="2443"/>
      <c r="E14" s="2443"/>
      <c r="F14" s="2444"/>
      <c r="G14" s="1166" t="s">
        <v>1247</v>
      </c>
      <c r="H14" s="1164"/>
      <c r="I14" s="1164"/>
      <c r="J14" s="1164"/>
      <c r="K14" s="1164"/>
      <c r="L14" s="1165"/>
    </row>
    <row r="15" spans="1:29" ht="13.5" customHeight="1">
      <c r="A15" s="2430" t="str">
        <f>COVER!A21</f>
        <v>Matteson</v>
      </c>
      <c r="B15" s="2443"/>
      <c r="C15" s="2443"/>
      <c r="D15" s="2443"/>
      <c r="E15" s="2443"/>
      <c r="F15" s="2444"/>
      <c r="G15" s="2440" t="str">
        <f>COVER!T15</f>
        <v xml:space="preserve">Betsy Allen </v>
      </c>
      <c r="H15" s="2441"/>
      <c r="I15" s="2441"/>
      <c r="J15" s="2441"/>
      <c r="K15" s="2441"/>
      <c r="L15" s="2442"/>
    </row>
    <row r="16" spans="1:29" ht="12.2" customHeight="1">
      <c r="A16" s="2420">
        <f>COVER!A25</f>
        <v>60443</v>
      </c>
      <c r="B16" s="2421"/>
      <c r="C16" s="2421"/>
      <c r="D16" s="2421"/>
      <c r="E16" s="2421"/>
      <c r="F16" s="2422"/>
      <c r="G16" s="2433"/>
      <c r="H16" s="2434"/>
      <c r="I16" s="2434"/>
      <c r="J16" s="2434"/>
      <c r="K16" s="2434"/>
      <c r="L16" s="2435"/>
    </row>
    <row r="17" spans="1:13" ht="12.2" customHeight="1">
      <c r="A17" s="2436"/>
      <c r="B17" s="2421"/>
      <c r="C17" s="2421"/>
      <c r="D17" s="2421"/>
      <c r="E17" s="2421"/>
      <c r="F17" s="2422"/>
      <c r="G17" s="1166" t="s">
        <v>1246</v>
      </c>
      <c r="H17" s="1164"/>
      <c r="I17" s="1164"/>
      <c r="J17" s="1164"/>
      <c r="K17" s="1168" t="s">
        <v>1245</v>
      </c>
      <c r="L17" s="1161"/>
      <c r="M17" s="1154"/>
    </row>
    <row r="18" spans="1:13" ht="12.2" customHeight="1">
      <c r="A18" s="2414"/>
      <c r="B18" s="2415"/>
      <c r="C18" s="2415"/>
      <c r="D18" s="2415"/>
      <c r="E18" s="2415"/>
      <c r="F18" s="2416"/>
      <c r="G18" s="2417" t="str">
        <f>COVER!T21</f>
        <v>847-205-5000</v>
      </c>
      <c r="H18" s="2418"/>
      <c r="I18" s="2418"/>
      <c r="J18" s="2418"/>
      <c r="K18" s="2417" t="str">
        <f>COVER!X21</f>
        <v>847-205-1400</v>
      </c>
      <c r="L18" s="2419"/>
    </row>
    <row r="19" spans="1:13" ht="12.2" customHeight="1">
      <c r="A19" s="1169"/>
      <c r="C19" s="1169"/>
      <c r="D19" s="1169"/>
      <c r="E19" s="1169"/>
      <c r="F19" s="1169"/>
      <c r="G19" s="1169"/>
      <c r="H19" s="1169"/>
      <c r="I19" s="1169"/>
      <c r="J19" s="1169"/>
      <c r="K19" s="1169"/>
      <c r="L19" s="1169"/>
    </row>
    <row r="20" spans="1:13" ht="12.2" customHeight="1">
      <c r="A20" s="1169"/>
      <c r="C20" s="1169"/>
      <c r="D20" s="1169"/>
      <c r="E20" s="1169"/>
      <c r="F20" s="1169"/>
      <c r="G20" s="1169"/>
      <c r="H20" s="1169"/>
      <c r="I20" s="1169"/>
      <c r="J20" s="1169" t="s">
        <v>1231</v>
      </c>
      <c r="K20" s="1147" t="s">
        <v>1231</v>
      </c>
    </row>
    <row r="21" spans="1:13" ht="12.2" customHeight="1">
      <c r="A21" s="1170" t="s">
        <v>1800</v>
      </c>
    </row>
    <row r="22" spans="1:13" ht="12.2" customHeight="1">
      <c r="A22" s="1171"/>
    </row>
    <row r="23" spans="1:13" ht="12.2" customHeight="1">
      <c r="A23" s="1171"/>
      <c r="B23" s="1172"/>
      <c r="C23" s="1173" t="s">
        <v>1244</v>
      </c>
    </row>
    <row r="24" spans="1:13" ht="10.15" customHeight="1">
      <c r="A24" s="1171"/>
      <c r="C24" s="1173" t="s">
        <v>1243</v>
      </c>
    </row>
    <row r="25" spans="1:13" ht="9" customHeight="1">
      <c r="B25" s="1174" t="s">
        <v>1231</v>
      </c>
      <c r="C25" s="1175"/>
    </row>
    <row r="26" spans="1:13" s="1169" customFormat="1" ht="12.2" customHeight="1">
      <c r="B26" s="1172"/>
      <c r="C26" s="1173" t="s">
        <v>1801</v>
      </c>
    </row>
    <row r="27" spans="1:13" s="1169" customFormat="1" ht="9" customHeight="1">
      <c r="B27" s="1174"/>
      <c r="C27" s="1173"/>
    </row>
    <row r="28" spans="1:13" s="1169" customFormat="1" ht="12.2" customHeight="1">
      <c r="A28" s="1176"/>
      <c r="B28" s="1172"/>
      <c r="C28" s="1173" t="s">
        <v>1802</v>
      </c>
    </row>
    <row r="29" spans="1:13" s="1169" customFormat="1" ht="9" customHeight="1">
      <c r="A29" s="1176"/>
      <c r="B29" s="1174"/>
      <c r="C29" s="1173"/>
    </row>
    <row r="30" spans="1:13" s="1169" customFormat="1" ht="12.2" customHeight="1">
      <c r="B30" s="1172"/>
      <c r="C30" s="1173" t="s">
        <v>1643</v>
      </c>
      <c r="D30" s="1167"/>
      <c r="E30" s="1167"/>
    </row>
    <row r="31" spans="1:13" s="1169" customFormat="1" ht="9" customHeight="1">
      <c r="B31" s="1174"/>
      <c r="C31" s="1173"/>
      <c r="D31" s="1167"/>
      <c r="E31" s="1167"/>
    </row>
    <row r="32" spans="1:13" s="1169" customFormat="1" ht="12.2" customHeight="1">
      <c r="B32" s="1172"/>
      <c r="C32" s="1173" t="s">
        <v>1644</v>
      </c>
      <c r="D32" s="1167"/>
      <c r="E32" s="1167"/>
    </row>
    <row r="33" spans="1:8" s="1169" customFormat="1" ht="10.9" customHeight="1">
      <c r="B33" s="1174"/>
      <c r="C33" s="1177" t="s">
        <v>1803</v>
      </c>
      <c r="D33" s="1167"/>
      <c r="E33" s="1167"/>
    </row>
    <row r="34" spans="1:8" ht="9" customHeight="1">
      <c r="B34" s="1174"/>
      <c r="C34" s="1177"/>
    </row>
    <row r="35" spans="1:8" s="1169" customFormat="1" ht="13.5" customHeight="1">
      <c r="B35" s="1172"/>
      <c r="C35" s="1173" t="s">
        <v>1645</v>
      </c>
    </row>
    <row r="36" spans="1:8" s="1169" customFormat="1" ht="10.9" customHeight="1">
      <c r="B36" s="1174"/>
      <c r="C36" s="1177" t="s">
        <v>1646</v>
      </c>
    </row>
    <row r="37" spans="1:8" ht="9" customHeight="1">
      <c r="B37" s="1174"/>
      <c r="C37" s="1177"/>
    </row>
    <row r="38" spans="1:8" s="1169" customFormat="1" ht="12.2" customHeight="1">
      <c r="B38" s="1172"/>
      <c r="C38" s="1173" t="s">
        <v>1647</v>
      </c>
    </row>
    <row r="39" spans="1:8" ht="9" customHeight="1">
      <c r="B39" s="1174"/>
      <c r="C39" s="1177"/>
    </row>
    <row r="40" spans="1:8" s="1169" customFormat="1" ht="13.5" customHeight="1">
      <c r="B40" s="1172"/>
      <c r="C40" s="1173" t="s">
        <v>1648</v>
      </c>
    </row>
    <row r="41" spans="1:8" ht="9" customHeight="1">
      <c r="A41" s="1178"/>
      <c r="B41" s="1174"/>
      <c r="C41" s="1177"/>
    </row>
    <row r="42" spans="1:8" s="1169" customFormat="1" ht="13.5" customHeight="1">
      <c r="B42" s="1172"/>
      <c r="C42" s="1173" t="s">
        <v>1945</v>
      </c>
      <c r="D42" s="1167"/>
      <c r="E42" s="1167"/>
      <c r="F42" s="1167"/>
      <c r="G42" s="1167"/>
      <c r="H42" s="1167"/>
    </row>
    <row r="43" spans="1:8" s="1169" customFormat="1" ht="12.95" customHeight="1">
      <c r="B43" s="1174"/>
      <c r="C43" s="1164"/>
      <c r="D43" s="1167"/>
      <c r="E43" s="1167"/>
      <c r="F43" s="1167"/>
      <c r="G43" s="1167"/>
      <c r="H43" s="1167"/>
    </row>
    <row r="44" spans="1:8" s="1169" customFormat="1" ht="13.5" customHeight="1">
      <c r="A44" s="1170" t="s">
        <v>1242</v>
      </c>
      <c r="B44" s="1174"/>
      <c r="D44" s="1167"/>
      <c r="E44" s="1167"/>
      <c r="F44" s="1167"/>
      <c r="G44" s="1167"/>
      <c r="H44" s="1167"/>
    </row>
    <row r="45" spans="1:8" ht="12" customHeight="1">
      <c r="B45" s="1174"/>
      <c r="D45" s="1179"/>
      <c r="E45" s="1179"/>
      <c r="F45" s="1179"/>
      <c r="G45" s="1179"/>
      <c r="H45" s="1179"/>
    </row>
    <row r="46" spans="1:8" s="1169" customFormat="1" ht="12.2" customHeight="1">
      <c r="B46" s="1172"/>
      <c r="C46" s="1180" t="s">
        <v>1649</v>
      </c>
      <c r="D46" s="1167"/>
      <c r="E46" s="1167"/>
      <c r="F46" s="1167"/>
      <c r="G46" s="1167"/>
      <c r="H46" s="1167"/>
    </row>
    <row r="47" spans="1:8" ht="9" customHeight="1"/>
    <row r="48" spans="1:8" ht="12.2" customHeight="1">
      <c r="B48" s="1181"/>
      <c r="C48" s="1182" t="s">
        <v>1650</v>
      </c>
    </row>
    <row r="49" spans="1:12" ht="9" customHeight="1"/>
    <row r="50" spans="1:12" ht="6" customHeight="1">
      <c r="C50" s="1182"/>
    </row>
    <row r="51" spans="1:12" ht="12.2" customHeight="1">
      <c r="A51" s="1184" t="s">
        <v>1804</v>
      </c>
    </row>
    <row r="52" spans="1:12" ht="12.2" customHeight="1">
      <c r="A52" s="1179"/>
    </row>
    <row r="53" spans="1:12" ht="12.2" customHeight="1"/>
    <row r="54" spans="1:12" ht="12.2" customHeight="1"/>
    <row r="55" spans="1:12" ht="12.2" customHeight="1"/>
    <row r="56" spans="1:12" ht="12.2" customHeight="1">
      <c r="A56" s="1183"/>
    </row>
    <row r="59" spans="1:12" ht="12.75" customHeight="1"/>
    <row r="60" spans="1:12" ht="36" customHeight="1">
      <c r="L60" s="11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60" zoomScaleNormal="125" workbookViewId="0">
      <selection activeCell="D40" sqref="D40"/>
    </sheetView>
  </sheetViews>
  <sheetFormatPr defaultColWidth="10.7109375" defaultRowHeight="11.25"/>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c r="A1" s="2458" t="str">
        <f>'Single Audit Cover'!A7</f>
        <v>Rich Township High School District 227</v>
      </c>
      <c r="B1" s="2454"/>
      <c r="C1" s="2454"/>
      <c r="D1" s="2454"/>
    </row>
    <row r="2" spans="1:11" s="1185" customFormat="1" ht="12.75">
      <c r="A2" s="2459" t="str">
        <f>'Single Audit Cover'!E7</f>
        <v>07-016-2270-17</v>
      </c>
      <c r="B2" s="2460"/>
      <c r="C2" s="2460"/>
      <c r="D2" s="2460"/>
    </row>
    <row r="3" spans="1:11" s="1185" customFormat="1" ht="12.75">
      <c r="A3" s="2458" t="s">
        <v>1593</v>
      </c>
      <c r="B3" s="2454"/>
      <c r="C3" s="2454"/>
      <c r="D3" s="2454"/>
    </row>
    <row r="4" spans="1:11" s="1185" customFormat="1" ht="4.5" customHeight="1">
      <c r="A4" s="1186"/>
      <c r="B4" s="1187"/>
      <c r="C4" s="1187"/>
      <c r="D4" s="1187"/>
    </row>
    <row r="5" spans="1:11">
      <c r="B5" s="1189" t="s">
        <v>1594</v>
      </c>
      <c r="C5" s="1190"/>
      <c r="D5" s="1191"/>
    </row>
    <row r="6" spans="1:11">
      <c r="B6" s="1189" t="s">
        <v>1287</v>
      </c>
      <c r="C6" s="1190"/>
      <c r="D6" s="1191"/>
    </row>
    <row r="7" spans="1:11">
      <c r="B7" s="1189" t="s">
        <v>1595</v>
      </c>
      <c r="C7" s="1190"/>
      <c r="D7" s="1191"/>
    </row>
    <row r="8" spans="1:11" ht="4.5" customHeight="1">
      <c r="B8" s="1189"/>
      <c r="C8" s="1190"/>
      <c r="D8" s="1191"/>
    </row>
    <row r="9" spans="1:11">
      <c r="B9" s="1193" t="s">
        <v>1286</v>
      </c>
      <c r="C9" s="1194"/>
      <c r="D9" s="1191"/>
    </row>
    <row r="10" spans="1:11" ht="4.5" customHeight="1">
      <c r="B10" s="1193"/>
      <c r="C10" s="1194"/>
      <c r="D10" s="1191"/>
    </row>
    <row r="11" spans="1:11">
      <c r="B11" s="1195"/>
      <c r="C11" s="1196">
        <v>1</v>
      </c>
      <c r="D11" s="1197" t="s">
        <v>1805</v>
      </c>
      <c r="E11" s="1198"/>
      <c r="F11" s="1198"/>
      <c r="G11" s="1198"/>
      <c r="H11" s="1198"/>
      <c r="I11" s="1198"/>
      <c r="J11" s="1198"/>
      <c r="K11" s="1198"/>
    </row>
    <row r="12" spans="1:11" ht="3" customHeight="1">
      <c r="B12" s="1199"/>
      <c r="C12" s="1196"/>
      <c r="D12" s="1197"/>
      <c r="E12" s="1198"/>
      <c r="F12" s="1198"/>
      <c r="G12" s="1198"/>
      <c r="H12" s="1198"/>
      <c r="I12" s="1198"/>
      <c r="J12" s="1198"/>
      <c r="K12" s="1198"/>
    </row>
    <row r="13" spans="1:11">
      <c r="B13" s="1195"/>
      <c r="C13" s="1196">
        <f>C11+1</f>
        <v>2</v>
      </c>
      <c r="D13" s="1200" t="s">
        <v>1806</v>
      </c>
      <c r="E13" s="1198"/>
      <c r="F13" s="1198"/>
      <c r="G13" s="1198"/>
      <c r="H13" s="1198"/>
      <c r="I13" s="1198"/>
      <c r="J13" s="1198"/>
      <c r="K13" s="1198"/>
    </row>
    <row r="14" spans="1:11" ht="3" customHeight="1">
      <c r="B14" s="1199"/>
      <c r="C14" s="1196"/>
      <c r="D14" s="1200"/>
      <c r="E14" s="1198"/>
      <c r="F14" s="1198"/>
      <c r="G14" s="1198"/>
      <c r="H14" s="1198"/>
      <c r="I14" s="1198"/>
      <c r="J14" s="1198"/>
      <c r="K14" s="1198"/>
    </row>
    <row r="15" spans="1:11">
      <c r="B15" s="1195"/>
      <c r="C15" s="1196">
        <f>C13+1</f>
        <v>3</v>
      </c>
      <c r="D15" s="1197" t="s">
        <v>1807</v>
      </c>
      <c r="E15" s="1198"/>
      <c r="F15" s="1198"/>
      <c r="G15" s="1198"/>
      <c r="H15" s="1198"/>
      <c r="I15" s="1198"/>
      <c r="J15" s="1198"/>
      <c r="K15" s="1198"/>
    </row>
    <row r="16" spans="1:11" ht="10.5" customHeight="1">
      <c r="B16" s="1201"/>
      <c r="D16" s="1200" t="s">
        <v>1285</v>
      </c>
      <c r="E16" s="1198"/>
      <c r="F16" s="1198"/>
      <c r="G16" s="1198"/>
      <c r="H16" s="1198"/>
      <c r="I16" s="1198"/>
      <c r="J16" s="1198"/>
      <c r="K16" s="1198"/>
    </row>
    <row r="17" spans="1:11" ht="3" customHeight="1">
      <c r="B17" s="1201"/>
      <c r="D17" s="1200"/>
      <c r="E17" s="1198"/>
      <c r="F17" s="1198"/>
      <c r="G17" s="1198"/>
      <c r="H17" s="1198"/>
      <c r="I17" s="1198"/>
      <c r="J17" s="1198"/>
      <c r="K17" s="1198"/>
    </row>
    <row r="18" spans="1:11">
      <c r="B18" s="1195"/>
      <c r="C18" s="1196">
        <f>C15+1</f>
        <v>4</v>
      </c>
      <c r="D18" s="1203" t="s">
        <v>1808</v>
      </c>
      <c r="E18" s="1198"/>
      <c r="F18" s="1198"/>
      <c r="G18" s="1198"/>
      <c r="H18" s="1198"/>
      <c r="I18" s="1198"/>
      <c r="J18" s="1198"/>
      <c r="K18" s="1198"/>
    </row>
    <row r="19" spans="1:11" ht="9.75" customHeight="1">
      <c r="A19" s="1192"/>
      <c r="B19" s="1201"/>
      <c r="D19" s="1200" t="s">
        <v>1284</v>
      </c>
      <c r="E19" s="1198"/>
      <c r="F19" s="1198"/>
      <c r="G19" s="1198"/>
      <c r="H19" s="1198"/>
      <c r="I19" s="1198"/>
      <c r="J19" s="1198"/>
      <c r="K19" s="1198"/>
    </row>
    <row r="20" spans="1:11" ht="3" customHeight="1">
      <c r="A20" s="1192"/>
      <c r="B20" s="1201"/>
      <c r="D20" s="1200"/>
      <c r="E20" s="1198"/>
      <c r="F20" s="1198"/>
      <c r="G20" s="1198"/>
      <c r="H20" s="1198"/>
      <c r="I20" s="1198"/>
      <c r="J20" s="1198"/>
      <c r="K20" s="1198"/>
    </row>
    <row r="21" spans="1:11">
      <c r="A21" s="1192"/>
      <c r="B21" s="1195"/>
      <c r="C21" s="1196">
        <f>C18+1</f>
        <v>5</v>
      </c>
      <c r="D21" s="1200" t="s">
        <v>1283</v>
      </c>
      <c r="E21" s="1198"/>
      <c r="F21" s="1198"/>
      <c r="G21" s="1198"/>
      <c r="H21" s="1198"/>
      <c r="I21" s="1198"/>
      <c r="J21" s="1198"/>
      <c r="K21" s="1198"/>
    </row>
    <row r="22" spans="1:11" ht="10.5" customHeight="1">
      <c r="A22" s="1192"/>
      <c r="B22" s="1201"/>
      <c r="D22" s="1200" t="s">
        <v>1282</v>
      </c>
      <c r="E22" s="1198"/>
      <c r="F22" s="1198"/>
      <c r="G22" s="1198"/>
      <c r="H22" s="1198"/>
      <c r="I22" s="1198"/>
      <c r="J22" s="1198"/>
      <c r="K22" s="1198"/>
    </row>
    <row r="23" spans="1:11" ht="3" customHeight="1">
      <c r="A23" s="1192"/>
      <c r="B23" s="1201"/>
      <c r="D23" s="1200"/>
      <c r="E23" s="1198"/>
      <c r="F23" s="1198"/>
      <c r="G23" s="1198"/>
      <c r="H23" s="1198"/>
      <c r="I23" s="1198"/>
      <c r="J23" s="1198"/>
      <c r="K23" s="1198"/>
    </row>
    <row r="24" spans="1:11">
      <c r="A24" s="1192"/>
      <c r="B24" s="1195"/>
      <c r="C24" s="1196">
        <f>C21+1</f>
        <v>6</v>
      </c>
      <c r="D24" s="1204" t="s">
        <v>1829</v>
      </c>
      <c r="E24" s="1198"/>
      <c r="F24" s="1198"/>
      <c r="G24" s="1198"/>
      <c r="H24" s="1198"/>
      <c r="I24" s="1198"/>
      <c r="J24" s="1198"/>
      <c r="K24" s="1198"/>
    </row>
    <row r="25" spans="1:11">
      <c r="A25" s="1192"/>
      <c r="B25" s="1201"/>
      <c r="D25" s="1200" t="s">
        <v>1809</v>
      </c>
      <c r="E25" s="1198"/>
      <c r="F25" s="1198"/>
      <c r="G25" s="1198"/>
      <c r="H25" s="1198"/>
      <c r="I25" s="1198"/>
      <c r="J25" s="1198"/>
      <c r="K25" s="1198"/>
    </row>
    <row r="26" spans="1:11">
      <c r="A26" s="1192"/>
      <c r="B26" s="1201"/>
      <c r="D26" s="1205" t="s">
        <v>1810</v>
      </c>
      <c r="E26" s="1198"/>
      <c r="F26" s="1198"/>
      <c r="G26" s="1198"/>
      <c r="H26" s="1198"/>
      <c r="I26" s="1198"/>
      <c r="J26" s="1198"/>
      <c r="K26" s="1198"/>
    </row>
    <row r="27" spans="1:11" ht="3" customHeight="1">
      <c r="A27" s="1192"/>
      <c r="B27" s="1201"/>
      <c r="D27" s="1205"/>
      <c r="E27" s="1198"/>
      <c r="F27" s="1198"/>
      <c r="G27" s="1198"/>
      <c r="H27" s="1198"/>
      <c r="I27" s="1198"/>
      <c r="J27" s="1198"/>
      <c r="K27" s="1198"/>
    </row>
    <row r="28" spans="1:11">
      <c r="A28" s="1192"/>
      <c r="B28" s="1195"/>
      <c r="C28" s="1202">
        <f>C24+1</f>
        <v>7</v>
      </c>
      <c r="D28" s="1205" t="s">
        <v>1651</v>
      </c>
      <c r="E28" s="1198"/>
      <c r="F28" s="1198"/>
      <c r="G28" s="1198"/>
      <c r="H28" s="1198"/>
      <c r="I28" s="1198"/>
      <c r="J28" s="1198"/>
      <c r="K28" s="1198"/>
    </row>
    <row r="29" spans="1:11" ht="10.5" customHeight="1">
      <c r="A29" s="1192"/>
      <c r="D29" s="1206" t="s">
        <v>1652</v>
      </c>
    </row>
    <row r="30" spans="1:11" ht="6" customHeight="1">
      <c r="A30" s="1192"/>
      <c r="D30" s="1191"/>
    </row>
    <row r="31" spans="1:11">
      <c r="A31" s="1192"/>
      <c r="B31" s="1193" t="s">
        <v>1281</v>
      </c>
      <c r="C31" s="1194"/>
      <c r="D31" s="1191"/>
    </row>
    <row r="32" spans="1:11" ht="4.5" customHeight="1">
      <c r="A32" s="1192"/>
      <c r="B32" s="1193"/>
      <c r="C32" s="1194"/>
      <c r="D32" s="1191"/>
    </row>
    <row r="33" spans="1:5">
      <c r="A33" s="1192"/>
      <c r="B33" s="1195"/>
      <c r="C33" s="1196">
        <v>8</v>
      </c>
      <c r="D33" s="1207" t="s">
        <v>1280</v>
      </c>
    </row>
    <row r="34" spans="1:5" ht="10.5" customHeight="1">
      <c r="A34" s="1192"/>
      <c r="B34" s="1208"/>
      <c r="C34" s="1196"/>
      <c r="D34" s="1207" t="s">
        <v>1653</v>
      </c>
    </row>
    <row r="35" spans="1:5" ht="3" customHeight="1">
      <c r="A35" s="1192"/>
      <c r="B35" s="1201"/>
      <c r="D35" s="1191"/>
    </row>
    <row r="36" spans="1:5">
      <c r="A36" s="1192"/>
      <c r="B36" s="1195"/>
      <c r="C36" s="1196">
        <f>C33+1</f>
        <v>9</v>
      </c>
      <c r="D36" s="1207" t="s">
        <v>1279</v>
      </c>
    </row>
    <row r="37" spans="1:5" ht="10.5" customHeight="1">
      <c r="A37" s="1192"/>
      <c r="B37" s="1201"/>
      <c r="D37" s="1207" t="s">
        <v>1653</v>
      </c>
    </row>
    <row r="38" spans="1:5" ht="3" customHeight="1">
      <c r="A38" s="1192"/>
      <c r="B38" s="1209"/>
      <c r="C38" s="1210"/>
      <c r="D38" s="1191"/>
    </row>
    <row r="39" spans="1:5">
      <c r="A39" s="1192"/>
      <c r="B39" s="1211"/>
      <c r="C39" s="1202">
        <f>C36+1</f>
        <v>10</v>
      </c>
      <c r="D39" s="1191" t="s">
        <v>1278</v>
      </c>
    </row>
    <row r="40" spans="1:5" ht="10.5" customHeight="1">
      <c r="A40" s="1192"/>
      <c r="B40" s="1212"/>
      <c r="C40" s="1210"/>
      <c r="D40" s="1191" t="s">
        <v>1654</v>
      </c>
    </row>
    <row r="41" spans="1:5" ht="3" customHeight="1">
      <c r="A41" s="1192"/>
      <c r="B41" s="1209"/>
      <c r="C41" s="1210"/>
      <c r="D41" s="1191"/>
    </row>
    <row r="42" spans="1:5" ht="10.5" customHeight="1">
      <c r="A42" s="1192"/>
      <c r="B42" s="1211"/>
      <c r="C42" s="1202">
        <v>11</v>
      </c>
      <c r="D42" s="1213" t="s">
        <v>1655</v>
      </c>
      <c r="E42" s="311"/>
    </row>
    <row r="43" spans="1:5" ht="3" customHeight="1">
      <c r="A43" s="1192"/>
      <c r="B43" s="1209"/>
      <c r="C43" s="1210"/>
      <c r="D43" s="1191"/>
    </row>
    <row r="44" spans="1:5">
      <c r="A44" s="1192"/>
      <c r="B44" s="1195"/>
      <c r="C44" s="1196">
        <f>C42+1</f>
        <v>12</v>
      </c>
      <c r="D44" s="1207" t="s">
        <v>1277</v>
      </c>
    </row>
    <row r="45" spans="1:5" ht="10.5" customHeight="1">
      <c r="A45" s="1192"/>
      <c r="B45" s="1208"/>
      <c r="C45" s="1196"/>
      <c r="D45" s="1207" t="s">
        <v>1276</v>
      </c>
    </row>
    <row r="46" spans="1:5" ht="10.5" customHeight="1">
      <c r="A46" s="1192"/>
      <c r="B46" s="1209"/>
      <c r="C46" s="1210"/>
      <c r="D46" s="1207" t="s">
        <v>1275</v>
      </c>
    </row>
    <row r="47" spans="1:5" ht="3" customHeight="1">
      <c r="A47" s="1192"/>
      <c r="B47" s="1209"/>
      <c r="C47" s="1210"/>
      <c r="D47" s="1207"/>
    </row>
    <row r="48" spans="1:5">
      <c r="A48" s="1192"/>
      <c r="B48" s="1195"/>
      <c r="C48" s="1196">
        <f>C44+1</f>
        <v>13</v>
      </c>
      <c r="D48" s="1207" t="s">
        <v>1656</v>
      </c>
    </row>
    <row r="49" spans="1:4" ht="3" customHeight="1">
      <c r="A49" s="1192"/>
      <c r="B49" s="1199"/>
      <c r="C49" s="1196"/>
      <c r="D49" s="1207"/>
    </row>
    <row r="50" spans="1:4">
      <c r="A50" s="1192"/>
      <c r="B50" s="1195"/>
      <c r="C50" s="1196">
        <f>C48+1</f>
        <v>14</v>
      </c>
      <c r="D50" s="1207" t="s">
        <v>1274</v>
      </c>
    </row>
    <row r="51" spans="1:4" ht="3" customHeight="1">
      <c r="A51" s="1192"/>
      <c r="B51" s="1199"/>
      <c r="C51" s="1196"/>
      <c r="D51" s="1207"/>
    </row>
    <row r="52" spans="1:4">
      <c r="A52" s="1192"/>
      <c r="B52" s="1195"/>
      <c r="C52" s="1196">
        <f>C50+1</f>
        <v>15</v>
      </c>
      <c r="D52" s="1207" t="s">
        <v>1273</v>
      </c>
    </row>
    <row r="53" spans="1:4" ht="3" customHeight="1">
      <c r="A53" s="1192"/>
      <c r="B53" s="1199"/>
      <c r="C53" s="1196"/>
      <c r="D53" s="1207"/>
    </row>
    <row r="54" spans="1:4">
      <c r="A54" s="1192"/>
      <c r="B54" s="1195"/>
      <c r="C54" s="1196">
        <f>C52+1</f>
        <v>16</v>
      </c>
      <c r="D54" s="1207" t="s">
        <v>1272</v>
      </c>
    </row>
    <row r="55" spans="1:4" ht="3" customHeight="1">
      <c r="A55" s="1192"/>
      <c r="B55" s="1199"/>
      <c r="C55" s="1196"/>
      <c r="D55" s="1207"/>
    </row>
    <row r="56" spans="1:4">
      <c r="A56" s="1192"/>
      <c r="B56" s="1195"/>
      <c r="C56" s="1196">
        <f>C54+1</f>
        <v>17</v>
      </c>
      <c r="D56" s="1191" t="s">
        <v>1811</v>
      </c>
    </row>
    <row r="57" spans="1:4" ht="10.5" customHeight="1">
      <c r="A57" s="1192"/>
      <c r="D57" s="1207" t="s">
        <v>1812</v>
      </c>
    </row>
    <row r="58" spans="1:4">
      <c r="A58" s="1192"/>
      <c r="C58" s="1214"/>
      <c r="D58" s="1207" t="s">
        <v>1813</v>
      </c>
    </row>
    <row r="59" spans="1:4" ht="10.5" customHeight="1">
      <c r="A59" s="1192"/>
      <c r="D59" s="1191" t="s">
        <v>1271</v>
      </c>
    </row>
    <row r="60" spans="1:4" ht="10.5" customHeight="1">
      <c r="A60" s="1192"/>
      <c r="D60" s="1215" t="s">
        <v>1681</v>
      </c>
    </row>
    <row r="61" spans="1:4" ht="10.5" customHeight="1">
      <c r="A61" s="1192"/>
      <c r="C61" s="1214"/>
      <c r="D61" s="1207" t="s">
        <v>1814</v>
      </c>
    </row>
    <row r="62" spans="1:4" ht="10.5" customHeight="1">
      <c r="A62" s="1192"/>
      <c r="D62" s="1216" t="s">
        <v>1270</v>
      </c>
    </row>
    <row r="63" spans="1:4" ht="10.5" customHeight="1">
      <c r="A63" s="1192"/>
      <c r="D63" s="1191" t="s">
        <v>1657</v>
      </c>
    </row>
    <row r="64" spans="1:4" ht="10.5" customHeight="1">
      <c r="A64" s="1192"/>
      <c r="D64" s="1215" t="s">
        <v>1680</v>
      </c>
    </row>
    <row r="65" spans="1:4">
      <c r="A65" s="1192"/>
      <c r="C65" s="1214"/>
      <c r="D65" s="1207" t="s">
        <v>1815</v>
      </c>
    </row>
    <row r="66" spans="1:4" ht="10.5" customHeight="1">
      <c r="A66" s="1192"/>
      <c r="D66" s="1217" t="s">
        <v>1269</v>
      </c>
    </row>
    <row r="67" spans="1:4" ht="10.5" customHeight="1">
      <c r="A67" s="1192"/>
      <c r="D67" s="1191" t="s">
        <v>1658</v>
      </c>
    </row>
    <row r="68" spans="1:4" ht="10.5" customHeight="1">
      <c r="A68" s="1192"/>
      <c r="D68" s="1215" t="s">
        <v>1680</v>
      </c>
    </row>
    <row r="69" spans="1:4" ht="10.5" customHeight="1">
      <c r="A69" s="1192"/>
      <c r="C69" s="1214"/>
      <c r="D69" s="1207" t="s">
        <v>1816</v>
      </c>
    </row>
    <row r="70" spans="1:4">
      <c r="A70" s="1192"/>
      <c r="D70" s="1216" t="s">
        <v>1268</v>
      </c>
    </row>
    <row r="71" spans="1:4" ht="3" customHeight="1">
      <c r="A71" s="1192"/>
      <c r="D71" s="1191"/>
    </row>
    <row r="72" spans="1:4">
      <c r="A72" s="1192"/>
      <c r="B72" s="1195"/>
      <c r="C72" s="1196">
        <f>C56+1</f>
        <v>18</v>
      </c>
      <c r="D72" s="1217" t="s">
        <v>1817</v>
      </c>
    </row>
    <row r="73" spans="1:4" ht="3" customHeight="1">
      <c r="A73" s="1192"/>
      <c r="B73" s="1199"/>
      <c r="C73" s="1196"/>
      <c r="D73" s="1217"/>
    </row>
    <row r="74" spans="1:4">
      <c r="A74" s="1192"/>
      <c r="B74" s="1195"/>
      <c r="C74" s="1196">
        <f>C72+1</f>
        <v>19</v>
      </c>
      <c r="D74" s="1207" t="s">
        <v>1267</v>
      </c>
    </row>
    <row r="75" spans="1:4" ht="3" customHeight="1">
      <c r="A75" s="1192"/>
      <c r="B75" s="1199"/>
      <c r="C75" s="1196"/>
      <c r="D75" s="1207"/>
    </row>
    <row r="76" spans="1:4">
      <c r="A76" s="1192"/>
      <c r="B76" s="1195"/>
      <c r="C76" s="1196">
        <f>C74+1</f>
        <v>20</v>
      </c>
      <c r="D76" s="1218" t="s">
        <v>1818</v>
      </c>
    </row>
    <row r="77" spans="1:4" ht="3" customHeight="1">
      <c r="A77" s="1192"/>
      <c r="B77" s="1199"/>
      <c r="C77" s="1196"/>
      <c r="D77" s="1218"/>
    </row>
    <row r="78" spans="1:4">
      <c r="A78" s="1192"/>
      <c r="B78" s="1195"/>
      <c r="C78" s="1196">
        <f>C76+1</f>
        <v>21</v>
      </c>
      <c r="D78" s="1191" t="s">
        <v>1819</v>
      </c>
    </row>
    <row r="79" spans="1:4" ht="3" customHeight="1">
      <c r="A79" s="1192"/>
      <c r="B79" s="1199"/>
      <c r="C79" s="1196"/>
      <c r="D79" s="1191"/>
    </row>
    <row r="80" spans="1:4">
      <c r="A80" s="1192"/>
      <c r="B80" s="1195"/>
      <c r="C80" s="1196">
        <f>C78+1</f>
        <v>22</v>
      </c>
      <c r="D80" s="1219" t="s">
        <v>1820</v>
      </c>
    </row>
    <row r="81" spans="1:4" ht="3" customHeight="1">
      <c r="A81" s="1192"/>
      <c r="B81" s="1199"/>
      <c r="C81" s="1196"/>
      <c r="D81" s="1219"/>
    </row>
    <row r="82" spans="1:4">
      <c r="A82" s="1192"/>
      <c r="B82" s="1195"/>
      <c r="C82" s="1196">
        <f>C80+1</f>
        <v>23</v>
      </c>
      <c r="D82" s="1218" t="s">
        <v>1821</v>
      </c>
    </row>
    <row r="83" spans="1:4" ht="10.5" customHeight="1">
      <c r="A83" s="1192"/>
      <c r="B83" s="1201"/>
      <c r="D83" s="1207" t="s">
        <v>1266</v>
      </c>
    </row>
    <row r="84" spans="1:4" ht="3" customHeight="1">
      <c r="A84" s="1192"/>
      <c r="B84" s="1201"/>
      <c r="D84" s="1207"/>
    </row>
    <row r="85" spans="1:4">
      <c r="A85" s="1192"/>
      <c r="B85" s="1195"/>
      <c r="C85" s="1196">
        <f>C82+1</f>
        <v>24</v>
      </c>
      <c r="D85" s="1207" t="s">
        <v>1265</v>
      </c>
    </row>
    <row r="86" spans="1:4" ht="3" customHeight="1">
      <c r="A86" s="1192"/>
      <c r="B86" s="1199"/>
      <c r="C86" s="1196"/>
      <c r="D86" s="1207"/>
    </row>
    <row r="87" spans="1:4">
      <c r="A87" s="1192"/>
      <c r="B87" s="1195"/>
      <c r="C87" s="1196">
        <f>C85+1</f>
        <v>25</v>
      </c>
      <c r="D87" s="1207" t="s">
        <v>1264</v>
      </c>
    </row>
    <row r="88" spans="1:4" ht="3" customHeight="1">
      <c r="A88" s="1192"/>
      <c r="B88" s="1199"/>
      <c r="C88" s="1196"/>
      <c r="D88" s="1207"/>
    </row>
    <row r="89" spans="1:4">
      <c r="A89" s="1192"/>
      <c r="B89" s="1195"/>
      <c r="C89" s="1196">
        <f>C87+1</f>
        <v>26</v>
      </c>
      <c r="D89" s="1207" t="s">
        <v>1263</v>
      </c>
    </row>
    <row r="90" spans="1:4" ht="3" customHeight="1">
      <c r="A90" s="1192"/>
      <c r="B90" s="1199"/>
      <c r="C90" s="1196"/>
      <c r="D90" s="1207"/>
    </row>
    <row r="91" spans="1:4">
      <c r="A91" s="1192"/>
      <c r="B91" s="1195"/>
      <c r="C91" s="1196">
        <f>C89+1</f>
        <v>27</v>
      </c>
      <c r="D91" s="1207" t="s">
        <v>1822</v>
      </c>
    </row>
    <row r="92" spans="1:4">
      <c r="A92" s="1192"/>
      <c r="B92" s="1220"/>
      <c r="C92" s="1214"/>
      <c r="D92" s="1207" t="s">
        <v>1262</v>
      </c>
    </row>
    <row r="93" spans="1:4" ht="4.5" customHeight="1">
      <c r="A93" s="1192"/>
      <c r="D93" s="1191"/>
    </row>
    <row r="94" spans="1:4">
      <c r="A94" s="1192"/>
      <c r="B94" s="1193" t="s">
        <v>1659</v>
      </c>
      <c r="C94" s="1194"/>
      <c r="D94" s="1191"/>
    </row>
    <row r="95" spans="1:4" ht="4.5" customHeight="1">
      <c r="A95" s="1192"/>
      <c r="B95" s="1193"/>
      <c r="C95" s="1194"/>
      <c r="D95" s="1191"/>
    </row>
    <row r="96" spans="1:4">
      <c r="A96" s="1192"/>
      <c r="B96" s="1195"/>
      <c r="C96" s="1196">
        <f>C91+1</f>
        <v>28</v>
      </c>
      <c r="D96" s="1207" t="s">
        <v>1823</v>
      </c>
    </row>
    <row r="97" spans="1:4" ht="3" customHeight="1">
      <c r="A97" s="1192"/>
      <c r="B97" s="1199"/>
      <c r="C97" s="1196"/>
      <c r="D97" s="1207"/>
    </row>
    <row r="98" spans="1:4">
      <c r="A98" s="1192"/>
      <c r="B98" s="1195"/>
      <c r="C98" s="1196">
        <f>C96+1</f>
        <v>29</v>
      </c>
      <c r="D98" s="1221" t="s">
        <v>1824</v>
      </c>
    </row>
    <row r="99" spans="1:4" ht="3" customHeight="1">
      <c r="A99" s="1192"/>
      <c r="B99" s="1199"/>
      <c r="C99" s="1196"/>
      <c r="D99" s="1221"/>
    </row>
    <row r="100" spans="1:4">
      <c r="A100" s="1192"/>
      <c r="B100" s="1195"/>
      <c r="C100" s="1196">
        <f>C98+1</f>
        <v>30</v>
      </c>
      <c r="D100" s="1207" t="s">
        <v>1825</v>
      </c>
    </row>
    <row r="101" spans="1:4" ht="3" customHeight="1">
      <c r="A101" s="1192"/>
      <c r="B101" s="1199"/>
      <c r="C101" s="1196"/>
      <c r="D101" s="1222"/>
    </row>
    <row r="102" spans="1:4">
      <c r="A102" s="1192"/>
      <c r="B102" s="1195"/>
      <c r="C102" s="1196">
        <f>C100+1</f>
        <v>31</v>
      </c>
      <c r="D102" s="1207" t="s">
        <v>1660</v>
      </c>
    </row>
    <row r="103" spans="1:4" ht="4.5" customHeight="1">
      <c r="A103" s="1192"/>
      <c r="B103" s="311"/>
      <c r="C103" s="1196"/>
      <c r="D103" s="1207"/>
    </row>
    <row r="104" spans="1:4" ht="14.1" customHeight="1">
      <c r="A104" s="1192"/>
      <c r="B104" s="1223" t="s">
        <v>1261</v>
      </c>
    </row>
    <row r="105" spans="1:4" ht="4.5" customHeight="1">
      <c r="A105" s="1192"/>
      <c r="B105" s="1223"/>
    </row>
    <row r="106" spans="1:4">
      <c r="A106" s="1192"/>
      <c r="B106" s="1195"/>
      <c r="C106" s="1196">
        <f>C102+1</f>
        <v>32</v>
      </c>
      <c r="D106" s="1191" t="s">
        <v>1661</v>
      </c>
    </row>
    <row r="107" spans="1:4" ht="3" customHeight="1">
      <c r="A107" s="1192"/>
      <c r="B107" s="1199"/>
      <c r="C107" s="1196"/>
      <c r="D107" s="1191"/>
    </row>
    <row r="108" spans="1:4">
      <c r="A108" s="1192"/>
      <c r="B108" s="1195"/>
      <c r="C108" s="1196">
        <v>33</v>
      </c>
      <c r="D108" s="1191" t="s">
        <v>1826</v>
      </c>
    </row>
    <row r="109" spans="1:4" ht="3" customHeight="1">
      <c r="A109" s="1192"/>
      <c r="B109" s="1199"/>
      <c r="C109" s="1196"/>
      <c r="D109" s="1191"/>
    </row>
    <row r="110" spans="1:4">
      <c r="A110" s="1192"/>
      <c r="B110" s="1195"/>
      <c r="C110" s="1196">
        <f>C108+1</f>
        <v>34</v>
      </c>
      <c r="D110" s="1191" t="s">
        <v>1260</v>
      </c>
    </row>
    <row r="111" spans="1:4" ht="3" customHeight="1">
      <c r="A111" s="1192"/>
      <c r="B111" s="1199"/>
      <c r="C111" s="1196"/>
      <c r="D111" s="1191"/>
    </row>
    <row r="112" spans="1:4">
      <c r="A112" s="1192"/>
      <c r="B112" s="1195"/>
      <c r="C112" s="1196">
        <f>C110+1</f>
        <v>35</v>
      </c>
      <c r="D112" s="1191" t="s">
        <v>1259</v>
      </c>
    </row>
    <row r="113" spans="1:4" ht="11.25" customHeight="1">
      <c r="A113" s="1192"/>
      <c r="B113" s="1224"/>
      <c r="C113" s="1196"/>
      <c r="D113" s="1225" t="s">
        <v>1258</v>
      </c>
    </row>
    <row r="114" spans="1:4" ht="3" customHeight="1">
      <c r="A114" s="1192"/>
      <c r="B114" s="1226"/>
      <c r="C114" s="1196"/>
      <c r="D114" s="1225"/>
    </row>
    <row r="115" spans="1:4">
      <c r="A115" s="1192"/>
      <c r="B115" s="1195"/>
      <c r="C115" s="1196">
        <f>C112+1</f>
        <v>36</v>
      </c>
      <c r="D115" s="1207" t="s">
        <v>1257</v>
      </c>
    </row>
    <row r="116" spans="1:4" ht="3" customHeight="1">
      <c r="A116" s="1192"/>
      <c r="B116" s="1199"/>
      <c r="C116" s="1196"/>
      <c r="D116" s="1207"/>
    </row>
    <row r="117" spans="1:4">
      <c r="A117" s="1192"/>
      <c r="B117" s="1195"/>
      <c r="C117" s="1196">
        <f>C115+1</f>
        <v>37</v>
      </c>
      <c r="D117" s="1207" t="s">
        <v>1827</v>
      </c>
    </row>
    <row r="118" spans="1:4" ht="3" customHeight="1">
      <c r="A118" s="1192"/>
      <c r="B118" s="1199"/>
      <c r="C118" s="1196"/>
      <c r="D118" s="1207"/>
    </row>
    <row r="119" spans="1:4">
      <c r="A119" s="1192"/>
      <c r="B119" s="1195"/>
      <c r="C119" s="1196">
        <f>C117+1</f>
        <v>38</v>
      </c>
      <c r="D119" s="1207" t="s">
        <v>1828</v>
      </c>
    </row>
    <row r="120" spans="1:4" ht="10.5" customHeight="1">
      <c r="A120" s="1192"/>
      <c r="B120" s="1220"/>
      <c r="C120" s="1196"/>
      <c r="D120" s="1207" t="s">
        <v>1256</v>
      </c>
    </row>
    <row r="121" spans="1:4" ht="10.5" customHeight="1">
      <c r="A121" s="1192"/>
      <c r="B121" s="1220"/>
      <c r="C121" s="1196"/>
      <c r="D121" s="1207" t="s">
        <v>1255</v>
      </c>
    </row>
    <row r="122" spans="1:4" ht="3" customHeight="1">
      <c r="A122" s="1192"/>
      <c r="B122" s="1220"/>
      <c r="C122" s="1196"/>
      <c r="D122" s="1207"/>
    </row>
    <row r="123" spans="1:4">
      <c r="A123" s="1192"/>
      <c r="B123" s="1195"/>
      <c r="C123" s="1196">
        <f>C119+1</f>
        <v>39</v>
      </c>
      <c r="D123" s="1217" t="s">
        <v>1946</v>
      </c>
    </row>
    <row r="124" spans="1:4">
      <c r="A124" s="1192"/>
      <c r="B124" s="311"/>
      <c r="C124" s="1196"/>
      <c r="D124" s="1207" t="s">
        <v>1254</v>
      </c>
    </row>
    <row r="125" spans="1:4" ht="4.5" customHeight="1">
      <c r="A125" s="1192"/>
      <c r="D125" s="1191"/>
    </row>
    <row r="126" spans="1:4">
      <c r="A126" s="1192"/>
      <c r="B126" s="1227"/>
      <c r="C126" s="1196"/>
      <c r="D126" s="1207"/>
    </row>
    <row r="127" spans="1:4">
      <c r="A127" s="1192"/>
      <c r="D127" s="120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view="pageBreakPreview" zoomScaleNormal="110" zoomScaleSheetLayoutView="100" workbookViewId="0">
      <selection activeCell="D14" sqref="D14"/>
    </sheetView>
  </sheetViews>
  <sheetFormatPr defaultColWidth="15.7109375" defaultRowHeight="12.75"/>
  <cols>
    <col min="1" max="1" width="31.85546875" style="316" customWidth="1"/>
    <col min="2" max="2" width="29.5703125" style="1228" customWidth="1"/>
    <col min="3" max="3" width="1.28515625" style="1228" customWidth="1"/>
    <col min="4" max="4" width="24.42578125" style="1229" customWidth="1"/>
    <col min="5" max="5" width="5" style="316" customWidth="1"/>
    <col min="6" max="16384" width="15.7109375" style="316"/>
  </cols>
  <sheetData>
    <row r="1" spans="1:5">
      <c r="A1" s="2462" t="str">
        <f>'Single Audit Cover'!A7</f>
        <v>Rich Township High School District 227</v>
      </c>
      <c r="B1" s="2462"/>
      <c r="C1" s="2462"/>
      <c r="D1" s="2462"/>
      <c r="E1" s="2462"/>
    </row>
    <row r="2" spans="1:5">
      <c r="A2" s="2463" t="str">
        <f>'Single Audit Cover'!E7</f>
        <v>07-016-2270-17</v>
      </c>
      <c r="B2" s="2463"/>
      <c r="C2" s="2463"/>
      <c r="D2" s="2463"/>
      <c r="E2" s="2463"/>
    </row>
    <row r="3" spans="1:5" ht="4.5" customHeight="1"/>
    <row r="4" spans="1:5">
      <c r="A4" s="2462" t="s">
        <v>1307</v>
      </c>
      <c r="B4" s="2462"/>
      <c r="C4" s="2462"/>
      <c r="D4" s="2462"/>
      <c r="E4" s="2462"/>
    </row>
    <row r="5" spans="1:5">
      <c r="A5" s="2465" t="str">
        <f>'Single Audit Cover'!A4</f>
        <v>Year Ending June 30, 2018</v>
      </c>
      <c r="B5" s="2465"/>
      <c r="C5" s="2465"/>
      <c r="D5" s="2465"/>
      <c r="E5" s="2465"/>
    </row>
    <row r="6" spans="1:5">
      <c r="A6" s="2462" t="s">
        <v>1306</v>
      </c>
      <c r="B6" s="2462"/>
      <c r="C6" s="2462"/>
      <c r="D6" s="2462"/>
      <c r="E6" s="2462"/>
    </row>
    <row r="8" spans="1:5">
      <c r="A8" s="1230" t="s">
        <v>1305</v>
      </c>
    </row>
    <row r="10" spans="1:5">
      <c r="A10" s="1231" t="s">
        <v>1304</v>
      </c>
      <c r="B10" s="1232" t="s">
        <v>1303</v>
      </c>
      <c r="C10" s="1232"/>
      <c r="D10" s="1233">
        <f>SUM('Acct Summary 7-8'!C7:K7)</f>
        <v>3181895</v>
      </c>
    </row>
    <row r="11" spans="1:5" ht="18" customHeight="1">
      <c r="A11" s="1231" t="s">
        <v>1302</v>
      </c>
      <c r="B11" s="1232"/>
      <c r="C11" s="1232"/>
    </row>
    <row r="12" spans="1:5">
      <c r="A12" s="1231" t="s">
        <v>1301</v>
      </c>
      <c r="B12" s="1232" t="s">
        <v>1300</v>
      </c>
      <c r="C12" s="1232"/>
      <c r="D12" s="1234">
        <f>SUM('Revenues 9-14'!C112:D112,'Revenues 9-14'!F112:G112)</f>
        <v>0</v>
      </c>
    </row>
    <row r="13" spans="1:5">
      <c r="A13" s="1231" t="s">
        <v>1299</v>
      </c>
      <c r="B13" s="1232"/>
      <c r="C13" s="1232"/>
    </row>
    <row r="14" spans="1:5">
      <c r="A14" s="1231" t="s">
        <v>1830</v>
      </c>
      <c r="B14" s="1232"/>
      <c r="C14" s="1232"/>
      <c r="D14" s="1234">
        <f>'ICR Computation 30'!E11</f>
        <v>136085</v>
      </c>
    </row>
    <row r="15" spans="1:5">
      <c r="A15" s="1231"/>
      <c r="B15" s="1232"/>
      <c r="C15" s="1232"/>
    </row>
    <row r="16" spans="1:5">
      <c r="A16" s="1231" t="s">
        <v>1954</v>
      </c>
      <c r="B16" s="1232"/>
      <c r="C16" s="1232"/>
    </row>
    <row r="17" spans="1:4">
      <c r="A17" s="1231" t="s">
        <v>1601</v>
      </c>
      <c r="B17" s="1232" t="s">
        <v>1298</v>
      </c>
      <c r="C17" s="1232"/>
      <c r="D17" s="1234">
        <f>-SUM('Revenues 9-14'!C271:D271,'Revenues 9-14'!F271:G271)</f>
        <v>-208325</v>
      </c>
    </row>
    <row r="19" spans="1:4" ht="13.5" thickBot="1">
      <c r="A19" s="1235" t="s">
        <v>1297</v>
      </c>
      <c r="D19" s="1236">
        <f>SUM(D10:D17)</f>
        <v>3109655</v>
      </c>
    </row>
    <row r="20" spans="1:4" ht="21.75" customHeight="1" thickTop="1"/>
    <row r="21" spans="1:4">
      <c r="A21" s="1230" t="s">
        <v>1296</v>
      </c>
    </row>
    <row r="22" spans="1:4" ht="8.25" customHeight="1"/>
    <row r="23" spans="1:4">
      <c r="A23" s="1237" t="s">
        <v>1290</v>
      </c>
    </row>
    <row r="24" spans="1:4">
      <c r="A24" s="2464"/>
      <c r="B24" s="2464"/>
      <c r="D24" s="1238"/>
    </row>
    <row r="25" spans="1:4">
      <c r="A25" s="2461"/>
      <c r="B25" s="2461"/>
      <c r="D25" s="1238"/>
    </row>
    <row r="26" spans="1:4">
      <c r="A26" s="2461"/>
      <c r="B26" s="2461"/>
      <c r="D26" s="1238"/>
    </row>
    <row r="27" spans="1:4">
      <c r="A27" s="2461"/>
      <c r="B27" s="2461"/>
      <c r="D27" s="1238"/>
    </row>
    <row r="28" spans="1:4">
      <c r="A28" s="2461"/>
      <c r="B28" s="2461"/>
      <c r="D28" s="1238"/>
    </row>
    <row r="29" spans="1:4">
      <c r="A29" s="2461"/>
      <c r="B29" s="2461"/>
      <c r="D29" s="1238"/>
    </row>
    <row r="30" spans="1:4">
      <c r="A30" s="2461"/>
      <c r="B30" s="2461"/>
      <c r="D30" s="1238"/>
    </row>
    <row r="32" spans="1:4">
      <c r="A32" s="1230" t="s">
        <v>1295</v>
      </c>
      <c r="D32" s="1233">
        <f>SUM(D19:D30)</f>
        <v>3109655</v>
      </c>
    </row>
    <row r="33" spans="1:4">
      <c r="D33" s="1239"/>
    </row>
    <row r="34" spans="1:4">
      <c r="A34" s="316" t="s">
        <v>1294</v>
      </c>
    </row>
    <row r="35" spans="1:4">
      <c r="A35" s="316" t="s">
        <v>1293</v>
      </c>
      <c r="B35" s="1228" t="s">
        <v>1292</v>
      </c>
      <c r="D35" s="1240">
        <v>3109655</v>
      </c>
    </row>
    <row r="37" spans="1:4">
      <c r="A37" s="1230" t="s">
        <v>1291</v>
      </c>
    </row>
    <row r="39" spans="1:4" ht="13.35" customHeight="1">
      <c r="A39" s="1237" t="s">
        <v>1290</v>
      </c>
    </row>
    <row r="40" spans="1:4">
      <c r="A40" s="2461"/>
      <c r="B40" s="2461"/>
      <c r="D40" s="1238"/>
    </row>
    <row r="41" spans="1:4">
      <c r="A41" s="2461"/>
      <c r="B41" s="2461"/>
      <c r="D41" s="1241"/>
    </row>
    <row r="42" spans="1:4">
      <c r="A42" s="2461"/>
      <c r="B42" s="2461"/>
      <c r="D42" s="1241"/>
    </row>
    <row r="43" spans="1:4">
      <c r="A43" s="2461"/>
      <c r="B43" s="2461"/>
      <c r="D43" s="1241"/>
    </row>
    <row r="44" spans="1:4">
      <c r="A44" s="2461"/>
      <c r="B44" s="2461"/>
      <c r="D44" s="1241"/>
    </row>
    <row r="45" spans="1:4">
      <c r="A45" s="2461"/>
      <c r="B45" s="2461"/>
      <c r="D45" s="1241"/>
    </row>
    <row r="47" spans="1:4">
      <c r="B47" s="1242" t="s">
        <v>1289</v>
      </c>
      <c r="C47" s="1242"/>
      <c r="D47" s="1243">
        <f>SUM(D35:D45)</f>
        <v>3109655</v>
      </c>
    </row>
    <row r="49" spans="2:4">
      <c r="B49" s="1242" t="s">
        <v>1288</v>
      </c>
      <c r="C49" s="1242"/>
      <c r="D49" s="124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view="pageBreakPreview" topLeftCell="A17" zoomScale="115" zoomScaleNormal="120" zoomScaleSheetLayoutView="115" workbookViewId="0">
      <selection activeCell="C34" sqref="C34"/>
    </sheetView>
  </sheetViews>
  <sheetFormatPr defaultColWidth="8" defaultRowHeight="12.75"/>
  <cols>
    <col min="1" max="1" width="1.42578125" style="316" customWidth="1"/>
    <col min="2" max="2" width="53.28515625" style="316" customWidth="1"/>
    <col min="3" max="3" width="14" style="1228" customWidth="1"/>
    <col min="4" max="4" width="16.7109375" style="1228" customWidth="1"/>
    <col min="5" max="5" width="7.5703125" style="316" customWidth="1"/>
    <col min="6" max="6" width="2.7109375" style="316" customWidth="1"/>
    <col min="7" max="7" width="3.28515625" style="316" customWidth="1"/>
    <col min="8" max="16384" width="8" style="316"/>
  </cols>
  <sheetData>
    <row r="1" spans="1:7" ht="13.5" customHeight="1">
      <c r="A1" s="2467" t="str">
        <f>'Single Audit Cover'!A7</f>
        <v>Rich Township High School District 227</v>
      </c>
      <c r="B1" s="2467"/>
      <c r="C1" s="2467"/>
      <c r="D1" s="2467"/>
      <c r="E1" s="2467"/>
      <c r="F1" s="2467"/>
    </row>
    <row r="2" spans="1:7" ht="13.5" customHeight="1">
      <c r="A2" s="2468" t="str">
        <f>'Single Audit Cover'!E7</f>
        <v>07-016-2270-17</v>
      </c>
      <c r="B2" s="2468"/>
      <c r="C2" s="2468"/>
      <c r="D2" s="2468"/>
      <c r="E2" s="2468"/>
      <c r="F2" s="2468"/>
      <c r="G2" s="1245"/>
    </row>
    <row r="3" spans="1:7" ht="15.75" customHeight="1">
      <c r="A3" s="2469" t="s">
        <v>1333</v>
      </c>
      <c r="B3" s="2469"/>
      <c r="C3" s="2469"/>
      <c r="D3" s="2469"/>
      <c r="E3" s="2469"/>
      <c r="F3" s="2469"/>
    </row>
    <row r="4" spans="1:7" ht="13.5" customHeight="1">
      <c r="A4" s="2470" t="str">
        <f>'Single Audit Cover'!A4</f>
        <v>Year Ending June 30, 2018</v>
      </c>
      <c r="B4" s="2470"/>
      <c r="C4" s="2470"/>
      <c r="D4" s="2470"/>
      <c r="E4" s="2470"/>
      <c r="F4" s="2470"/>
    </row>
    <row r="5" spans="1:7" ht="8.25" customHeight="1">
      <c r="C5" s="316"/>
      <c r="D5" s="316"/>
    </row>
    <row r="6" spans="1:7" ht="13.5" customHeight="1">
      <c r="A6" s="1246" t="s">
        <v>1831</v>
      </c>
      <c r="C6" s="316"/>
      <c r="D6" s="316"/>
    </row>
    <row r="7" spans="1:7" ht="60.95" customHeight="1">
      <c r="A7" s="2466" t="s">
        <v>2209</v>
      </c>
      <c r="B7" s="2466"/>
      <c r="C7" s="2466"/>
      <c r="D7" s="2466"/>
      <c r="E7" s="2466"/>
      <c r="F7" s="2466"/>
    </row>
    <row r="8" spans="1:7" ht="12" customHeight="1">
      <c r="A8" s="1246"/>
      <c r="B8" s="1252"/>
      <c r="C8" s="1252"/>
      <c r="D8" s="1252"/>
    </row>
    <row r="9" spans="1:7" ht="15" customHeight="1">
      <c r="A9" s="1247" t="s">
        <v>1832</v>
      </c>
      <c r="B9" s="1250"/>
      <c r="C9" s="1250"/>
      <c r="D9" s="1250"/>
      <c r="E9" s="1248"/>
      <c r="F9" s="1248"/>
      <c r="G9" s="1248"/>
    </row>
    <row r="10" spans="1:7" ht="15" customHeight="1">
      <c r="A10" s="1249" t="s">
        <v>1628</v>
      </c>
      <c r="B10" s="1250"/>
      <c r="C10" s="1251"/>
      <c r="D10" s="1250" t="s">
        <v>1629</v>
      </c>
      <c r="E10" s="1251" t="s">
        <v>2081</v>
      </c>
      <c r="F10" s="1250" t="s">
        <v>101</v>
      </c>
      <c r="G10" s="1248"/>
    </row>
    <row r="11" spans="1:7" ht="12" customHeight="1">
      <c r="A11" s="1249"/>
      <c r="B11" s="1250"/>
      <c r="C11" s="1897"/>
      <c r="D11" s="1250"/>
      <c r="E11" s="1897"/>
      <c r="F11" s="1250"/>
      <c r="G11" s="1248"/>
    </row>
    <row r="12" spans="1:7">
      <c r="A12" s="1246" t="s">
        <v>1669</v>
      </c>
      <c r="C12" s="1230"/>
      <c r="D12" s="1230"/>
    </row>
    <row r="13" spans="1:7" ht="15" customHeight="1">
      <c r="A13" s="2466" t="s">
        <v>2211</v>
      </c>
      <c r="B13" s="2466"/>
      <c r="C13" s="2466"/>
      <c r="D13" s="2466"/>
      <c r="E13" s="2466"/>
      <c r="F13" s="2466"/>
    </row>
    <row r="14" spans="1:7" ht="9.75" customHeight="1">
      <c r="C14" s="1230"/>
      <c r="D14" s="1230"/>
    </row>
    <row r="15" spans="1:7" ht="13.5" customHeight="1">
      <c r="C15" s="1841" t="s">
        <v>1332</v>
      </c>
      <c r="D15" s="2472" t="s">
        <v>1331</v>
      </c>
      <c r="E15" s="2472"/>
      <c r="F15" s="2472"/>
    </row>
    <row r="16" spans="1:7" ht="13.5" customHeight="1">
      <c r="A16" s="1252"/>
      <c r="B16" s="1246" t="s">
        <v>1330</v>
      </c>
      <c r="C16" s="1841" t="s">
        <v>1329</v>
      </c>
      <c r="D16" s="2473" t="s">
        <v>1670</v>
      </c>
      <c r="E16" s="2473"/>
      <c r="F16" s="2473"/>
    </row>
    <row r="17" spans="1:6" ht="20.45" customHeight="1">
      <c r="A17" s="1253"/>
      <c r="B17" s="1254" t="s">
        <v>2210</v>
      </c>
      <c r="C17" s="1255"/>
      <c r="D17" s="2471"/>
      <c r="E17" s="2471"/>
      <c r="F17" s="2471"/>
    </row>
    <row r="18" spans="1:6" ht="20.65" customHeight="1">
      <c r="A18" s="1253"/>
      <c r="B18" s="1254"/>
      <c r="C18" s="1255"/>
      <c r="D18" s="2471"/>
      <c r="E18" s="2471"/>
      <c r="F18" s="2471"/>
    </row>
    <row r="19" spans="1:6" ht="20.65" customHeight="1">
      <c r="A19" s="1253"/>
      <c r="B19" s="1254"/>
      <c r="C19" s="1255"/>
      <c r="D19" s="2471"/>
      <c r="E19" s="2471"/>
      <c r="F19" s="2471"/>
    </row>
    <row r="20" spans="1:6" ht="20.65" customHeight="1">
      <c r="A20" s="1253"/>
      <c r="B20" s="1254"/>
      <c r="C20" s="1255"/>
      <c r="D20" s="2471"/>
      <c r="E20" s="2471"/>
      <c r="F20" s="2471"/>
    </row>
    <row r="21" spans="1:6" ht="20.65" customHeight="1">
      <c r="A21" s="1253"/>
      <c r="B21" s="1254"/>
      <c r="C21" s="1255"/>
      <c r="D21" s="2471"/>
      <c r="E21" s="2471"/>
      <c r="F21" s="2471"/>
    </row>
    <row r="22" spans="1:6" ht="20.65" customHeight="1">
      <c r="A22" s="1253"/>
      <c r="B22" s="1254"/>
      <c r="C22" s="1255"/>
      <c r="D22" s="2471"/>
      <c r="E22" s="2471"/>
      <c r="F22" s="2471"/>
    </row>
    <row r="23" spans="1:6" ht="20.65" customHeight="1">
      <c r="A23" s="1253"/>
      <c r="B23" s="1254"/>
      <c r="C23" s="1255"/>
      <c r="D23" s="2471"/>
      <c r="E23" s="2471"/>
      <c r="F23" s="2471"/>
    </row>
    <row r="24" spans="1:6" ht="20.65" customHeight="1">
      <c r="A24" s="1253"/>
      <c r="B24" s="1254"/>
      <c r="C24" s="1255"/>
      <c r="D24" s="2471"/>
      <c r="E24" s="2471"/>
      <c r="F24" s="2471"/>
    </row>
    <row r="25" spans="1:6" ht="20.65" customHeight="1">
      <c r="A25" s="1253"/>
      <c r="B25" s="1254"/>
      <c r="C25" s="1255"/>
      <c r="D25" s="2471"/>
      <c r="E25" s="2471"/>
      <c r="F25" s="2471"/>
    </row>
    <row r="26" spans="1:6" ht="20.65" customHeight="1">
      <c r="A26" s="1253"/>
      <c r="B26" s="1254"/>
      <c r="C26" s="1255"/>
      <c r="D26" s="2471"/>
      <c r="E26" s="2471"/>
      <c r="F26" s="2471"/>
    </row>
    <row r="27" spans="1:6" ht="20.65" customHeight="1">
      <c r="A27" s="1253"/>
      <c r="B27" s="1254"/>
      <c r="C27" s="1255"/>
      <c r="D27" s="2471"/>
      <c r="E27" s="2471"/>
      <c r="F27" s="2471"/>
    </row>
    <row r="28" spans="1:6" ht="20.65" customHeight="1">
      <c r="A28" s="1253"/>
      <c r="B28" s="1254"/>
      <c r="C28" s="1255"/>
      <c r="D28" s="2471"/>
      <c r="E28" s="2471"/>
      <c r="F28" s="2471"/>
    </row>
    <row r="29" spans="1:6" ht="20.65" customHeight="1">
      <c r="A29" s="1253"/>
      <c r="B29" s="1254"/>
      <c r="C29" s="1255"/>
      <c r="D29" s="2471"/>
      <c r="E29" s="2471"/>
      <c r="F29" s="2471"/>
    </row>
    <row r="30" spans="1:6" ht="12" customHeight="1">
      <c r="A30" s="327"/>
      <c r="B30" s="327"/>
      <c r="C30" s="1448"/>
      <c r="D30" s="1898"/>
      <c r="E30" s="1256"/>
    </row>
    <row r="31" spans="1:6" ht="12" customHeight="1">
      <c r="A31" s="1257" t="s">
        <v>1630</v>
      </c>
      <c r="B31" s="327"/>
      <c r="C31" s="1448"/>
      <c r="D31" s="1898"/>
      <c r="E31" s="1256"/>
    </row>
    <row r="32" spans="1:6" ht="30" customHeight="1">
      <c r="A32" s="2475" t="s">
        <v>1833</v>
      </c>
      <c r="B32" s="2475"/>
      <c r="C32" s="2475"/>
      <c r="D32" s="2475"/>
      <c r="E32" s="2475"/>
      <c r="F32" s="2475"/>
    </row>
    <row r="33" spans="1:6" ht="13.5" customHeight="1">
      <c r="A33" s="327" t="s">
        <v>1509</v>
      </c>
      <c r="B33" s="327"/>
      <c r="C33" s="1258">
        <v>136085</v>
      </c>
      <c r="D33" s="1898"/>
      <c r="E33" s="1256"/>
    </row>
    <row r="34" spans="1:6" ht="13.5" customHeight="1">
      <c r="A34" s="327" t="s">
        <v>1947</v>
      </c>
      <c r="B34" s="327"/>
      <c r="C34" s="1259">
        <v>0</v>
      </c>
      <c r="D34" s="1898" t="s">
        <v>1671</v>
      </c>
      <c r="E34" s="2476">
        <f>+C33+C34</f>
        <v>136085</v>
      </c>
      <c r="F34" s="2477"/>
    </row>
    <row r="35" spans="1:6" ht="12" customHeight="1">
      <c r="A35" s="327"/>
      <c r="B35" s="327"/>
      <c r="C35" s="1899"/>
      <c r="D35" s="1898"/>
      <c r="E35" s="1260"/>
      <c r="F35" s="1261"/>
    </row>
    <row r="36" spans="1:6" ht="13.5" customHeight="1">
      <c r="A36" s="1257" t="s">
        <v>1631</v>
      </c>
      <c r="B36" s="327"/>
      <c r="C36" s="1448"/>
      <c r="D36" s="1898"/>
      <c r="E36" s="1256"/>
    </row>
    <row r="37" spans="1:6" ht="14.25" customHeight="1">
      <c r="A37" s="327" t="s">
        <v>1563</v>
      </c>
      <c r="B37" s="327"/>
      <c r="C37" s="1900"/>
      <c r="D37" s="1898"/>
      <c r="E37" s="1256"/>
    </row>
    <row r="38" spans="1:6" ht="14.25" customHeight="1">
      <c r="A38" s="327"/>
      <c r="B38" s="327" t="s">
        <v>1510</v>
      </c>
      <c r="C38" s="1262">
        <v>0</v>
      </c>
      <c r="D38" s="1898"/>
      <c r="E38" s="1256"/>
    </row>
    <row r="39" spans="1:6" ht="14.25" customHeight="1">
      <c r="A39" s="327"/>
      <c r="B39" s="327" t="s">
        <v>1511</v>
      </c>
      <c r="C39" s="1262">
        <v>0</v>
      </c>
      <c r="D39" s="1898"/>
      <c r="E39" s="1256"/>
    </row>
    <row r="40" spans="1:6" ht="14.25" customHeight="1">
      <c r="A40" s="327"/>
      <c r="B40" s="327" t="s">
        <v>1512</v>
      </c>
      <c r="C40" s="1262">
        <v>0</v>
      </c>
      <c r="D40" s="1898"/>
      <c r="E40" s="1256"/>
    </row>
    <row r="41" spans="1:6" ht="14.25" customHeight="1">
      <c r="A41" s="327"/>
      <c r="B41" s="327" t="s">
        <v>1513</v>
      </c>
      <c r="C41" s="1262">
        <v>0</v>
      </c>
      <c r="D41" s="1898"/>
      <c r="E41" s="1256"/>
    </row>
    <row r="42" spans="1:6" ht="14.25" customHeight="1">
      <c r="A42" s="327" t="s">
        <v>1514</v>
      </c>
      <c r="B42" s="327"/>
      <c r="C42" s="1896">
        <v>0</v>
      </c>
      <c r="D42" s="1898"/>
      <c r="E42" s="1256"/>
    </row>
    <row r="43" spans="1:6" ht="14.25" customHeight="1">
      <c r="A43" s="327" t="s">
        <v>1515</v>
      </c>
      <c r="B43" s="327"/>
      <c r="C43" s="1263">
        <v>0</v>
      </c>
      <c r="D43" s="1898"/>
      <c r="E43" s="1256"/>
    </row>
    <row r="44" spans="1:6" ht="14.25" customHeight="1">
      <c r="A44" s="327"/>
      <c r="B44" s="327"/>
      <c r="C44" s="1900" t="s">
        <v>1516</v>
      </c>
      <c r="D44" s="1898"/>
      <c r="E44" s="1256"/>
    </row>
    <row r="45" spans="1:6" ht="13.5" customHeight="1">
      <c r="B45" s="321"/>
      <c r="C45" s="1264"/>
      <c r="D45" s="1264"/>
    </row>
    <row r="46" spans="1:6">
      <c r="A46" s="1265" t="s">
        <v>1834</v>
      </c>
      <c r="C46" s="316"/>
      <c r="D46" s="316"/>
    </row>
    <row r="47" spans="1:6" s="321" customFormat="1" ht="11.25" customHeight="1">
      <c r="A47" s="1266"/>
      <c r="B47" s="1267"/>
      <c r="C47" s="1267"/>
      <c r="D47" s="1267"/>
      <c r="E47" s="1267"/>
      <c r="F47" s="1267"/>
    </row>
    <row r="48" spans="1:6" s="321" customFormat="1" ht="6" customHeight="1">
      <c r="A48" s="1268"/>
    </row>
    <row r="49" spans="1:5" s="1270" customFormat="1" ht="23.25" customHeight="1">
      <c r="A49" s="1269">
        <v>5</v>
      </c>
      <c r="B49" s="2478" t="s">
        <v>1672</v>
      </c>
      <c r="C49" s="2478"/>
      <c r="D49" s="2478"/>
      <c r="E49" s="1369"/>
    </row>
    <row r="50" spans="1:5" s="1270" customFormat="1" ht="3.75" customHeight="1">
      <c r="A50" s="1269"/>
      <c r="B50" s="1840"/>
      <c r="C50" s="1840"/>
      <c r="D50" s="1840"/>
      <c r="E50" s="1369"/>
    </row>
    <row r="51" spans="1:5" s="1270" customFormat="1" ht="20.25" customHeight="1">
      <c r="A51" s="1271">
        <v>6</v>
      </c>
      <c r="B51" s="2474" t="s">
        <v>1632</v>
      </c>
      <c r="C51" s="2474"/>
      <c r="D51" s="2474"/>
    </row>
    <row r="52" spans="1:5" ht="14.25" customHeight="1">
      <c r="A52" s="1271"/>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23" zoomScaleNormal="100" zoomScaleSheetLayoutView="100" workbookViewId="0">
      <selection activeCell="H32" sqref="B32:H32"/>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23" t="str">
        <f>'Single Audit Cover'!A7</f>
        <v>Rich Township High School District 227</v>
      </c>
      <c r="C1" s="2479"/>
      <c r="D1" s="2479"/>
      <c r="E1" s="2479"/>
      <c r="F1" s="2479"/>
      <c r="G1" s="2479"/>
      <c r="H1" s="2479"/>
      <c r="I1" s="2479"/>
      <c r="J1" s="2479"/>
      <c r="K1" s="2479"/>
      <c r="L1" s="2479"/>
      <c r="M1" s="2479"/>
    </row>
    <row r="2" spans="2:14" ht="15">
      <c r="B2" s="2468" t="str">
        <f>'Single Audit Cover'!E7</f>
        <v>07-016-2270-17</v>
      </c>
      <c r="C2" s="2468"/>
      <c r="D2" s="2468"/>
      <c r="E2" s="2468"/>
      <c r="F2" s="2468"/>
      <c r="G2" s="2468"/>
      <c r="H2" s="2468"/>
      <c r="I2" s="2468"/>
      <c r="J2" s="2468"/>
      <c r="K2" s="2468"/>
      <c r="L2" s="2468"/>
      <c r="M2" s="2468"/>
      <c r="N2" s="1272"/>
    </row>
    <row r="3" spans="2:14" ht="15">
      <c r="B3" s="2480" t="s">
        <v>1281</v>
      </c>
      <c r="C3" s="2480"/>
      <c r="D3" s="2480"/>
      <c r="E3" s="2480"/>
      <c r="F3" s="2480"/>
      <c r="G3" s="2480"/>
      <c r="H3" s="2480"/>
      <c r="I3" s="2480"/>
      <c r="J3" s="2480"/>
      <c r="K3" s="2480"/>
      <c r="L3" s="2480"/>
      <c r="M3" s="2480"/>
      <c r="N3" s="1272"/>
    </row>
    <row r="4" spans="2:14" ht="15">
      <c r="B4" s="2481" t="str">
        <f>'Single Audit Cover'!A4</f>
        <v>Year Ending June 30, 2018</v>
      </c>
      <c r="C4" s="2481"/>
      <c r="D4" s="2481"/>
      <c r="E4" s="2481"/>
      <c r="F4" s="2481"/>
      <c r="G4" s="2481"/>
      <c r="H4" s="2481"/>
      <c r="I4" s="2481"/>
      <c r="J4" s="2481"/>
      <c r="K4" s="2481"/>
      <c r="L4" s="2481"/>
      <c r="M4" s="2481"/>
      <c r="N4" s="1272"/>
    </row>
    <row r="6" spans="2:14">
      <c r="B6" s="1273"/>
      <c r="C6" s="1274"/>
      <c r="D6" s="1275" t="s">
        <v>1327</v>
      </c>
      <c r="E6" s="1276" t="s">
        <v>548</v>
      </c>
      <c r="F6" s="1277"/>
      <c r="G6" s="1278" t="s">
        <v>1835</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1948</v>
      </c>
      <c r="K8" s="1289" t="s">
        <v>1323</v>
      </c>
      <c r="L8" s="1290" t="s">
        <v>1319</v>
      </c>
      <c r="M8" s="1291" t="s">
        <v>30</v>
      </c>
    </row>
    <row r="9" spans="2:14" ht="14.25">
      <c r="B9" s="1295" t="s">
        <v>1321</v>
      </c>
      <c r="C9" s="1283" t="s">
        <v>1836</v>
      </c>
      <c r="D9" s="1284" t="s">
        <v>1837</v>
      </c>
      <c r="E9" s="1292" t="s">
        <v>1663</v>
      </c>
      <c r="F9" s="1293" t="s">
        <v>1948</v>
      </c>
      <c r="G9" s="1294" t="s">
        <v>1663</v>
      </c>
      <c r="H9" s="1287" t="s">
        <v>1664</v>
      </c>
      <c r="I9" s="1289" t="s">
        <v>1948</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2156</v>
      </c>
      <c r="C11" s="1308"/>
      <c r="D11" s="1309"/>
      <c r="E11" s="1310"/>
      <c r="F11" s="1310"/>
      <c r="G11" s="1310"/>
      <c r="H11" s="1310"/>
      <c r="I11" s="1310"/>
      <c r="J11" s="1310"/>
      <c r="K11" s="1310"/>
      <c r="L11" s="1310">
        <f>+G11+I11+K11</f>
        <v>0</v>
      </c>
      <c r="M11" s="1310"/>
    </row>
    <row r="12" spans="2:14" ht="20.100000000000001" customHeight="1">
      <c r="B12" s="1307" t="s">
        <v>2157</v>
      </c>
      <c r="C12" s="1311"/>
      <c r="D12" s="1312"/>
      <c r="E12" s="1313"/>
      <c r="F12" s="1313"/>
      <c r="G12" s="1313"/>
      <c r="H12" s="1313"/>
      <c r="I12" s="1313"/>
      <c r="J12" s="1313"/>
      <c r="K12" s="1313"/>
      <c r="L12" s="1310">
        <f t="shared" ref="L12:L26" si="0">+G12+I12+K12</f>
        <v>0</v>
      </c>
      <c r="M12" s="1313"/>
    </row>
    <row r="13" spans="2:14" ht="20.100000000000001" customHeight="1">
      <c r="B13" s="1307" t="s">
        <v>2158</v>
      </c>
      <c r="C13" s="1311" t="s">
        <v>2159</v>
      </c>
      <c r="D13" s="1312" t="s">
        <v>2160</v>
      </c>
      <c r="E13" s="1313">
        <v>372066</v>
      </c>
      <c r="F13" s="1313">
        <v>853682</v>
      </c>
      <c r="G13" s="1313">
        <v>942953</v>
      </c>
      <c r="H13" s="1313">
        <v>0</v>
      </c>
      <c r="I13" s="1313">
        <v>282795</v>
      </c>
      <c r="J13" s="1313">
        <v>0</v>
      </c>
      <c r="K13" s="1313">
        <v>0</v>
      </c>
      <c r="L13" s="1310">
        <f t="shared" si="0"/>
        <v>1225748</v>
      </c>
      <c r="M13" s="1313"/>
    </row>
    <row r="14" spans="2:14" ht="20.100000000000001" customHeight="1">
      <c r="B14" s="1307" t="s">
        <v>2158</v>
      </c>
      <c r="C14" s="1311" t="s">
        <v>2159</v>
      </c>
      <c r="D14" s="1312" t="s">
        <v>2161</v>
      </c>
      <c r="E14" s="1313">
        <v>0</v>
      </c>
      <c r="F14" s="1313">
        <v>0</v>
      </c>
      <c r="G14" s="1313">
        <v>0</v>
      </c>
      <c r="H14" s="1313">
        <v>0</v>
      </c>
      <c r="I14" s="1313">
        <v>830751</v>
      </c>
      <c r="J14" s="1313">
        <v>0</v>
      </c>
      <c r="K14" s="1313">
        <v>0</v>
      </c>
      <c r="L14" s="1310">
        <f t="shared" si="0"/>
        <v>830751</v>
      </c>
      <c r="M14" s="1313"/>
    </row>
    <row r="15" spans="2:14" ht="20.100000000000001" customHeight="1">
      <c r="B15" s="1307" t="s">
        <v>2162</v>
      </c>
      <c r="C15" s="1311" t="s">
        <v>2163</v>
      </c>
      <c r="D15" s="1312" t="s">
        <v>2164</v>
      </c>
      <c r="E15" s="1313">
        <v>0</v>
      </c>
      <c r="F15" s="1313">
        <v>0</v>
      </c>
      <c r="G15" s="1313">
        <v>0</v>
      </c>
      <c r="H15" s="1313">
        <v>0</v>
      </c>
      <c r="I15" s="1313">
        <v>17921</v>
      </c>
      <c r="J15" s="1313">
        <v>0</v>
      </c>
      <c r="K15" s="1313">
        <v>0</v>
      </c>
      <c r="L15" s="1310">
        <f t="shared" si="0"/>
        <v>17921</v>
      </c>
      <c r="M15" s="1313"/>
    </row>
    <row r="16" spans="2:14" ht="20.100000000000001" customHeight="1">
      <c r="B16" s="1307" t="s">
        <v>2165</v>
      </c>
      <c r="C16" s="1311" t="s">
        <v>2166</v>
      </c>
      <c r="D16" s="1312" t="s">
        <v>2167</v>
      </c>
      <c r="E16" s="1313">
        <v>0</v>
      </c>
      <c r="F16" s="1313">
        <v>693</v>
      </c>
      <c r="G16" s="1313">
        <v>693</v>
      </c>
      <c r="H16" s="1313">
        <v>0</v>
      </c>
      <c r="I16" s="1313">
        <v>0</v>
      </c>
      <c r="J16" s="1313">
        <v>0</v>
      </c>
      <c r="K16" s="1313">
        <v>0</v>
      </c>
      <c r="L16" s="1310">
        <f t="shared" si="0"/>
        <v>693</v>
      </c>
      <c r="M16" s="1313"/>
    </row>
    <row r="17" spans="2:14" ht="20.100000000000001" customHeight="1">
      <c r="B17" s="1307" t="s">
        <v>782</v>
      </c>
      <c r="C17" s="1311" t="s">
        <v>2168</v>
      </c>
      <c r="D17" s="1312" t="s">
        <v>2169</v>
      </c>
      <c r="E17" s="1313">
        <v>61302</v>
      </c>
      <c r="F17" s="1313">
        <v>19064</v>
      </c>
      <c r="G17" s="1313">
        <v>63112</v>
      </c>
      <c r="H17" s="1313">
        <v>0</v>
      </c>
      <c r="I17" s="1313">
        <v>17254</v>
      </c>
      <c r="J17" s="1313">
        <v>0</v>
      </c>
      <c r="K17" s="1313">
        <v>0</v>
      </c>
      <c r="L17" s="1310">
        <f t="shared" si="0"/>
        <v>80366</v>
      </c>
      <c r="M17" s="1313"/>
    </row>
    <row r="18" spans="2:14" ht="20.100000000000001" customHeight="1">
      <c r="B18" s="1307" t="s">
        <v>782</v>
      </c>
      <c r="C18" s="1311" t="s">
        <v>2168</v>
      </c>
      <c r="D18" s="1312" t="s">
        <v>2170</v>
      </c>
      <c r="E18" s="1313">
        <v>0</v>
      </c>
      <c r="F18" s="1313">
        <v>1134</v>
      </c>
      <c r="G18" s="1313">
        <v>0</v>
      </c>
      <c r="H18" s="1313">
        <v>0</v>
      </c>
      <c r="I18" s="1313">
        <v>42702</v>
      </c>
      <c r="J18" s="1313">
        <v>0</v>
      </c>
      <c r="K18" s="1313">
        <v>0</v>
      </c>
      <c r="L18" s="1310">
        <f t="shared" si="0"/>
        <v>42702</v>
      </c>
      <c r="M18" s="1313"/>
    </row>
    <row r="19" spans="2:14" ht="20.100000000000001" customHeight="1">
      <c r="B19" s="1307" t="s">
        <v>2171</v>
      </c>
      <c r="C19" s="1311" t="s">
        <v>2172</v>
      </c>
      <c r="D19" s="1312" t="s">
        <v>2173</v>
      </c>
      <c r="E19" s="1313">
        <v>26158</v>
      </c>
      <c r="F19" s="1313">
        <v>38998</v>
      </c>
      <c r="G19" s="1313">
        <v>58640</v>
      </c>
      <c r="H19" s="1313">
        <v>0</v>
      </c>
      <c r="I19" s="1313">
        <v>6516</v>
      </c>
      <c r="J19" s="1313">
        <v>0</v>
      </c>
      <c r="K19" s="1313">
        <v>0</v>
      </c>
      <c r="L19" s="1310">
        <f t="shared" si="0"/>
        <v>65156</v>
      </c>
      <c r="M19" s="1313"/>
    </row>
    <row r="20" spans="2:14" ht="20.100000000000001" customHeight="1">
      <c r="B20" s="1307" t="s">
        <v>2183</v>
      </c>
      <c r="C20" s="1311"/>
      <c r="D20" s="1312"/>
      <c r="E20" s="1313">
        <f t="shared" ref="E20:K20" si="1">SUM(E13:E19)</f>
        <v>459526</v>
      </c>
      <c r="F20" s="1313">
        <f t="shared" si="1"/>
        <v>913571</v>
      </c>
      <c r="G20" s="1313">
        <f t="shared" si="1"/>
        <v>1065398</v>
      </c>
      <c r="H20" s="1313">
        <f t="shared" si="1"/>
        <v>0</v>
      </c>
      <c r="I20" s="1313">
        <f t="shared" si="1"/>
        <v>1197939</v>
      </c>
      <c r="J20" s="1313">
        <f t="shared" si="1"/>
        <v>0</v>
      </c>
      <c r="K20" s="1313">
        <f t="shared" si="1"/>
        <v>0</v>
      </c>
      <c r="L20" s="1310">
        <f t="shared" si="0"/>
        <v>2263337</v>
      </c>
      <c r="M20" s="1313"/>
    </row>
    <row r="21" spans="2:14" ht="20.100000000000001" customHeight="1">
      <c r="B21" s="1307"/>
      <c r="C21" s="1311"/>
      <c r="D21" s="1312"/>
      <c r="E21" s="1313"/>
      <c r="F21" s="1313"/>
      <c r="G21" s="1313"/>
      <c r="H21" s="1313"/>
      <c r="I21" s="1313"/>
      <c r="J21" s="1313"/>
      <c r="K21" s="1313"/>
      <c r="L21" s="1310">
        <f t="shared" si="0"/>
        <v>0</v>
      </c>
      <c r="M21" s="1313"/>
    </row>
    <row r="22" spans="2:14" ht="20.100000000000001" customHeight="1">
      <c r="B22" s="1307" t="s">
        <v>2156</v>
      </c>
      <c r="C22" s="1311"/>
      <c r="D22" s="1312"/>
      <c r="E22" s="1313"/>
      <c r="F22" s="1313"/>
      <c r="G22" s="1313"/>
      <c r="H22" s="1313"/>
      <c r="I22" s="1313"/>
      <c r="J22" s="1313"/>
      <c r="K22" s="1313"/>
      <c r="L22" s="1310">
        <f t="shared" si="0"/>
        <v>0</v>
      </c>
      <c r="M22" s="1313"/>
    </row>
    <row r="23" spans="2:14" ht="20.100000000000001" customHeight="1">
      <c r="B23" s="1307" t="s">
        <v>2157</v>
      </c>
      <c r="C23" s="1311"/>
      <c r="D23" s="1312"/>
      <c r="E23" s="1313"/>
      <c r="F23" s="1313"/>
      <c r="G23" s="1313"/>
      <c r="H23" s="1313"/>
      <c r="I23" s="1313"/>
      <c r="J23" s="1313"/>
      <c r="K23" s="1313"/>
      <c r="L23" s="1310">
        <f t="shared" si="0"/>
        <v>0</v>
      </c>
      <c r="M23" s="1313"/>
    </row>
    <row r="24" spans="2:14" ht="20.100000000000001" customHeight="1">
      <c r="B24" s="1307" t="s">
        <v>2174</v>
      </c>
      <c r="C24" s="1311"/>
      <c r="D24" s="1312"/>
      <c r="E24" s="1313"/>
      <c r="F24" s="1313"/>
      <c r="G24" s="1313"/>
      <c r="H24" s="1313"/>
      <c r="I24" s="1313"/>
      <c r="J24" s="1313"/>
      <c r="K24" s="1313"/>
      <c r="L24" s="1310">
        <f t="shared" si="0"/>
        <v>0</v>
      </c>
      <c r="M24" s="1313"/>
    </row>
    <row r="25" spans="2:14" ht="20.100000000000001" customHeight="1">
      <c r="B25" s="1307" t="s">
        <v>2175</v>
      </c>
      <c r="C25" s="1311" t="s">
        <v>2176</v>
      </c>
      <c r="D25" s="1312" t="s">
        <v>2177</v>
      </c>
      <c r="E25" s="1313">
        <v>0</v>
      </c>
      <c r="F25" s="1313">
        <v>141390</v>
      </c>
      <c r="G25" s="1313">
        <v>0</v>
      </c>
      <c r="H25" s="1313">
        <v>0</v>
      </c>
      <c r="I25" s="1313">
        <v>160817</v>
      </c>
      <c r="J25" s="1313">
        <v>0</v>
      </c>
      <c r="K25" s="1313">
        <v>0</v>
      </c>
      <c r="L25" s="1310">
        <f t="shared" si="0"/>
        <v>160817</v>
      </c>
      <c r="M25" s="1313"/>
    </row>
    <row r="26" spans="2:14" ht="20.100000000000001" customHeight="1">
      <c r="B26" s="1307" t="s">
        <v>2175</v>
      </c>
      <c r="C26" s="1311" t="s">
        <v>2176</v>
      </c>
      <c r="D26" s="1312" t="s">
        <v>2178</v>
      </c>
      <c r="E26" s="1313">
        <v>140438</v>
      </c>
      <c r="F26" s="1313">
        <v>22341</v>
      </c>
      <c r="G26" s="1313">
        <v>162779</v>
      </c>
      <c r="H26" s="1313">
        <v>0</v>
      </c>
      <c r="I26" s="1313">
        <v>0</v>
      </c>
      <c r="J26" s="1313">
        <v>0</v>
      </c>
      <c r="K26" s="1313">
        <v>0</v>
      </c>
      <c r="L26" s="1310">
        <f t="shared" si="0"/>
        <v>162779</v>
      </c>
      <c r="M26" s="1313"/>
    </row>
    <row r="27" spans="2:14" ht="20.100000000000001" customHeight="1">
      <c r="B27" s="1307"/>
      <c r="C27" s="1311"/>
      <c r="D27" s="1312"/>
      <c r="E27" s="1313">
        <f t="shared" ref="E27:K27" si="2">SUM(E25:E26)</f>
        <v>140438</v>
      </c>
      <c r="F27" s="1313">
        <f t="shared" si="2"/>
        <v>163731</v>
      </c>
      <c r="G27" s="1313">
        <f t="shared" si="2"/>
        <v>162779</v>
      </c>
      <c r="H27" s="1313">
        <f t="shared" si="2"/>
        <v>0</v>
      </c>
      <c r="I27" s="1313">
        <f t="shared" si="2"/>
        <v>160817</v>
      </c>
      <c r="J27" s="1313">
        <f t="shared" si="2"/>
        <v>0</v>
      </c>
      <c r="K27" s="1313">
        <f t="shared" si="2"/>
        <v>0</v>
      </c>
      <c r="L27" s="1310">
        <f>+G27+I27+K27</f>
        <v>323596</v>
      </c>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1838</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1949</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1839</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1840</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1841</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1842</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91" colorId="8" zoomScaleNormal="110" zoomScaleSheetLayoutView="100" workbookViewId="0">
      <selection activeCell="G75" sqref="G75"/>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87" t="s">
        <v>1230</v>
      </c>
      <c r="B2" s="2087"/>
      <c r="C2" s="2087"/>
      <c r="D2" s="2087"/>
      <c r="E2" s="2087"/>
      <c r="F2" s="2087"/>
      <c r="G2" s="2087"/>
      <c r="H2" s="2087"/>
      <c r="I2" s="2087"/>
      <c r="J2" s="2087"/>
    </row>
    <row r="3" spans="1:11" s="180" customFormat="1" ht="17.25" customHeight="1">
      <c r="A3" s="206"/>
      <c r="B3" s="206"/>
      <c r="C3" s="207"/>
      <c r="D3" s="208"/>
      <c r="E3" s="209"/>
    </row>
    <row r="4" spans="1:11">
      <c r="A4" s="343" t="s">
        <v>1735</v>
      </c>
      <c r="B4" s="343"/>
      <c r="C4" s="343"/>
      <c r="D4" s="343"/>
      <c r="E4" s="343"/>
      <c r="F4" s="343"/>
      <c r="G4" s="343"/>
      <c r="H4" s="343"/>
      <c r="I4" s="343"/>
      <c r="J4" s="343"/>
      <c r="K4" s="343"/>
    </row>
    <row r="5" spans="1:11">
      <c r="A5" s="236" t="s">
        <v>1736</v>
      </c>
      <c r="B5" s="343"/>
      <c r="C5" s="343"/>
      <c r="D5" s="343"/>
      <c r="E5" s="343"/>
      <c r="F5" s="343"/>
      <c r="G5" s="343"/>
      <c r="H5" s="343"/>
      <c r="I5" s="343"/>
      <c r="J5" s="343"/>
      <c r="K5" s="343"/>
    </row>
    <row r="6" spans="1:11" ht="16.5" customHeight="1">
      <c r="A6" s="210"/>
      <c r="B6" s="211"/>
      <c r="C6" s="212"/>
      <c r="D6" s="211"/>
    </row>
    <row r="7" spans="1:11" ht="15" customHeight="1">
      <c r="A7" s="213" t="s">
        <v>894</v>
      </c>
      <c r="B7" s="211"/>
      <c r="C7" s="212"/>
      <c r="D7" s="214"/>
    </row>
    <row r="8" spans="1:11">
      <c r="A8" s="215"/>
      <c r="B8" s="216"/>
      <c r="D8" s="217"/>
    </row>
    <row r="9" spans="1:11" s="180" customFormat="1">
      <c r="A9" s="218"/>
      <c r="B9" s="219"/>
      <c r="C9" s="178">
        <v>1</v>
      </c>
      <c r="D9" s="220" t="s">
        <v>1639</v>
      </c>
    </row>
    <row r="10" spans="1:11" s="180" customFormat="1">
      <c r="A10" s="221"/>
      <c r="B10" s="222"/>
      <c r="C10" s="223"/>
      <c r="D10" s="224" t="s">
        <v>1722</v>
      </c>
    </row>
    <row r="11" spans="1:11" s="180" customFormat="1">
      <c r="A11" s="218"/>
      <c r="B11" s="225"/>
      <c r="C11" s="226">
        <v>2</v>
      </c>
      <c r="D11" s="227" t="s">
        <v>1723</v>
      </c>
    </row>
    <row r="12" spans="1:11" s="180" customFormat="1" hidden="1">
      <c r="A12" s="218"/>
      <c r="B12" s="228"/>
      <c r="C12" s="226"/>
      <c r="D12" s="229"/>
    </row>
    <row r="13" spans="1:11" s="180" customFormat="1">
      <c r="A13" s="218"/>
      <c r="B13" s="225"/>
      <c r="C13" s="226">
        <v>3</v>
      </c>
      <c r="D13" s="227" t="s">
        <v>1724</v>
      </c>
    </row>
    <row r="14" spans="1:11" s="180" customFormat="1">
      <c r="A14" s="218"/>
      <c r="B14" s="225"/>
      <c r="C14" s="226">
        <v>4</v>
      </c>
      <c r="D14" s="227" t="s">
        <v>1725</v>
      </c>
    </row>
    <row r="15" spans="1:11" s="180" customFormat="1">
      <c r="A15" s="218"/>
      <c r="B15" s="225"/>
      <c r="C15" s="226">
        <v>5</v>
      </c>
      <c r="D15" s="230" t="s">
        <v>1026</v>
      </c>
    </row>
    <row r="16" spans="1:11" s="180" customFormat="1">
      <c r="A16" s="218"/>
      <c r="B16" s="225"/>
      <c r="C16" s="226">
        <v>6</v>
      </c>
      <c r="D16" s="230" t="s">
        <v>1534</v>
      </c>
    </row>
    <row r="17" spans="1:4" s="180" customFormat="1" ht="6" hidden="1" customHeight="1">
      <c r="A17" s="218"/>
      <c r="B17" s="228"/>
      <c r="C17" s="226"/>
      <c r="D17" s="231"/>
    </row>
    <row r="18" spans="1:4" s="180" customFormat="1" ht="12" customHeight="1">
      <c r="A18" s="218"/>
      <c r="B18" s="225"/>
      <c r="C18" s="226">
        <v>7</v>
      </c>
      <c r="D18" s="230" t="s">
        <v>1533</v>
      </c>
    </row>
    <row r="19" spans="1:4" s="180" customFormat="1" hidden="1">
      <c r="A19" s="218"/>
      <c r="B19" s="228"/>
      <c r="C19" s="226"/>
      <c r="D19" s="231"/>
    </row>
    <row r="20" spans="1:4" s="180" customFormat="1">
      <c r="A20" s="218"/>
      <c r="B20" s="225"/>
      <c r="C20" s="226">
        <v>8</v>
      </c>
      <c r="D20" s="230" t="s">
        <v>1726</v>
      </c>
    </row>
    <row r="21" spans="1:4" s="180" customFormat="1">
      <c r="A21" s="218"/>
      <c r="B21" s="228"/>
      <c r="C21" s="226"/>
      <c r="D21" s="232" t="s">
        <v>1636</v>
      </c>
    </row>
    <row r="22" spans="1:4" s="180" customFormat="1">
      <c r="A22" s="218"/>
      <c r="B22" s="225"/>
      <c r="C22" s="226">
        <v>9</v>
      </c>
      <c r="D22" s="230" t="s">
        <v>1727</v>
      </c>
    </row>
    <row r="23" spans="1:4" s="180" customFormat="1">
      <c r="A23" s="218"/>
      <c r="B23" s="233"/>
      <c r="C23" s="226"/>
      <c r="D23" s="234" t="s">
        <v>1637</v>
      </c>
    </row>
    <row r="24" spans="1:4" s="180" customFormat="1">
      <c r="A24" s="218"/>
      <c r="B24" s="225"/>
      <c r="C24" s="226">
        <v>10</v>
      </c>
      <c r="D24" s="230" t="s">
        <v>1728</v>
      </c>
    </row>
    <row r="25" spans="1:4" s="180" customFormat="1">
      <c r="A25" s="218"/>
      <c r="B25" s="225"/>
      <c r="C25" s="226">
        <v>11</v>
      </c>
      <c r="D25" s="230" t="s">
        <v>1729</v>
      </c>
    </row>
    <row r="26" spans="1:4" s="180" customFormat="1">
      <c r="A26" s="218"/>
      <c r="B26" s="233"/>
      <c r="C26" s="226"/>
      <c r="D26" s="234" t="s">
        <v>1638</v>
      </c>
    </row>
    <row r="27" spans="1:4" s="180" customFormat="1">
      <c r="A27" s="218"/>
      <c r="B27" s="225"/>
      <c r="C27" s="226">
        <v>12</v>
      </c>
      <c r="D27" s="230" t="s">
        <v>1640</v>
      </c>
    </row>
    <row r="28" spans="1:4" s="180" customFormat="1">
      <c r="A28" s="218"/>
      <c r="B28" s="228"/>
      <c r="C28" s="226"/>
      <c r="D28" s="224"/>
    </row>
    <row r="29" spans="1:4" s="180" customFormat="1">
      <c r="A29" s="218"/>
      <c r="B29" s="225"/>
      <c r="C29" s="226">
        <v>13</v>
      </c>
      <c r="D29" s="230" t="s">
        <v>546</v>
      </c>
    </row>
    <row r="30" spans="1:4" s="180" customFormat="1">
      <c r="A30" s="218"/>
      <c r="B30" s="228"/>
      <c r="C30" s="226"/>
      <c r="D30" s="224" t="s">
        <v>1730</v>
      </c>
    </row>
    <row r="31" spans="1:4" s="180" customFormat="1">
      <c r="A31" s="218"/>
      <c r="B31" s="225"/>
      <c r="C31" s="226">
        <v>14</v>
      </c>
      <c r="D31" s="230" t="s">
        <v>1688</v>
      </c>
    </row>
    <row r="32" spans="1:4" s="180" customFormat="1">
      <c r="A32" s="218"/>
      <c r="B32" s="235"/>
      <c r="C32" s="226"/>
      <c r="D32" s="236" t="s">
        <v>1894</v>
      </c>
    </row>
    <row r="33" spans="1:9" s="180" customFormat="1" ht="12" customHeight="1">
      <c r="A33" s="218"/>
      <c r="B33" s="235"/>
      <c r="C33" s="226"/>
      <c r="D33" s="237" t="s">
        <v>1231</v>
      </c>
    </row>
    <row r="34" spans="1:9" s="180" customFormat="1" ht="8.25" hidden="1" customHeight="1">
      <c r="A34" s="218"/>
      <c r="B34" s="228"/>
      <c r="C34" s="226"/>
      <c r="D34" s="238"/>
    </row>
    <row r="35" spans="1:9" s="180" customFormat="1">
      <c r="A35" s="2101" t="s">
        <v>1731</v>
      </c>
      <c r="B35" s="2102"/>
      <c r="C35" s="2102"/>
      <c r="D35" s="2102"/>
      <c r="E35" s="2103"/>
      <c r="F35" s="2103"/>
      <c r="G35" s="2103"/>
      <c r="H35" s="2103"/>
      <c r="I35" s="2103"/>
    </row>
    <row r="36" spans="1:9" s="180" customFormat="1">
      <c r="A36" s="218"/>
      <c r="B36" s="228"/>
      <c r="C36" s="226"/>
      <c r="D36" s="238"/>
    </row>
    <row r="37" spans="1:9" s="180" customFormat="1">
      <c r="A37" s="218"/>
      <c r="B37" s="225"/>
      <c r="C37" s="226">
        <v>15</v>
      </c>
      <c r="D37" s="230" t="s">
        <v>380</v>
      </c>
    </row>
    <row r="38" spans="1:9" s="180" customFormat="1">
      <c r="A38" s="218"/>
      <c r="B38" s="228"/>
      <c r="C38" s="226"/>
      <c r="D38" s="239" t="s">
        <v>1732</v>
      </c>
    </row>
    <row r="39" spans="1:9" s="180" customFormat="1" hidden="1">
      <c r="A39" s="218"/>
      <c r="B39" s="228"/>
      <c r="C39" s="226"/>
      <c r="D39" s="240"/>
    </row>
    <row r="40" spans="1:9" s="180" customFormat="1">
      <c r="A40" s="218"/>
      <c r="B40" s="225"/>
      <c r="C40" s="226">
        <v>16</v>
      </c>
      <c r="D40" s="241" t="s">
        <v>382</v>
      </c>
    </row>
    <row r="41" spans="1:9" s="180" customFormat="1">
      <c r="A41" s="218"/>
      <c r="B41" s="228"/>
      <c r="C41" s="226"/>
      <c r="D41" s="239" t="s">
        <v>630</v>
      </c>
    </row>
    <row r="42" spans="1:9" s="180" customFormat="1">
      <c r="A42" s="218"/>
      <c r="B42" s="225"/>
      <c r="C42" s="226">
        <v>17</v>
      </c>
      <c r="D42" s="241" t="s">
        <v>1733</v>
      </c>
    </row>
    <row r="43" spans="1:9" s="180" customFormat="1">
      <c r="A43" s="218"/>
      <c r="B43" s="228"/>
      <c r="C43" s="226"/>
      <c r="D43" s="239" t="s">
        <v>1734</v>
      </c>
    </row>
    <row r="44" spans="1:9" s="180" customFormat="1">
      <c r="A44" s="218"/>
      <c r="B44" s="225"/>
      <c r="C44" s="226">
        <v>18</v>
      </c>
      <c r="D44" s="241" t="s">
        <v>319</v>
      </c>
    </row>
    <row r="45" spans="1:9" s="180" customFormat="1">
      <c r="A45" s="218"/>
      <c r="B45" s="228"/>
      <c r="C45" s="226"/>
      <c r="D45" s="239" t="s">
        <v>197</v>
      </c>
    </row>
    <row r="46" spans="1:9" s="180" customFormat="1" ht="16.5" customHeight="1">
      <c r="A46" s="218"/>
      <c r="B46" s="228"/>
      <c r="C46" s="226"/>
      <c r="D46" s="238"/>
    </row>
    <row r="47" spans="1:9" s="180" customFormat="1">
      <c r="A47" s="2101" t="s">
        <v>331</v>
      </c>
      <c r="B47" s="2104"/>
      <c r="C47" s="2104"/>
      <c r="D47" s="2104"/>
      <c r="E47" s="2105"/>
      <c r="F47" s="2105"/>
      <c r="G47" s="2105"/>
      <c r="H47" s="2105"/>
      <c r="I47" s="2105"/>
    </row>
    <row r="48" spans="1:9" s="180" customFormat="1">
      <c r="A48" s="218"/>
      <c r="B48" s="228"/>
      <c r="C48" s="226"/>
      <c r="D48" s="238"/>
    </row>
    <row r="49" spans="1:10" s="180" customFormat="1">
      <c r="A49" s="218"/>
      <c r="B49" s="225"/>
      <c r="C49" s="226">
        <v>19</v>
      </c>
      <c r="D49" s="242" t="s">
        <v>381</v>
      </c>
    </row>
    <row r="50" spans="1:10" s="180" customFormat="1">
      <c r="A50" s="218"/>
      <c r="B50" s="225"/>
      <c r="C50" s="226">
        <v>20</v>
      </c>
      <c r="D50" s="242" t="s">
        <v>1737</v>
      </c>
    </row>
    <row r="51" spans="1:10">
      <c r="B51" s="243"/>
      <c r="C51" s="244">
        <v>21</v>
      </c>
      <c r="D51" s="217" t="s">
        <v>1109</v>
      </c>
    </row>
    <row r="52" spans="1:10">
      <c r="B52" s="245"/>
      <c r="C52" s="244"/>
      <c r="D52" s="239" t="s">
        <v>895</v>
      </c>
    </row>
    <row r="53" spans="1:10" s="180" customFormat="1" ht="15.75" customHeight="1">
      <c r="A53" s="218"/>
      <c r="B53" s="219" t="s">
        <v>2081</v>
      </c>
      <c r="C53" s="178">
        <v>22</v>
      </c>
      <c r="D53" s="246" t="s">
        <v>1537</v>
      </c>
      <c r="E53" s="247"/>
      <c r="F53" s="248"/>
      <c r="G53" s="248" t="s">
        <v>1536</v>
      </c>
      <c r="H53" s="249">
        <v>34742</v>
      </c>
      <c r="I53" s="236" t="s">
        <v>1562</v>
      </c>
    </row>
    <row r="54" spans="1:10" s="180" customFormat="1">
      <c r="A54" s="218"/>
      <c r="B54" s="219"/>
      <c r="C54" s="178">
        <v>23</v>
      </c>
      <c r="D54" s="242" t="s">
        <v>1429</v>
      </c>
      <c r="E54" s="247"/>
      <c r="F54" s="248"/>
    </row>
    <row r="55" spans="1:10" s="180" customFormat="1">
      <c r="A55" s="213"/>
      <c r="B55" s="250"/>
      <c r="C55" s="250"/>
      <c r="D55" s="230" t="s">
        <v>1893</v>
      </c>
      <c r="E55" s="251"/>
      <c r="F55" s="251"/>
      <c r="G55" s="251"/>
      <c r="H55" s="251"/>
      <c r="I55" s="251"/>
    </row>
    <row r="56" spans="1:10" s="180" customFormat="1">
      <c r="A56" s="213"/>
      <c r="B56" s="250"/>
      <c r="E56" s="251"/>
      <c r="F56" s="251"/>
      <c r="G56" s="251"/>
      <c r="H56" s="251"/>
      <c r="I56" s="251"/>
    </row>
    <row r="57" spans="1:10" s="180" customFormat="1" ht="12.75" customHeight="1">
      <c r="A57" s="252"/>
      <c r="B57" s="2108"/>
      <c r="C57" s="2109"/>
      <c r="D57" s="2109"/>
      <c r="E57" s="2109"/>
      <c r="F57" s="2109"/>
      <c r="G57" s="2109"/>
      <c r="H57" s="2109"/>
      <c r="I57" s="2109"/>
      <c r="J57" s="2110"/>
    </row>
    <row r="58" spans="1:10" s="180" customFormat="1">
      <c r="A58" s="252"/>
      <c r="B58" s="2111"/>
      <c r="C58" s="2112"/>
      <c r="D58" s="2112"/>
      <c r="E58" s="2112"/>
      <c r="F58" s="2112"/>
      <c r="G58" s="2112"/>
      <c r="H58" s="2112"/>
      <c r="I58" s="2112"/>
      <c r="J58" s="2113"/>
    </row>
    <row r="59" spans="1:10" s="180" customFormat="1">
      <c r="A59" s="252"/>
      <c r="B59" s="2111"/>
      <c r="C59" s="2112"/>
      <c r="D59" s="2112"/>
      <c r="E59" s="2112"/>
      <c r="F59" s="2112"/>
      <c r="G59" s="2112"/>
      <c r="H59" s="2112"/>
      <c r="I59" s="2112"/>
      <c r="J59" s="2113"/>
    </row>
    <row r="60" spans="1:10" s="180" customFormat="1">
      <c r="A60" s="252"/>
      <c r="B60" s="2111"/>
      <c r="C60" s="2112"/>
      <c r="D60" s="2112"/>
      <c r="E60" s="2112"/>
      <c r="F60" s="2112"/>
      <c r="G60" s="2112"/>
      <c r="H60" s="2112"/>
      <c r="I60" s="2112"/>
      <c r="J60" s="2113"/>
    </row>
    <row r="61" spans="1:10" s="180" customFormat="1">
      <c r="A61" s="252"/>
      <c r="B61" s="2111"/>
      <c r="C61" s="2112"/>
      <c r="D61" s="2112"/>
      <c r="E61" s="2112"/>
      <c r="F61" s="2112"/>
      <c r="G61" s="2112"/>
      <c r="H61" s="2112"/>
      <c r="I61" s="2112"/>
      <c r="J61" s="2113"/>
    </row>
    <row r="62" spans="1:10" s="180" customFormat="1">
      <c r="A62" s="252"/>
      <c r="B62" s="2111"/>
      <c r="C62" s="2112"/>
      <c r="D62" s="2112"/>
      <c r="E62" s="2112"/>
      <c r="F62" s="2112"/>
      <c r="G62" s="2112"/>
      <c r="H62" s="2112"/>
      <c r="I62" s="2112"/>
      <c r="J62" s="2113"/>
    </row>
    <row r="63" spans="1:10" s="180" customFormat="1">
      <c r="A63" s="252"/>
      <c r="B63" s="2111"/>
      <c r="C63" s="2112"/>
      <c r="D63" s="2112"/>
      <c r="E63" s="2112"/>
      <c r="F63" s="2112"/>
      <c r="G63" s="2112"/>
      <c r="H63" s="2112"/>
      <c r="I63" s="2112"/>
      <c r="J63" s="2113"/>
    </row>
    <row r="64" spans="1:10" s="180" customFormat="1">
      <c r="A64" s="252"/>
      <c r="B64" s="2111"/>
      <c r="C64" s="2112"/>
      <c r="D64" s="2112"/>
      <c r="E64" s="2112"/>
      <c r="F64" s="2112"/>
      <c r="G64" s="2112"/>
      <c r="H64" s="2112"/>
      <c r="I64" s="2112"/>
      <c r="J64" s="2113"/>
    </row>
    <row r="65" spans="1:10" s="180" customFormat="1">
      <c r="A65" s="252"/>
      <c r="B65" s="2111"/>
      <c r="C65" s="2112"/>
      <c r="D65" s="2112"/>
      <c r="E65" s="2112"/>
      <c r="F65" s="2112"/>
      <c r="G65" s="2112"/>
      <c r="H65" s="2112"/>
      <c r="I65" s="2112"/>
      <c r="J65" s="2113"/>
    </row>
    <row r="66" spans="1:10" s="180" customFormat="1">
      <c r="A66" s="252"/>
      <c r="B66" s="2111"/>
      <c r="C66" s="2112"/>
      <c r="D66" s="2112"/>
      <c r="E66" s="2112"/>
      <c r="F66" s="2112"/>
      <c r="G66" s="2112"/>
      <c r="H66" s="2112"/>
      <c r="I66" s="2112"/>
      <c r="J66" s="2113"/>
    </row>
    <row r="67" spans="1:10" s="180" customFormat="1" ht="9" customHeight="1">
      <c r="A67" s="253"/>
      <c r="B67" s="2114"/>
      <c r="C67" s="2115"/>
      <c r="D67" s="2115"/>
      <c r="E67" s="2115"/>
      <c r="F67" s="2115"/>
      <c r="G67" s="2115"/>
      <c r="H67" s="2115"/>
      <c r="I67" s="2115"/>
      <c r="J67" s="2116"/>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101" t="s">
        <v>1390</v>
      </c>
      <c r="B70" s="2104"/>
      <c r="C70" s="2104"/>
      <c r="D70" s="2104"/>
      <c r="E70" s="2105"/>
      <c r="F70" s="2105"/>
      <c r="G70" s="2105"/>
      <c r="H70" s="2105"/>
      <c r="I70" s="2105"/>
    </row>
    <row r="71" spans="1:10" s="180" customFormat="1">
      <c r="A71" s="218"/>
      <c r="C71" s="256"/>
      <c r="D71" s="257" t="s">
        <v>1389</v>
      </c>
      <c r="E71" s="255"/>
      <c r="F71" s="255"/>
      <c r="G71" s="255"/>
      <c r="H71" s="255"/>
    </row>
    <row r="72" spans="1:10" s="180" customFormat="1" ht="5.25" customHeight="1">
      <c r="B72" s="254"/>
      <c r="C72" s="255"/>
      <c r="D72" s="255"/>
      <c r="E72" s="255"/>
      <c r="F72" s="255"/>
      <c r="G72" s="255"/>
      <c r="H72" s="255"/>
    </row>
    <row r="73" spans="1:10" s="180" customFormat="1">
      <c r="A73" s="258" t="s">
        <v>2069</v>
      </c>
      <c r="B73" s="254"/>
      <c r="C73" s="255"/>
      <c r="D73" s="255"/>
      <c r="E73" s="255"/>
      <c r="F73" s="255"/>
      <c r="G73" s="255"/>
      <c r="H73" s="255"/>
    </row>
    <row r="74" spans="1:10" s="180" customFormat="1">
      <c r="A74" s="258" t="s">
        <v>1497</v>
      </c>
      <c r="B74" s="254"/>
      <c r="C74" s="255"/>
      <c r="D74" s="255"/>
      <c r="E74" s="255"/>
      <c r="F74" s="255"/>
      <c r="G74" s="255"/>
      <c r="H74" s="255"/>
    </row>
    <row r="75" spans="1:10" s="180" customFormat="1">
      <c r="A75" s="258" t="s">
        <v>1689</v>
      </c>
      <c r="B75" s="254"/>
      <c r="C75" s="255"/>
      <c r="D75" s="255"/>
      <c r="E75" s="255"/>
      <c r="F75" s="255"/>
      <c r="G75" s="255"/>
      <c r="H75" s="255"/>
    </row>
    <row r="76" spans="1:10" s="180" customFormat="1" ht="18.75" customHeight="1">
      <c r="A76" s="238" t="s">
        <v>1498</v>
      </c>
      <c r="B76" s="254"/>
      <c r="C76" s="255"/>
      <c r="D76" s="255"/>
      <c r="E76" s="255"/>
      <c r="F76" s="255"/>
      <c r="G76" s="255"/>
      <c r="H76" s="255"/>
    </row>
    <row r="77" spans="1:10" s="180" customFormat="1">
      <c r="C77" s="178">
        <v>24</v>
      </c>
      <c r="D77" s="246" t="s">
        <v>1745</v>
      </c>
      <c r="G77" s="296" t="s">
        <v>2019</v>
      </c>
      <c r="I77" s="1831"/>
      <c r="J77" s="260">
        <v>43464</v>
      </c>
    </row>
    <row r="78" spans="1:10" s="180" customFormat="1" ht="6" customHeight="1">
      <c r="A78" s="218"/>
      <c r="B78" s="261"/>
      <c r="C78" s="178"/>
      <c r="D78" s="246"/>
      <c r="E78" s="247"/>
      <c r="F78" s="248"/>
    </row>
    <row r="79" spans="1:10" s="180" customFormat="1">
      <c r="A79" s="218"/>
      <c r="B79" s="261"/>
      <c r="C79" s="178">
        <v>25</v>
      </c>
      <c r="D79" s="246" t="s">
        <v>1743</v>
      </c>
      <c r="E79" s="247"/>
      <c r="F79" s="248"/>
    </row>
    <row r="80" spans="1:10" s="180" customFormat="1">
      <c r="A80" s="218"/>
      <c r="B80" s="261"/>
      <c r="C80" s="178"/>
      <c r="D80" s="246" t="s">
        <v>1744</v>
      </c>
      <c r="E80" s="247"/>
      <c r="F80" s="248"/>
    </row>
    <row r="81" spans="1:10" s="180" customFormat="1">
      <c r="A81" s="218"/>
      <c r="B81" s="261"/>
    </row>
    <row r="82" spans="1:10" s="180" customFormat="1" ht="12.75" customHeight="1">
      <c r="A82" s="218"/>
      <c r="B82" s="261"/>
      <c r="C82" s="246"/>
    </row>
    <row r="83" spans="1:10" s="180" customFormat="1" ht="12.75" customHeight="1" thickBot="1">
      <c r="A83" s="2106" t="s">
        <v>1387</v>
      </c>
      <c r="B83" s="2106"/>
      <c r="C83" s="2106"/>
      <c r="D83" s="2107"/>
      <c r="E83" s="262" t="s">
        <v>1424</v>
      </c>
      <c r="F83" s="262" t="s">
        <v>1425</v>
      </c>
      <c r="G83" s="262" t="s">
        <v>1426</v>
      </c>
      <c r="H83" s="262" t="s">
        <v>1427</v>
      </c>
      <c r="I83" s="262" t="s">
        <v>1428</v>
      </c>
      <c r="J83" s="263" t="s">
        <v>158</v>
      </c>
    </row>
    <row r="84" spans="1:10" s="180" customFormat="1" ht="13.5" customHeight="1" thickTop="1">
      <c r="A84" s="264" t="s">
        <v>1519</v>
      </c>
      <c r="B84" s="265"/>
      <c r="C84" s="266"/>
      <c r="D84" s="267"/>
      <c r="E84" s="268"/>
      <c r="F84" s="268"/>
      <c r="G84" s="268"/>
      <c r="H84" s="268"/>
      <c r="I84" s="268"/>
      <c r="J84" s="269"/>
    </row>
    <row r="85" spans="1:10" s="180" customFormat="1" ht="13.5" customHeight="1">
      <c r="A85" s="270" t="s">
        <v>2067</v>
      </c>
      <c r="B85" s="271"/>
      <c r="C85" s="272"/>
      <c r="D85" s="273"/>
      <c r="E85" s="274"/>
      <c r="F85" s="275"/>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1388</v>
      </c>
      <c r="B87" s="282"/>
      <c r="C87" s="283"/>
      <c r="D87" s="280"/>
      <c r="E87" s="268"/>
      <c r="F87" s="268"/>
      <c r="G87" s="268"/>
      <c r="H87" s="268"/>
      <c r="I87" s="268"/>
      <c r="J87" s="269"/>
    </row>
    <row r="88" spans="1:10" s="180" customFormat="1" ht="13.5" customHeight="1">
      <c r="A88" s="284" t="s">
        <v>2067</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158</v>
      </c>
      <c r="B90" s="282"/>
      <c r="C90" s="283"/>
      <c r="D90" s="292"/>
      <c r="E90" s="293"/>
      <c r="F90" s="293"/>
      <c r="G90" s="293"/>
      <c r="H90" s="293"/>
      <c r="I90" s="293"/>
      <c r="J90" s="294">
        <f>SUM(J85:J89)</f>
        <v>0</v>
      </c>
    </row>
    <row r="91" spans="1:10" s="180" customFormat="1">
      <c r="A91" s="218"/>
      <c r="B91" s="261"/>
      <c r="C91" s="178"/>
      <c r="E91" s="259"/>
      <c r="F91" s="295"/>
      <c r="H91" s="296"/>
    </row>
    <row r="92" spans="1:10" s="180" customFormat="1">
      <c r="A92" s="218"/>
      <c r="B92" s="246" t="s">
        <v>1738</v>
      </c>
      <c r="C92" s="178"/>
      <c r="E92" s="259"/>
      <c r="F92" s="295"/>
      <c r="H92" s="296"/>
    </row>
    <row r="93" spans="1:10" s="180" customFormat="1" ht="16.5" customHeight="1">
      <c r="A93" s="218"/>
      <c r="B93" s="297" t="s">
        <v>2068</v>
      </c>
      <c r="C93" s="178"/>
      <c r="E93" s="259"/>
      <c r="F93" s="295"/>
      <c r="H93" s="296"/>
    </row>
    <row r="94" spans="1:10" s="180" customFormat="1">
      <c r="A94" s="298" t="s">
        <v>1398</v>
      </c>
      <c r="B94" s="299"/>
      <c r="C94" s="299"/>
      <c r="D94" s="300"/>
      <c r="E94" s="301"/>
      <c r="F94" s="302"/>
      <c r="G94" s="303"/>
      <c r="H94" s="304"/>
      <c r="I94" s="305"/>
    </row>
    <row r="95" spans="1:10" s="180" customFormat="1">
      <c r="A95" s="306"/>
      <c r="B95" s="307" t="s">
        <v>1739</v>
      </c>
      <c r="C95" s="308"/>
      <c r="D95" s="309"/>
      <c r="E95" s="303"/>
      <c r="F95" s="303"/>
      <c r="G95" s="303"/>
      <c r="H95" s="303"/>
      <c r="I95" s="303"/>
    </row>
    <row r="96" spans="1:10" s="180" customFormat="1">
      <c r="A96" s="306" t="s">
        <v>1231</v>
      </c>
      <c r="B96" s="344" t="s">
        <v>1741</v>
      </c>
      <c r="C96" s="308"/>
      <c r="D96" s="310"/>
      <c r="E96" s="310"/>
      <c r="F96" s="310"/>
      <c r="G96" s="310"/>
      <c r="H96" s="310"/>
      <c r="I96" s="303"/>
    </row>
    <row r="97" spans="1:9" s="180" customFormat="1">
      <c r="A97" s="306"/>
      <c r="B97" s="307" t="s">
        <v>1740</v>
      </c>
      <c r="C97" s="308"/>
      <c r="D97" s="310"/>
      <c r="E97" s="310"/>
      <c r="F97" s="310"/>
      <c r="G97" s="310"/>
      <c r="H97" s="310"/>
      <c r="I97" s="303"/>
    </row>
    <row r="98" spans="1:9" s="180" customFormat="1">
      <c r="A98" s="307"/>
      <c r="B98" s="311" t="s">
        <v>1742</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1228</v>
      </c>
      <c r="C101" s="309"/>
      <c r="D101" s="309"/>
      <c r="E101" s="303"/>
      <c r="F101" s="303"/>
      <c r="G101" s="303"/>
      <c r="H101" s="303"/>
      <c r="I101" s="303"/>
    </row>
    <row r="102" spans="1:9" s="180" customFormat="1">
      <c r="A102" s="315"/>
      <c r="B102" s="2088"/>
      <c r="C102" s="2089"/>
      <c r="D102" s="2089"/>
      <c r="E102" s="2089"/>
      <c r="F102" s="2089"/>
      <c r="G102" s="2089"/>
      <c r="H102" s="2089"/>
      <c r="I102" s="2090"/>
    </row>
    <row r="103" spans="1:9" s="180" customFormat="1" ht="11.25" customHeight="1">
      <c r="A103" s="315"/>
      <c r="B103" s="2091"/>
      <c r="C103" s="2092"/>
      <c r="D103" s="2092"/>
      <c r="E103" s="2092"/>
      <c r="F103" s="2092"/>
      <c r="G103" s="2092"/>
      <c r="H103" s="2092"/>
      <c r="I103" s="2093"/>
    </row>
    <row r="104" spans="1:9" s="180" customFormat="1" ht="11.25" customHeight="1">
      <c r="A104" s="315"/>
      <c r="B104" s="2091"/>
      <c r="C104" s="2092"/>
      <c r="D104" s="2092"/>
      <c r="E104" s="2092"/>
      <c r="F104" s="2092"/>
      <c r="G104" s="2092"/>
      <c r="H104" s="2092"/>
      <c r="I104" s="2093"/>
    </row>
    <row r="105" spans="1:9" s="180" customFormat="1">
      <c r="A105" s="315"/>
      <c r="B105" s="2091"/>
      <c r="C105" s="2092"/>
      <c r="D105" s="2092"/>
      <c r="E105" s="2092"/>
      <c r="F105" s="2092"/>
      <c r="G105" s="2092"/>
      <c r="H105" s="2092"/>
      <c r="I105" s="2093"/>
    </row>
    <row r="106" spans="1:9" s="180" customFormat="1" ht="11.25" customHeight="1">
      <c r="A106" s="315"/>
      <c r="B106" s="2091"/>
      <c r="C106" s="2092"/>
      <c r="D106" s="2092"/>
      <c r="E106" s="2092"/>
      <c r="F106" s="2092"/>
      <c r="G106" s="2092"/>
      <c r="H106" s="2092"/>
      <c r="I106" s="2093"/>
    </row>
    <row r="107" spans="1:9" s="180" customFormat="1" ht="11.25" customHeight="1">
      <c r="A107" s="315"/>
      <c r="B107" s="2091"/>
      <c r="C107" s="2092"/>
      <c r="D107" s="2092"/>
      <c r="E107" s="2092"/>
      <c r="F107" s="2092"/>
      <c r="G107" s="2092"/>
      <c r="H107" s="2092"/>
      <c r="I107" s="2093"/>
    </row>
    <row r="108" spans="1:9" s="180" customFormat="1" ht="11.25" customHeight="1">
      <c r="A108" s="315"/>
      <c r="B108" s="2091"/>
      <c r="C108" s="2092"/>
      <c r="D108" s="2092"/>
      <c r="E108" s="2092"/>
      <c r="F108" s="2092"/>
      <c r="G108" s="2092"/>
      <c r="H108" s="2092"/>
      <c r="I108" s="2093"/>
    </row>
    <row r="109" spans="1:9" s="180" customFormat="1" ht="11.25" customHeight="1">
      <c r="A109" s="315"/>
      <c r="B109" s="2091"/>
      <c r="C109" s="2092"/>
      <c r="D109" s="2092"/>
      <c r="E109" s="2092"/>
      <c r="F109" s="2092"/>
      <c r="G109" s="2092"/>
      <c r="H109" s="2092"/>
      <c r="I109" s="2093"/>
    </row>
    <row r="110" spans="1:9" s="180" customFormat="1" ht="11.25" customHeight="1">
      <c r="A110" s="315"/>
      <c r="B110" s="2091"/>
      <c r="C110" s="2092"/>
      <c r="D110" s="2092"/>
      <c r="E110" s="2092"/>
      <c r="F110" s="2092"/>
      <c r="G110" s="2092"/>
      <c r="H110" s="2092"/>
      <c r="I110" s="2093"/>
    </row>
    <row r="111" spans="1:9" s="180" customFormat="1" ht="11.25" customHeight="1">
      <c r="A111" s="315"/>
      <c r="B111" s="2091"/>
      <c r="C111" s="2092"/>
      <c r="D111" s="2092"/>
      <c r="E111" s="2092"/>
      <c r="F111" s="2092"/>
      <c r="G111" s="2092"/>
      <c r="H111" s="2092"/>
      <c r="I111" s="2093"/>
    </row>
    <row r="112" spans="1:9" s="180" customFormat="1" ht="11.25" customHeight="1">
      <c r="A112" s="315"/>
      <c r="B112" s="2094"/>
      <c r="C112" s="2095"/>
      <c r="D112" s="2095"/>
      <c r="E112" s="2095"/>
      <c r="F112" s="2095"/>
      <c r="G112" s="2095"/>
      <c r="H112" s="2095"/>
      <c r="I112" s="2096"/>
    </row>
    <row r="113" spans="1:9" s="180" customFormat="1" ht="11.25" customHeight="1">
      <c r="A113" s="316"/>
      <c r="B113" s="310"/>
      <c r="C113" s="310"/>
      <c r="D113" s="310"/>
      <c r="E113" s="303"/>
      <c r="F113" s="303"/>
      <c r="G113" s="303"/>
      <c r="H113" s="303"/>
      <c r="I113" s="303"/>
    </row>
    <row r="114" spans="1:9" s="180" customFormat="1" ht="18" customHeight="1">
      <c r="A114" s="315"/>
      <c r="B114" s="316"/>
      <c r="C114" s="2097"/>
      <c r="D114" s="2097"/>
      <c r="E114" s="303"/>
      <c r="F114" s="303"/>
      <c r="G114" s="303"/>
      <c r="H114" s="303"/>
      <c r="I114" s="303"/>
    </row>
    <row r="115" spans="1:9" s="180" customFormat="1" ht="11.25" customHeight="1">
      <c r="A115" s="315"/>
      <c r="B115" s="315"/>
      <c r="C115" s="317"/>
      <c r="D115" s="318" t="s">
        <v>1229</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98" t="s">
        <v>1397</v>
      </c>
      <c r="D117" s="2099"/>
      <c r="E117" s="2100"/>
      <c r="F117" s="2100"/>
      <c r="G117" s="2100"/>
      <c r="H117" s="2100"/>
      <c r="I117" s="303"/>
    </row>
    <row r="118" spans="1:9" s="180" customFormat="1" ht="24" customHeight="1">
      <c r="A118" s="315"/>
      <c r="B118" s="315"/>
      <c r="C118" s="315"/>
      <c r="D118" s="322"/>
      <c r="E118" s="321"/>
      <c r="F118" s="323"/>
      <c r="G118" s="1833"/>
      <c r="H118" s="321"/>
      <c r="I118" s="303"/>
    </row>
    <row r="119" spans="1:9" s="180" customFormat="1" ht="11.25" customHeight="1">
      <c r="A119" s="324"/>
      <c r="B119" s="324"/>
      <c r="C119" s="325"/>
      <c r="D119" s="326" t="s">
        <v>379</v>
      </c>
      <c r="E119" s="309"/>
      <c r="F119" s="1832" t="s">
        <v>2020</v>
      </c>
      <c r="G119" s="327"/>
      <c r="H119" s="327"/>
      <c r="I119" s="303"/>
    </row>
    <row r="120" spans="1:9">
      <c r="A120" s="328"/>
      <c r="B120" s="179"/>
      <c r="C120" s="329"/>
      <c r="D120" s="255"/>
      <c r="E120" s="255"/>
      <c r="F120" s="255"/>
      <c r="G120" s="255"/>
      <c r="H120" s="255"/>
      <c r="I120" s="303"/>
    </row>
    <row r="121" spans="1:9">
      <c r="A121" s="328"/>
      <c r="B121" s="1480" t="s">
        <v>1690</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17" zoomScaleNormal="100" zoomScaleSheetLayoutView="100" workbookViewId="0">
      <selection activeCell="L21" sqref="L21"/>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23" t="str">
        <f>'Single Audit Cover'!A7</f>
        <v>Rich Township High School District 227</v>
      </c>
      <c r="C1" s="2479"/>
      <c r="D1" s="2479"/>
      <c r="E1" s="2479"/>
      <c r="F1" s="2479"/>
      <c r="G1" s="2479"/>
      <c r="H1" s="2479"/>
      <c r="I1" s="2479"/>
      <c r="J1" s="2479"/>
      <c r="K1" s="2479"/>
      <c r="L1" s="2479"/>
      <c r="M1" s="2479"/>
    </row>
    <row r="2" spans="2:14" ht="15">
      <c r="B2" s="2468" t="str">
        <f>'Single Audit Cover'!E7</f>
        <v>07-016-2270-17</v>
      </c>
      <c r="C2" s="2468"/>
      <c r="D2" s="2468"/>
      <c r="E2" s="2468"/>
      <c r="F2" s="2468"/>
      <c r="G2" s="2468"/>
      <c r="H2" s="2468"/>
      <c r="I2" s="2468"/>
      <c r="J2" s="2468"/>
      <c r="K2" s="2468"/>
      <c r="L2" s="2468"/>
      <c r="M2" s="2468"/>
      <c r="N2" s="1272"/>
    </row>
    <row r="3" spans="2:14" ht="15">
      <c r="B3" s="2480" t="s">
        <v>1281</v>
      </c>
      <c r="C3" s="2480"/>
      <c r="D3" s="2480"/>
      <c r="E3" s="2480"/>
      <c r="F3" s="2480"/>
      <c r="G3" s="2480"/>
      <c r="H3" s="2480"/>
      <c r="I3" s="2480"/>
      <c r="J3" s="2480"/>
      <c r="K3" s="2480"/>
      <c r="L3" s="2480"/>
      <c r="M3" s="2480"/>
      <c r="N3" s="1272"/>
    </row>
    <row r="4" spans="2:14" ht="15">
      <c r="B4" s="2481" t="str">
        <f>'Single Audit Cover'!A4</f>
        <v>Year Ending June 30, 2018</v>
      </c>
      <c r="C4" s="2481"/>
      <c r="D4" s="2481"/>
      <c r="E4" s="2481"/>
      <c r="F4" s="2481"/>
      <c r="G4" s="2481"/>
      <c r="H4" s="2481"/>
      <c r="I4" s="2481"/>
      <c r="J4" s="2481"/>
      <c r="K4" s="2481"/>
      <c r="L4" s="2481"/>
      <c r="M4" s="2481"/>
      <c r="N4" s="1272"/>
    </row>
    <row r="6" spans="2:14">
      <c r="B6" s="1273"/>
      <c r="C6" s="1274"/>
      <c r="D6" s="1275" t="s">
        <v>1327</v>
      </c>
      <c r="E6" s="1276" t="s">
        <v>548</v>
      </c>
      <c r="F6" s="1277"/>
      <c r="G6" s="1278" t="s">
        <v>1835</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1948</v>
      </c>
      <c r="K8" s="1289" t="s">
        <v>1323</v>
      </c>
      <c r="L8" s="1290" t="s">
        <v>1319</v>
      </c>
      <c r="M8" s="1291" t="s">
        <v>30</v>
      </c>
    </row>
    <row r="9" spans="2:14" ht="14.25">
      <c r="B9" s="1295" t="s">
        <v>1321</v>
      </c>
      <c r="C9" s="1283" t="s">
        <v>1836</v>
      </c>
      <c r="D9" s="1284" t="s">
        <v>1837</v>
      </c>
      <c r="E9" s="1292" t="s">
        <v>1663</v>
      </c>
      <c r="F9" s="1293" t="s">
        <v>1948</v>
      </c>
      <c r="G9" s="1294" t="s">
        <v>1663</v>
      </c>
      <c r="H9" s="1287" t="s">
        <v>1664</v>
      </c>
      <c r="I9" s="1289" t="s">
        <v>1948</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2179</v>
      </c>
      <c r="C11" s="1308"/>
      <c r="D11" s="1309"/>
      <c r="E11" s="1310"/>
      <c r="F11" s="1310"/>
      <c r="G11" s="1310"/>
      <c r="H11" s="1310"/>
      <c r="I11" s="1310"/>
      <c r="J11" s="1310"/>
      <c r="K11" s="1310"/>
      <c r="L11" s="1310">
        <f>+G11+I11+K11</f>
        <v>0</v>
      </c>
      <c r="M11" s="1310"/>
    </row>
    <row r="12" spans="2:14" ht="20.100000000000001" customHeight="1">
      <c r="B12" s="1307" t="s">
        <v>2180</v>
      </c>
      <c r="C12" s="1311" t="s">
        <v>2172</v>
      </c>
      <c r="D12" s="1312" t="s">
        <v>2181</v>
      </c>
      <c r="E12" s="1313">
        <v>446385</v>
      </c>
      <c r="F12" s="1313">
        <v>311115</v>
      </c>
      <c r="G12" s="1313">
        <v>757500</v>
      </c>
      <c r="H12" s="1313">
        <v>0</v>
      </c>
      <c r="I12" s="1313">
        <v>0</v>
      </c>
      <c r="J12" s="1313">
        <v>0</v>
      </c>
      <c r="K12" s="1313">
        <v>0</v>
      </c>
      <c r="L12" s="1310">
        <f t="shared" ref="L12:L27" si="0">+G12+I12+K12</f>
        <v>757500</v>
      </c>
      <c r="M12" s="1313"/>
    </row>
    <row r="13" spans="2:14" ht="20.100000000000001" customHeight="1">
      <c r="B13" s="1307" t="s">
        <v>2180</v>
      </c>
      <c r="C13" s="1311" t="s">
        <v>2172</v>
      </c>
      <c r="D13" s="1312" t="s">
        <v>2182</v>
      </c>
      <c r="E13" s="1313">
        <v>0</v>
      </c>
      <c r="F13" s="1313">
        <v>362419</v>
      </c>
      <c r="G13" s="1313">
        <v>0</v>
      </c>
      <c r="H13" s="1313">
        <v>0</v>
      </c>
      <c r="I13" s="1313">
        <v>667012</v>
      </c>
      <c r="J13" s="1313">
        <v>0</v>
      </c>
      <c r="K13" s="1313">
        <v>0</v>
      </c>
      <c r="L13" s="1310">
        <f t="shared" si="0"/>
        <v>667012</v>
      </c>
      <c r="M13" s="1313"/>
    </row>
    <row r="14" spans="2:14" ht="20.100000000000001" customHeight="1">
      <c r="B14" s="1307" t="s">
        <v>2184</v>
      </c>
      <c r="C14" s="1311"/>
      <c r="D14" s="1312"/>
      <c r="E14" s="1313">
        <f t="shared" ref="E14:K14" si="1">SUM(E12:E13)</f>
        <v>446385</v>
      </c>
      <c r="F14" s="1313">
        <f t="shared" si="1"/>
        <v>673534</v>
      </c>
      <c r="G14" s="1313">
        <f t="shared" si="1"/>
        <v>757500</v>
      </c>
      <c r="H14" s="1313">
        <f t="shared" si="1"/>
        <v>0</v>
      </c>
      <c r="I14" s="1313">
        <f t="shared" si="1"/>
        <v>667012</v>
      </c>
      <c r="J14" s="1313">
        <f t="shared" si="1"/>
        <v>0</v>
      </c>
      <c r="K14" s="1313">
        <f t="shared" si="1"/>
        <v>0</v>
      </c>
      <c r="L14" s="1310">
        <f t="shared" si="0"/>
        <v>1424512</v>
      </c>
      <c r="M14" s="1313"/>
    </row>
    <row r="15" spans="2:14" ht="20.100000000000001" customHeight="1">
      <c r="B15" s="1307" t="s">
        <v>1231</v>
      </c>
      <c r="C15" s="1311"/>
      <c r="D15" s="1312"/>
      <c r="E15" s="1313"/>
      <c r="F15" s="1313"/>
      <c r="G15" s="1313"/>
      <c r="H15" s="1313"/>
      <c r="I15" s="1313"/>
      <c r="J15" s="1313"/>
      <c r="K15" s="1313"/>
      <c r="L15" s="1310">
        <f t="shared" si="0"/>
        <v>0</v>
      </c>
      <c r="M15" s="1313"/>
    </row>
    <row r="16" spans="2:14" ht="20.100000000000001" customHeight="1">
      <c r="B16" s="1307" t="s">
        <v>2156</v>
      </c>
      <c r="C16" s="1311"/>
      <c r="D16" s="1312"/>
      <c r="E16" s="1313"/>
      <c r="F16" s="1313"/>
      <c r="G16" s="1313"/>
      <c r="H16" s="1313"/>
      <c r="I16" s="1313"/>
      <c r="J16" s="1313"/>
      <c r="K16" s="1313"/>
      <c r="L16" s="1310"/>
      <c r="M16" s="1313"/>
    </row>
    <row r="17" spans="2:14" ht="20.100000000000001" customHeight="1">
      <c r="B17" s="1307" t="s">
        <v>2157</v>
      </c>
      <c r="C17" s="1311"/>
      <c r="D17" s="1312"/>
      <c r="E17" s="1313"/>
      <c r="F17" s="1313"/>
      <c r="G17" s="1313"/>
      <c r="H17" s="1313"/>
      <c r="I17" s="1313"/>
      <c r="J17" s="1313"/>
      <c r="K17" s="1313"/>
      <c r="L17" s="1310"/>
      <c r="M17" s="1313"/>
    </row>
    <row r="18" spans="2:14" ht="20.100000000000001" customHeight="1">
      <c r="B18" s="1307" t="s">
        <v>2179</v>
      </c>
      <c r="C18" s="1311"/>
      <c r="D18" s="1312"/>
      <c r="E18" s="1313"/>
      <c r="F18" s="1313"/>
      <c r="G18" s="1313"/>
      <c r="H18" s="1313"/>
      <c r="I18" s="1313"/>
      <c r="J18" s="1313"/>
      <c r="K18" s="1313"/>
      <c r="L18" s="1310"/>
      <c r="M18" s="1313"/>
    </row>
    <row r="19" spans="2:14" ht="20.100000000000001" customHeight="1">
      <c r="B19" s="1307" t="s">
        <v>2185</v>
      </c>
      <c r="C19" s="1311"/>
      <c r="D19" s="1312"/>
      <c r="E19" s="1313">
        <v>7100</v>
      </c>
      <c r="F19" s="1313">
        <v>0</v>
      </c>
      <c r="G19" s="1313">
        <v>9350</v>
      </c>
      <c r="H19" s="1313"/>
      <c r="I19" s="1313">
        <v>0</v>
      </c>
      <c r="J19" s="1313"/>
      <c r="K19" s="1313"/>
      <c r="L19" s="1310">
        <v>0</v>
      </c>
      <c r="M19" s="1313"/>
    </row>
    <row r="20" spans="2:14" ht="20.100000000000001" customHeight="1">
      <c r="B20" s="1307"/>
      <c r="C20" s="1311"/>
      <c r="D20" s="1312"/>
      <c r="E20" s="1313">
        <f>E19</f>
        <v>7100</v>
      </c>
      <c r="F20" s="1313">
        <f>F19</f>
        <v>0</v>
      </c>
      <c r="G20" s="1313">
        <f>G19</f>
        <v>9350</v>
      </c>
      <c r="H20" s="1313">
        <f>H19</f>
        <v>0</v>
      </c>
      <c r="I20" s="1313">
        <f>I19</f>
        <v>0</v>
      </c>
      <c r="J20" s="1313"/>
      <c r="K20" s="1313"/>
      <c r="L20" s="1310">
        <f>+G20+I20+K20</f>
        <v>9350</v>
      </c>
      <c r="M20" s="1313"/>
    </row>
    <row r="21" spans="2:14" ht="20.100000000000001" customHeight="1">
      <c r="B21" s="1307"/>
      <c r="C21" s="1311"/>
      <c r="D21" s="1312"/>
      <c r="E21" s="1313"/>
      <c r="F21" s="1313"/>
      <c r="G21" s="1313"/>
      <c r="H21" s="1313"/>
      <c r="I21" s="1313"/>
      <c r="J21" s="1313"/>
      <c r="K21" s="1313"/>
      <c r="L21" s="1310">
        <f t="shared" si="0"/>
        <v>0</v>
      </c>
      <c r="M21" s="1313"/>
    </row>
    <row r="22" spans="2:14" ht="20.100000000000001" customHeight="1">
      <c r="B22" s="1307"/>
      <c r="C22" s="1311"/>
      <c r="D22" s="1312"/>
      <c r="E22" s="1313"/>
      <c r="F22" s="1313"/>
      <c r="G22" s="1313"/>
      <c r="H22" s="1313"/>
      <c r="I22" s="1313"/>
      <c r="J22" s="1313"/>
      <c r="K22" s="1313"/>
      <c r="L22" s="1310">
        <f t="shared" si="0"/>
        <v>0</v>
      </c>
      <c r="M22" s="1313"/>
    </row>
    <row r="23" spans="2:14" ht="20.100000000000001" customHeight="1">
      <c r="B23" s="1307"/>
      <c r="C23" s="1311"/>
      <c r="D23" s="1312"/>
      <c r="E23" s="1313"/>
      <c r="F23" s="1313"/>
      <c r="G23" s="1313"/>
      <c r="H23" s="1313"/>
      <c r="I23" s="1313"/>
      <c r="J23" s="1313"/>
      <c r="K23" s="1313"/>
      <c r="L23" s="1310">
        <f t="shared" si="0"/>
        <v>0</v>
      </c>
      <c r="M23" s="1313"/>
    </row>
    <row r="24" spans="2:14" ht="20.100000000000001" customHeight="1">
      <c r="B24" s="1970" t="s">
        <v>2186</v>
      </c>
      <c r="C24" s="1311"/>
      <c r="D24" s="1312"/>
      <c r="E24" s="1313">
        <f>E20+' SEFA (2)'!E14+' SEFA (1)'!E20+' SEFA (1)'!E27</f>
        <v>1053449</v>
      </c>
      <c r="F24" s="1313">
        <f>F20+' SEFA (2)'!F14+' SEFA (1)'!F20+' SEFA (1)'!F27</f>
        <v>1750836</v>
      </c>
      <c r="G24" s="1313">
        <f>G20+' SEFA (2)'!G14+' SEFA (1)'!G20+' SEFA (1)'!G27</f>
        <v>1995027</v>
      </c>
      <c r="H24" s="1313">
        <f>H20+' SEFA (2)'!H14+' SEFA (1)'!H20+' SEFA (1)'!H27</f>
        <v>0</v>
      </c>
      <c r="I24" s="1313">
        <f>I20+' SEFA (2)'!I14+' SEFA (1)'!I20+' SEFA (1)'!I27</f>
        <v>2025768</v>
      </c>
      <c r="J24" s="1313">
        <f>J20+' SEFA (2)'!J14+' SEFA (1)'!J20+' SEFA (1)'!J27</f>
        <v>0</v>
      </c>
      <c r="K24" s="1313"/>
      <c r="L24" s="1310">
        <f>+G24+I24+K24</f>
        <v>4020795</v>
      </c>
      <c r="M24" s="1313"/>
    </row>
    <row r="25" spans="2:14" ht="20.100000000000001" customHeight="1">
      <c r="B25" s="1307"/>
      <c r="C25" s="1311"/>
      <c r="D25" s="1312"/>
      <c r="E25" s="1313"/>
      <c r="F25" s="1313"/>
      <c r="G25" s="1313"/>
      <c r="H25" s="1313"/>
      <c r="I25" s="1313"/>
      <c r="J25" s="1313"/>
      <c r="K25" s="1313"/>
      <c r="L25" s="1310">
        <f t="shared" si="0"/>
        <v>0</v>
      </c>
      <c r="M25" s="1313"/>
    </row>
    <row r="26" spans="2:14" ht="20.100000000000001" customHeight="1">
      <c r="B26" s="1307"/>
      <c r="C26" s="1311"/>
      <c r="D26" s="1312"/>
      <c r="E26" s="1313"/>
      <c r="F26" s="1313"/>
      <c r="G26" s="1313"/>
      <c r="H26" s="1313"/>
      <c r="I26" s="1313"/>
      <c r="J26" s="1313"/>
      <c r="K26" s="1313"/>
      <c r="L26" s="1310">
        <f t="shared" si="0"/>
        <v>0</v>
      </c>
      <c r="M26" s="1313"/>
    </row>
    <row r="27" spans="2:14" ht="20.100000000000001" customHeight="1">
      <c r="B27" s="1307"/>
      <c r="C27" s="1311"/>
      <c r="D27" s="1312"/>
      <c r="E27" s="1313"/>
      <c r="F27" s="1313"/>
      <c r="G27" s="1313"/>
      <c r="H27" s="1313"/>
      <c r="I27" s="1313"/>
      <c r="J27" s="1313"/>
      <c r="K27" s="1313"/>
      <c r="L27" s="1310">
        <f t="shared" si="0"/>
        <v>0</v>
      </c>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1838</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1949</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1839</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1840</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1841</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1842</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26" zoomScaleNormal="100" zoomScaleSheetLayoutView="100" workbookViewId="0">
      <selection activeCell="I27" sqref="I27"/>
    </sheetView>
  </sheetViews>
  <sheetFormatPr defaultColWidth="33.5703125" defaultRowHeight="12.75"/>
  <cols>
    <col min="1" max="1" width="0.140625" style="316" customWidth="1"/>
    <col min="2" max="2" width="32.85546875" style="316" customWidth="1"/>
    <col min="3" max="3" width="8.7109375" style="1327" customWidth="1"/>
    <col min="4" max="4" width="12.7109375" style="1328"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c r="B1" s="2423" t="str">
        <f>'Single Audit Cover'!A7</f>
        <v>Rich Township High School District 227</v>
      </c>
      <c r="C1" s="2479"/>
      <c r="D1" s="2479"/>
      <c r="E1" s="2479"/>
      <c r="F1" s="2479"/>
      <c r="G1" s="2479"/>
      <c r="H1" s="2479"/>
      <c r="I1" s="2479"/>
      <c r="J1" s="2479"/>
      <c r="K1" s="2479"/>
      <c r="L1" s="2479"/>
      <c r="M1" s="2479"/>
    </row>
    <row r="2" spans="2:14" ht="15">
      <c r="B2" s="2468" t="str">
        <f>'Single Audit Cover'!E7</f>
        <v>07-016-2270-17</v>
      </c>
      <c r="C2" s="2468"/>
      <c r="D2" s="2468"/>
      <c r="E2" s="2468"/>
      <c r="F2" s="2468"/>
      <c r="G2" s="2468"/>
      <c r="H2" s="2468"/>
      <c r="I2" s="2468"/>
      <c r="J2" s="2468"/>
      <c r="K2" s="2468"/>
      <c r="L2" s="2468"/>
      <c r="M2" s="2468"/>
      <c r="N2" s="1272"/>
    </row>
    <row r="3" spans="2:14" ht="15">
      <c r="B3" s="2480" t="s">
        <v>1281</v>
      </c>
      <c r="C3" s="2480"/>
      <c r="D3" s="2480"/>
      <c r="E3" s="2480"/>
      <c r="F3" s="2480"/>
      <c r="G3" s="2480"/>
      <c r="H3" s="2480"/>
      <c r="I3" s="2480"/>
      <c r="J3" s="2480"/>
      <c r="K3" s="2480"/>
      <c r="L3" s="2480"/>
      <c r="M3" s="2480"/>
      <c r="N3" s="1272"/>
    </row>
    <row r="4" spans="2:14" ht="15">
      <c r="B4" s="2481" t="str">
        <f>'Single Audit Cover'!A4</f>
        <v>Year Ending June 30, 2018</v>
      </c>
      <c r="C4" s="2481"/>
      <c r="D4" s="2481"/>
      <c r="E4" s="2481"/>
      <c r="F4" s="2481"/>
      <c r="G4" s="2481"/>
      <c r="H4" s="2481"/>
      <c r="I4" s="2481"/>
      <c r="J4" s="2481"/>
      <c r="K4" s="2481"/>
      <c r="L4" s="2481"/>
      <c r="M4" s="2481"/>
      <c r="N4" s="1272"/>
    </row>
    <row r="6" spans="2:14">
      <c r="B6" s="1273"/>
      <c r="C6" s="1274"/>
      <c r="D6" s="1275" t="s">
        <v>1327</v>
      </c>
      <c r="E6" s="1276" t="s">
        <v>548</v>
      </c>
      <c r="F6" s="1277"/>
      <c r="G6" s="1278" t="s">
        <v>1835</v>
      </c>
      <c r="H6" s="1276"/>
      <c r="I6" s="1276"/>
      <c r="J6" s="1276"/>
      <c r="K6" s="1279"/>
      <c r="L6" s="1280"/>
      <c r="M6" s="1281"/>
    </row>
    <row r="7" spans="2:14">
      <c r="B7" s="1282" t="s">
        <v>1662</v>
      </c>
      <c r="C7" s="1283"/>
      <c r="D7" s="1284"/>
      <c r="E7" s="1285"/>
      <c r="F7" s="1286"/>
      <c r="G7" s="1285"/>
      <c r="H7" s="1287" t="s">
        <v>1324</v>
      </c>
      <c r="I7" s="1285"/>
      <c r="J7" s="1288" t="s">
        <v>1324</v>
      </c>
      <c r="K7" s="1289"/>
      <c r="L7" s="1290" t="s">
        <v>1322</v>
      </c>
      <c r="M7" s="1291"/>
    </row>
    <row r="8" spans="2:14">
      <c r="B8" s="1657"/>
      <c r="C8" s="1283" t="s">
        <v>1326</v>
      </c>
      <c r="D8" s="1284" t="s">
        <v>1325</v>
      </c>
      <c r="E8" s="1292" t="s">
        <v>1324</v>
      </c>
      <c r="F8" s="1293" t="s">
        <v>1324</v>
      </c>
      <c r="G8" s="1294" t="s">
        <v>1324</v>
      </c>
      <c r="H8" s="1287" t="s">
        <v>1663</v>
      </c>
      <c r="I8" s="1289" t="s">
        <v>1324</v>
      </c>
      <c r="J8" s="1288" t="s">
        <v>1948</v>
      </c>
      <c r="K8" s="1289" t="s">
        <v>1323</v>
      </c>
      <c r="L8" s="1290" t="s">
        <v>1319</v>
      </c>
      <c r="M8" s="1291" t="s">
        <v>30</v>
      </c>
    </row>
    <row r="9" spans="2:14" ht="14.25">
      <c r="B9" s="1295" t="s">
        <v>1321</v>
      </c>
      <c r="C9" s="1283" t="s">
        <v>1836</v>
      </c>
      <c r="D9" s="1284" t="s">
        <v>1837</v>
      </c>
      <c r="E9" s="1292" t="s">
        <v>1663</v>
      </c>
      <c r="F9" s="1293" t="s">
        <v>1948</v>
      </c>
      <c r="G9" s="1294" t="s">
        <v>1663</v>
      </c>
      <c r="H9" s="1287" t="s">
        <v>1664</v>
      </c>
      <c r="I9" s="1289" t="s">
        <v>1948</v>
      </c>
      <c r="J9" s="1288" t="s">
        <v>1664</v>
      </c>
      <c r="K9" s="1289" t="s">
        <v>1320</v>
      </c>
      <c r="L9" s="1296" t="s">
        <v>1665</v>
      </c>
      <c r="M9" s="1291"/>
    </row>
    <row r="10" spans="2:14" ht="11.85" customHeight="1">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c r="B11" s="1307" t="s">
        <v>2187</v>
      </c>
      <c r="C11" s="1308"/>
      <c r="D11" s="1309"/>
      <c r="E11" s="1310"/>
      <c r="F11" s="1310"/>
      <c r="G11" s="1310"/>
      <c r="H11" s="1310"/>
      <c r="I11" s="1310"/>
      <c r="J11" s="1310"/>
      <c r="K11" s="1310"/>
      <c r="L11" s="1310">
        <f>+G11+I11+K11</f>
        <v>0</v>
      </c>
      <c r="M11" s="1310"/>
    </row>
    <row r="12" spans="2:14" ht="20.100000000000001" customHeight="1">
      <c r="B12" s="1307" t="s">
        <v>2157</v>
      </c>
      <c r="C12" s="1311"/>
      <c r="D12" s="1312"/>
      <c r="E12" s="1313"/>
      <c r="F12" s="1313"/>
      <c r="G12" s="1313"/>
      <c r="H12" s="1313"/>
      <c r="I12" s="1313"/>
      <c r="J12" s="1313"/>
      <c r="K12" s="1313"/>
      <c r="L12" s="1310">
        <f t="shared" ref="L12:L27" si="0">+G12+I12+K12</f>
        <v>0</v>
      </c>
      <c r="M12" s="1313"/>
    </row>
    <row r="13" spans="2:14" ht="20.100000000000001" customHeight="1">
      <c r="B13" s="1307" t="s">
        <v>2188</v>
      </c>
      <c r="C13" s="1311">
        <v>10.555</v>
      </c>
      <c r="D13" s="1312" t="s">
        <v>2189</v>
      </c>
      <c r="E13" s="1313">
        <v>782249</v>
      </c>
      <c r="F13" s="1313">
        <v>212167</v>
      </c>
      <c r="G13" s="1313">
        <v>782249</v>
      </c>
      <c r="H13" s="1313">
        <v>0</v>
      </c>
      <c r="I13" s="1313">
        <v>212167</v>
      </c>
      <c r="J13" s="1313">
        <v>0</v>
      </c>
      <c r="K13" s="1313">
        <v>0</v>
      </c>
      <c r="L13" s="1310">
        <f t="shared" si="0"/>
        <v>994416</v>
      </c>
      <c r="M13" s="1313"/>
    </row>
    <row r="14" spans="2:14" ht="20.100000000000001" customHeight="1">
      <c r="B14" s="1307" t="s">
        <v>2188</v>
      </c>
      <c r="C14" s="1311">
        <v>10.555</v>
      </c>
      <c r="D14" s="1312" t="s">
        <v>2190</v>
      </c>
      <c r="E14" s="1313">
        <v>0</v>
      </c>
      <c r="F14" s="1313">
        <v>733263</v>
      </c>
      <c r="G14" s="1313">
        <v>0</v>
      </c>
      <c r="H14" s="1313">
        <v>0</v>
      </c>
      <c r="I14" s="1313">
        <v>733263</v>
      </c>
      <c r="J14" s="1313">
        <v>0</v>
      </c>
      <c r="K14" s="1313">
        <v>0</v>
      </c>
      <c r="L14" s="1310">
        <f t="shared" si="0"/>
        <v>733263</v>
      </c>
      <c r="M14" s="1313"/>
    </row>
    <row r="15" spans="2:14" ht="20.100000000000001" customHeight="1">
      <c r="B15" s="1307" t="s">
        <v>2191</v>
      </c>
      <c r="C15" s="1311">
        <v>10.553000000000001</v>
      </c>
      <c r="D15" s="1312" t="s">
        <v>2192</v>
      </c>
      <c r="E15" s="1313">
        <v>231466</v>
      </c>
      <c r="F15" s="1313">
        <v>46340</v>
      </c>
      <c r="G15" s="1313">
        <v>231466</v>
      </c>
      <c r="H15" s="1313">
        <v>0</v>
      </c>
      <c r="I15" s="1313">
        <v>46340</v>
      </c>
      <c r="J15" s="1313">
        <v>0</v>
      </c>
      <c r="K15" s="1313">
        <v>0</v>
      </c>
      <c r="L15" s="1310">
        <f t="shared" si="0"/>
        <v>277806</v>
      </c>
      <c r="M15" s="1313"/>
    </row>
    <row r="16" spans="2:14" ht="20.100000000000001" customHeight="1">
      <c r="B16" s="1307" t="s">
        <v>2191</v>
      </c>
      <c r="C16" s="1311">
        <v>10.553000000000001</v>
      </c>
      <c r="D16" s="1312" t="s">
        <v>2193</v>
      </c>
      <c r="E16" s="1313">
        <v>0</v>
      </c>
      <c r="F16" s="1313">
        <v>219890</v>
      </c>
      <c r="G16" s="1313">
        <v>0</v>
      </c>
      <c r="H16" s="1313">
        <v>0</v>
      </c>
      <c r="I16" s="1313">
        <v>219890</v>
      </c>
      <c r="J16" s="1313">
        <v>0</v>
      </c>
      <c r="K16" s="1313">
        <v>0</v>
      </c>
      <c r="L16" s="1310">
        <f t="shared" si="0"/>
        <v>219890</v>
      </c>
      <c r="M16" s="1313"/>
    </row>
    <row r="17" spans="2:14" ht="20.100000000000001" customHeight="1">
      <c r="B17" s="1307" t="s">
        <v>2194</v>
      </c>
      <c r="C17" s="1311">
        <v>10.555</v>
      </c>
      <c r="D17" s="1312" t="s">
        <v>2195</v>
      </c>
      <c r="E17" s="1313">
        <v>0</v>
      </c>
      <c r="F17" s="1313">
        <v>99115</v>
      </c>
      <c r="G17" s="1313">
        <v>0</v>
      </c>
      <c r="H17" s="1313">
        <v>0</v>
      </c>
      <c r="I17" s="1313">
        <v>99115</v>
      </c>
      <c r="J17" s="1313">
        <v>0</v>
      </c>
      <c r="K17" s="1313">
        <v>0</v>
      </c>
      <c r="L17" s="1310">
        <f t="shared" si="0"/>
        <v>99115</v>
      </c>
      <c r="M17" s="1313"/>
    </row>
    <row r="18" spans="2:14" ht="20.100000000000001" customHeight="1">
      <c r="B18" s="1307" t="s">
        <v>2196</v>
      </c>
      <c r="C18" s="1311">
        <v>10.555</v>
      </c>
      <c r="D18" s="1312" t="s">
        <v>2195</v>
      </c>
      <c r="E18" s="1313">
        <v>0</v>
      </c>
      <c r="F18" s="1313">
        <v>36972</v>
      </c>
      <c r="G18" s="1313">
        <v>0</v>
      </c>
      <c r="H18" s="1313">
        <v>0</v>
      </c>
      <c r="I18" s="1313">
        <v>36972</v>
      </c>
      <c r="J18" s="1313">
        <v>0</v>
      </c>
      <c r="K18" s="1313">
        <v>0</v>
      </c>
      <c r="L18" s="1310">
        <f t="shared" si="0"/>
        <v>36972</v>
      </c>
      <c r="M18" s="1313"/>
    </row>
    <row r="19" spans="2:14" ht="20.100000000000001" customHeight="1">
      <c r="B19" s="1307" t="s">
        <v>2201</v>
      </c>
      <c r="C19" s="1311"/>
      <c r="D19" s="1312"/>
      <c r="E19" s="1313">
        <f t="shared" ref="E19:K19" si="1">SUM(E13:E18)</f>
        <v>1013715</v>
      </c>
      <c r="F19" s="1313">
        <f t="shared" si="1"/>
        <v>1347747</v>
      </c>
      <c r="G19" s="1313">
        <f t="shared" si="1"/>
        <v>1013715</v>
      </c>
      <c r="H19" s="1313">
        <f t="shared" si="1"/>
        <v>0</v>
      </c>
      <c r="I19" s="1313">
        <f t="shared" si="1"/>
        <v>1347747</v>
      </c>
      <c r="J19" s="1313">
        <f t="shared" si="1"/>
        <v>0</v>
      </c>
      <c r="K19" s="1313">
        <f t="shared" si="1"/>
        <v>0</v>
      </c>
      <c r="L19" s="1310">
        <f t="shared" si="0"/>
        <v>2361462</v>
      </c>
      <c r="M19" s="1313"/>
    </row>
    <row r="20" spans="2:14" ht="20.100000000000001" customHeight="1">
      <c r="B20" s="1307"/>
      <c r="C20" s="1311"/>
      <c r="D20" s="1312"/>
      <c r="E20" s="1313"/>
      <c r="F20" s="1313"/>
      <c r="G20" s="1313"/>
      <c r="H20" s="1313"/>
      <c r="I20" s="1313"/>
      <c r="J20" s="1313"/>
      <c r="K20" s="1313"/>
      <c r="L20" s="1310">
        <f t="shared" si="0"/>
        <v>0</v>
      </c>
      <c r="M20" s="1313"/>
    </row>
    <row r="21" spans="2:14" ht="20.100000000000001" customHeight="1">
      <c r="B21" s="1307" t="s">
        <v>2197</v>
      </c>
      <c r="C21" s="1311"/>
      <c r="D21" s="1312"/>
      <c r="E21" s="1313"/>
      <c r="F21" s="1313"/>
      <c r="G21" s="1313"/>
      <c r="H21" s="1313"/>
      <c r="I21" s="1313"/>
      <c r="J21" s="1313"/>
      <c r="K21" s="1313"/>
      <c r="L21" s="1310">
        <f t="shared" si="0"/>
        <v>0</v>
      </c>
      <c r="M21" s="1313"/>
    </row>
    <row r="22" spans="2:14" ht="20.100000000000001" customHeight="1">
      <c r="B22" s="1307" t="s">
        <v>2198</v>
      </c>
      <c r="C22" s="1311"/>
      <c r="D22" s="1312"/>
      <c r="E22" s="1313"/>
      <c r="F22" s="1313"/>
      <c r="G22" s="1313"/>
      <c r="H22" s="1313"/>
      <c r="I22" s="1313"/>
      <c r="J22" s="1313"/>
      <c r="K22" s="1313"/>
      <c r="L22" s="1310">
        <f t="shared" si="0"/>
        <v>0</v>
      </c>
      <c r="M22" s="1313"/>
    </row>
    <row r="23" spans="2:14" ht="20.100000000000001" customHeight="1">
      <c r="B23" s="1307" t="s">
        <v>2199</v>
      </c>
      <c r="C23" s="1311">
        <v>93.778000000000006</v>
      </c>
      <c r="D23" s="1312" t="s">
        <v>2200</v>
      </c>
      <c r="E23" s="1313">
        <v>0</v>
      </c>
      <c r="F23" s="1313">
        <v>11072</v>
      </c>
      <c r="G23" s="1313">
        <v>0</v>
      </c>
      <c r="H23" s="1313">
        <v>0</v>
      </c>
      <c r="I23" s="1313">
        <v>11072</v>
      </c>
      <c r="J23" s="1313">
        <v>0</v>
      </c>
      <c r="K23" s="1313">
        <v>0</v>
      </c>
      <c r="L23" s="1310">
        <f t="shared" si="0"/>
        <v>11072</v>
      </c>
      <c r="M23" s="1313"/>
    </row>
    <row r="24" spans="2:14" ht="20.100000000000001" customHeight="1">
      <c r="B24" s="1307" t="s">
        <v>2202</v>
      </c>
      <c r="C24" s="1311"/>
      <c r="D24" s="1312"/>
      <c r="E24" s="1313">
        <v>0</v>
      </c>
      <c r="F24" s="1313">
        <v>11072</v>
      </c>
      <c r="G24" s="1313">
        <v>0</v>
      </c>
      <c r="H24" s="1313">
        <v>0</v>
      </c>
      <c r="I24" s="1313">
        <v>11072</v>
      </c>
      <c r="J24" s="1313">
        <v>0</v>
      </c>
      <c r="K24" s="1313">
        <v>0</v>
      </c>
      <c r="L24" s="1310">
        <f t="shared" si="0"/>
        <v>11072</v>
      </c>
      <c r="M24" s="1313"/>
    </row>
    <row r="25" spans="2:14" ht="20.100000000000001" customHeight="1">
      <c r="B25" s="1307"/>
      <c r="C25" s="1311"/>
      <c r="D25" s="1312"/>
      <c r="E25" s="1313"/>
      <c r="F25" s="1313"/>
      <c r="G25" s="1313"/>
      <c r="H25" s="1313"/>
      <c r="I25" s="1313"/>
      <c r="J25" s="1313"/>
      <c r="K25" s="1313"/>
      <c r="L25" s="1310">
        <f t="shared" si="0"/>
        <v>0</v>
      </c>
      <c r="M25" s="1313"/>
    </row>
    <row r="26" spans="2:14" ht="20.100000000000001" customHeight="1">
      <c r="B26" s="1307" t="s">
        <v>2203</v>
      </c>
      <c r="C26" s="1311"/>
      <c r="D26" s="1312"/>
      <c r="E26" s="1313">
        <f>+' SEFA (2)'!E24+' SEFA (3)'!E19+' SEFA (3)'!E24</f>
        <v>2067164</v>
      </c>
      <c r="F26" s="1313">
        <f>+' SEFA (2)'!F24+' SEFA (3)'!F19+' SEFA (3)'!F24</f>
        <v>3109655</v>
      </c>
      <c r="G26" s="1313">
        <f>+' SEFA (2)'!G24+' SEFA (3)'!G19+' SEFA (3)'!G24</f>
        <v>3008742</v>
      </c>
      <c r="H26" s="1313">
        <f>+' SEFA (2)'!H24+' SEFA (3)'!H19+' SEFA (3)'!H24</f>
        <v>0</v>
      </c>
      <c r="I26" s="1313">
        <f>+' SEFA (2)'!I24+' SEFA (3)'!I19+' SEFA (3)'!I24</f>
        <v>3384587</v>
      </c>
      <c r="J26" s="1313">
        <f>+' SEFA (2)'!J24+' SEFA (3)'!J19+' SEFA (3)'!J24</f>
        <v>0</v>
      </c>
      <c r="K26" s="1313">
        <f>+' SEFA (2)'!K24+' SEFA (3)'!K19+' SEFA (3)'!K24</f>
        <v>0</v>
      </c>
      <c r="L26" s="1310">
        <f>+G26+I26+K26</f>
        <v>6393329</v>
      </c>
      <c r="M26" s="1313"/>
    </row>
    <row r="27" spans="2:14" ht="20.100000000000001" customHeight="1">
      <c r="B27" s="1307"/>
      <c r="C27" s="1311"/>
      <c r="D27" s="1312"/>
      <c r="E27" s="1313"/>
      <c r="F27" s="1313"/>
      <c r="G27" s="1313"/>
      <c r="H27" s="1313"/>
      <c r="I27" s="1313"/>
      <c r="J27" s="1313"/>
      <c r="K27" s="1313"/>
      <c r="L27" s="1310">
        <f t="shared" si="0"/>
        <v>0</v>
      </c>
      <c r="M27" s="1313"/>
      <c r="N27" s="1314"/>
    </row>
    <row r="28" spans="2:14" ht="12.75" customHeight="1">
      <c r="B28" s="1315"/>
      <c r="C28" s="1316"/>
      <c r="D28" s="1317"/>
      <c r="E28" s="1318"/>
      <c r="F28" s="1318"/>
      <c r="G28" s="1318"/>
      <c r="H28" s="1318"/>
      <c r="I28" s="1318"/>
      <c r="J28" s="1318"/>
      <c r="K28" s="1318"/>
      <c r="L28" s="1318"/>
      <c r="M28" s="1318"/>
      <c r="N28" s="1314"/>
    </row>
    <row r="29" spans="2:14">
      <c r="B29" s="1227"/>
      <c r="C29" s="1319"/>
      <c r="D29" s="1320"/>
      <c r="E29" s="1227"/>
      <c r="F29" s="1227"/>
      <c r="G29" s="1220"/>
      <c r="H29" s="1220"/>
      <c r="I29" s="1220"/>
      <c r="J29" s="1220"/>
      <c r="K29" s="1220"/>
      <c r="L29" s="1220"/>
      <c r="M29" s="1227"/>
      <c r="N29" s="1314"/>
    </row>
    <row r="30" spans="2:14" ht="13.5" customHeight="1">
      <c r="B30" s="1252" t="s">
        <v>1838</v>
      </c>
      <c r="C30" s="1319"/>
      <c r="D30" s="1320"/>
      <c r="E30" s="1227"/>
      <c r="F30" s="1227"/>
      <c r="G30" s="1220"/>
      <c r="H30" s="1220"/>
      <c r="I30" s="1220"/>
      <c r="J30" s="1220"/>
      <c r="K30" s="1220"/>
      <c r="L30" s="1220"/>
      <c r="M30" s="1227"/>
      <c r="N30" s="1314"/>
    </row>
    <row r="31" spans="2:14" ht="8.25" customHeight="1">
      <c r="B31" s="1252"/>
      <c r="C31" s="1319"/>
      <c r="D31" s="1320"/>
      <c r="E31" s="1227"/>
      <c r="F31" s="1227"/>
      <c r="G31" s="1220"/>
      <c r="H31" s="1220"/>
      <c r="I31" s="1220"/>
      <c r="J31" s="1220"/>
      <c r="K31" s="1220"/>
      <c r="L31" s="1220"/>
      <c r="M31" s="1227"/>
      <c r="N31" s="1314"/>
    </row>
    <row r="32" spans="2:14">
      <c r="B32" s="1321" t="s">
        <v>1949</v>
      </c>
      <c r="C32" s="1322"/>
      <c r="D32" s="1323"/>
      <c r="E32" s="1324"/>
      <c r="F32" s="1324"/>
      <c r="G32" s="1324"/>
      <c r="H32" s="1324"/>
      <c r="I32" s="316"/>
      <c r="J32" s="316"/>
    </row>
    <row r="33" spans="2:13">
      <c r="B33" s="1247"/>
      <c r="C33" s="1325"/>
      <c r="D33" s="1326"/>
      <c r="E33" s="1248"/>
      <c r="F33" s="1248"/>
      <c r="G33" s="316"/>
      <c r="H33" s="316"/>
      <c r="I33" s="316"/>
      <c r="J33" s="316"/>
    </row>
    <row r="34" spans="2:13" ht="13.5" customHeight="1">
      <c r="B34" s="1246" t="s">
        <v>1308</v>
      </c>
      <c r="G34" s="316"/>
      <c r="H34" s="316"/>
      <c r="I34" s="316"/>
      <c r="J34" s="316"/>
    </row>
    <row r="35" spans="2:13" ht="13.5" customHeight="1">
      <c r="B35" s="1329"/>
      <c r="C35" s="1330"/>
      <c r="D35" s="1331"/>
      <c r="E35" s="1267"/>
      <c r="F35" s="1267"/>
      <c r="G35" s="1267"/>
      <c r="H35" s="1267"/>
      <c r="I35" s="1267"/>
      <c r="J35" s="1267"/>
      <c r="K35" s="1332"/>
      <c r="L35" s="1332"/>
      <c r="M35" s="1267"/>
    </row>
    <row r="36" spans="2:13" ht="9.6" customHeight="1">
      <c r="B36" s="1333"/>
      <c r="G36" s="316"/>
      <c r="H36" s="316"/>
      <c r="I36" s="316"/>
      <c r="J36" s="316"/>
    </row>
    <row r="37" spans="2:13" ht="11.25" customHeight="1">
      <c r="B37" s="1334" t="s">
        <v>1839</v>
      </c>
      <c r="C37" s="1335"/>
      <c r="D37" s="1335"/>
      <c r="E37" s="1335"/>
      <c r="F37" s="1335"/>
      <c r="G37" s="1335"/>
      <c r="H37" s="1335"/>
      <c r="I37" s="1336"/>
      <c r="J37" s="1336"/>
      <c r="K37" s="1336"/>
      <c r="L37" s="1336"/>
      <c r="M37" s="1336"/>
    </row>
    <row r="38" spans="2:13" ht="11.25" customHeight="1">
      <c r="B38" s="1337" t="s">
        <v>1666</v>
      </c>
      <c r="C38" s="1336"/>
      <c r="D38" s="1336"/>
      <c r="E38" s="1336"/>
      <c r="F38" s="1336"/>
      <c r="G38" s="1336"/>
      <c r="H38" s="1336"/>
      <c r="I38" s="1336"/>
      <c r="J38" s="1336"/>
      <c r="K38" s="1336"/>
      <c r="L38" s="1336"/>
      <c r="M38" s="1336"/>
    </row>
    <row r="39" spans="2:13" ht="3.95" customHeight="1">
      <c r="B39" s="1337"/>
      <c r="C39" s="1336"/>
      <c r="D39" s="1336"/>
      <c r="E39" s="1336"/>
      <c r="F39" s="1336"/>
      <c r="G39" s="1336"/>
      <c r="H39" s="1336"/>
      <c r="I39" s="1336"/>
      <c r="J39" s="1336"/>
      <c r="K39" s="1336"/>
      <c r="L39" s="1336"/>
      <c r="M39" s="1336"/>
    </row>
    <row r="40" spans="2:13" ht="11.25" customHeight="1">
      <c r="B40" s="1334" t="s">
        <v>1840</v>
      </c>
      <c r="C40" s="1336"/>
      <c r="D40" s="1336"/>
      <c r="E40" s="1336"/>
      <c r="F40" s="1336"/>
      <c r="G40" s="1336"/>
      <c r="H40" s="1336"/>
      <c r="I40" s="1336"/>
      <c r="J40" s="1336"/>
      <c r="K40" s="1336"/>
      <c r="L40" s="1336"/>
      <c r="M40" s="1336"/>
    </row>
    <row r="41" spans="2:13" ht="11.25" customHeight="1">
      <c r="B41" s="1270" t="s">
        <v>1667</v>
      </c>
      <c r="C41" s="1338"/>
      <c r="D41" s="1339"/>
      <c r="E41" s="1270"/>
      <c r="F41" s="1270"/>
      <c r="G41" s="1270"/>
      <c r="H41" s="1270"/>
      <c r="I41" s="1270"/>
      <c r="J41" s="1270"/>
      <c r="K41" s="1340"/>
      <c r="L41" s="1340"/>
      <c r="M41" s="1270"/>
    </row>
    <row r="42" spans="2:13" ht="3.95" customHeight="1">
      <c r="B42" s="1270"/>
      <c r="C42" s="1338"/>
      <c r="D42" s="1339"/>
      <c r="E42" s="1270"/>
      <c r="F42" s="1270"/>
      <c r="G42" s="1270"/>
      <c r="H42" s="1270"/>
      <c r="I42" s="1270"/>
      <c r="J42" s="1270"/>
      <c r="K42" s="1340"/>
      <c r="L42" s="1340"/>
      <c r="M42" s="1270"/>
    </row>
    <row r="43" spans="2:13" ht="11.25" customHeight="1">
      <c r="B43" s="1341" t="s">
        <v>1841</v>
      </c>
      <c r="C43" s="1338"/>
      <c r="D43" s="1339"/>
      <c r="E43" s="1270"/>
      <c r="F43" s="1270"/>
      <c r="G43" s="1270"/>
      <c r="H43" s="1270"/>
      <c r="I43" s="1270"/>
      <c r="J43" s="1270"/>
      <c r="K43" s="1340"/>
      <c r="L43" s="1340"/>
      <c r="M43" s="1270"/>
    </row>
    <row r="44" spans="2:13" ht="3.95" customHeight="1">
      <c r="B44" s="1341"/>
      <c r="C44" s="1338"/>
      <c r="D44" s="1339"/>
      <c r="E44" s="1270"/>
      <c r="F44" s="1270"/>
      <c r="G44" s="1270"/>
      <c r="H44" s="1270"/>
      <c r="I44" s="1270"/>
      <c r="J44" s="1270"/>
      <c r="K44" s="1340"/>
      <c r="L44" s="1340"/>
      <c r="M44" s="1270"/>
    </row>
    <row r="45" spans="2:13" ht="11.25" customHeight="1">
      <c r="B45" s="1342" t="s">
        <v>1842</v>
      </c>
      <c r="C45" s="1338"/>
      <c r="D45" s="1339"/>
      <c r="E45" s="1270"/>
      <c r="F45" s="1270"/>
      <c r="G45" s="1270"/>
      <c r="H45" s="1270"/>
      <c r="I45" s="1270"/>
      <c r="J45" s="1270"/>
      <c r="K45" s="1340"/>
      <c r="L45" s="1340"/>
      <c r="M45" s="1270"/>
    </row>
    <row r="46" spans="2:13" ht="11.25" customHeight="1">
      <c r="B46" s="1270" t="s">
        <v>1668</v>
      </c>
      <c r="G46" s="316"/>
      <c r="H46" s="316"/>
      <c r="I46" s="316"/>
      <c r="J46" s="316"/>
    </row>
    <row r="47" spans="2:13" ht="11.1" customHeight="1">
      <c r="B47" s="1270"/>
      <c r="G47" s="316"/>
      <c r="H47" s="316"/>
      <c r="I47" s="316"/>
      <c r="J47" s="316"/>
    </row>
    <row r="48" spans="2:13" ht="11.1" customHeight="1">
      <c r="B48" s="1270"/>
      <c r="G48" s="316"/>
      <c r="H48" s="316"/>
      <c r="I48" s="316"/>
      <c r="J48" s="316"/>
    </row>
    <row r="49" spans="7:13" ht="13.5" customHeight="1">
      <c r="M49" s="1343"/>
    </row>
    <row r="50" spans="7:13" ht="13.5" customHeight="1">
      <c r="M50" s="1343"/>
    </row>
    <row r="51" spans="7:13" ht="13.5" customHeight="1">
      <c r="M51" s="1343"/>
    </row>
    <row r="52" spans="7:13" ht="13.5" customHeight="1">
      <c r="G52" s="316"/>
      <c r="H52" s="316"/>
      <c r="I52" s="316"/>
      <c r="J52" s="316"/>
    </row>
    <row r="53" spans="7:13" ht="13.5" customHeight="1">
      <c r="G53" s="316"/>
      <c r="H53" s="316"/>
      <c r="I53" s="316"/>
      <c r="J53" s="316"/>
    </row>
    <row r="54" spans="7:13" ht="13.5" customHeight="1">
      <c r="G54" s="316"/>
      <c r="H54" s="316"/>
      <c r="I54" s="316"/>
      <c r="J54" s="316"/>
    </row>
    <row r="55" spans="7:13" ht="13.5" customHeight="1">
      <c r="G55" s="316"/>
      <c r="H55" s="316"/>
      <c r="I55" s="316"/>
      <c r="J55" s="316"/>
    </row>
    <row r="56" spans="7:13" ht="13.5" customHeight="1">
      <c r="G56" s="316"/>
      <c r="H56" s="316"/>
      <c r="I56" s="316"/>
      <c r="J56" s="316"/>
    </row>
    <row r="57" spans="7:13" ht="13.5" customHeight="1">
      <c r="G57" s="316"/>
      <c r="H57" s="316"/>
      <c r="I57" s="316"/>
      <c r="J57" s="316"/>
    </row>
    <row r="58" spans="7:13" ht="13.5" customHeight="1">
      <c r="G58" s="316"/>
      <c r="H58" s="316"/>
      <c r="I58" s="316"/>
      <c r="J58" s="316"/>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view="pageBreakPreview" topLeftCell="A38" zoomScaleNormal="110" zoomScaleSheetLayoutView="100" workbookViewId="0">
      <selection activeCell="F21" sqref="F21"/>
    </sheetView>
  </sheetViews>
  <sheetFormatPr defaultColWidth="9.140625" defaultRowHeight="12.75"/>
  <cols>
    <col min="1" max="1" width="1.42578125" style="1270" customWidth="1"/>
    <col min="2" max="2" width="24.42578125" style="1327" customWidth="1"/>
    <col min="3" max="3" width="29.5703125" style="316" customWidth="1"/>
    <col min="4" max="4" width="9.28515625" style="316" customWidth="1"/>
    <col min="5" max="5" width="5.28515625" style="1228"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86" t="str">
        <f>'Single Audit Cover'!A7</f>
        <v>Rich Township High School District 227</v>
      </c>
      <c r="C1" s="2487"/>
      <c r="D1" s="2487"/>
      <c r="E1" s="2487"/>
      <c r="F1" s="2487"/>
      <c r="G1" s="2487"/>
      <c r="H1" s="2487"/>
      <c r="I1" s="2487"/>
      <c r="J1" s="1392"/>
    </row>
    <row r="2" spans="2:10" s="316" customFormat="1" ht="12.75" customHeight="1">
      <c r="B2" s="2488" t="str">
        <f>'Single Audit Cover'!E7</f>
        <v>07-016-2270-17</v>
      </c>
      <c r="C2" s="2489"/>
      <c r="D2" s="2489"/>
      <c r="E2" s="2489"/>
      <c r="F2" s="2489"/>
      <c r="G2" s="2489"/>
      <c r="H2" s="2489"/>
      <c r="I2" s="2489"/>
      <c r="J2" s="1392"/>
    </row>
    <row r="3" spans="2:10" s="316" customFormat="1" ht="12.75" customHeight="1">
      <c r="B3" s="2490" t="s">
        <v>1347</v>
      </c>
      <c r="C3" s="2491"/>
      <c r="D3" s="2491"/>
      <c r="E3" s="2491"/>
      <c r="F3" s="2491"/>
      <c r="G3" s="2491"/>
      <c r="H3" s="2491"/>
      <c r="I3" s="2491"/>
      <c r="J3" s="1393"/>
    </row>
    <row r="4" spans="2:10" s="316" customFormat="1" ht="12.75" customHeight="1">
      <c r="B4" s="2490" t="str">
        <f>'Single Audit Cover'!A4</f>
        <v>Year Ending June 30, 2018</v>
      </c>
      <c r="C4" s="2491"/>
      <c r="D4" s="2491"/>
      <c r="E4" s="2491"/>
      <c r="F4" s="2491"/>
      <c r="G4" s="2491"/>
      <c r="H4" s="2491"/>
      <c r="I4" s="2491"/>
    </row>
    <row r="5" spans="2:10" s="316" customFormat="1" ht="6.2" customHeight="1">
      <c r="B5" s="1394" t="s">
        <v>1231</v>
      </c>
      <c r="C5" s="1264"/>
      <c r="D5" s="1264"/>
      <c r="E5" s="1353"/>
      <c r="F5" s="321"/>
      <c r="G5" s="321"/>
      <c r="H5" s="321"/>
      <c r="I5" s="321"/>
    </row>
    <row r="6" spans="2:10" s="316" customFormat="1" ht="6.2" customHeight="1">
      <c r="B6" s="1395"/>
      <c r="C6" s="1349"/>
      <c r="D6" s="1349"/>
      <c r="E6" s="1350"/>
      <c r="F6" s="1349"/>
      <c r="G6" s="1349"/>
      <c r="H6" s="1349"/>
      <c r="I6" s="1349"/>
    </row>
    <row r="7" spans="2:10" s="316" customFormat="1" ht="13.5" customHeight="1">
      <c r="B7" s="2490" t="s">
        <v>1346</v>
      </c>
      <c r="C7" s="2491"/>
      <c r="D7" s="2491"/>
      <c r="E7" s="2491"/>
      <c r="F7" s="2491"/>
      <c r="G7" s="2491"/>
      <c r="H7" s="2491"/>
      <c r="I7" s="2491"/>
    </row>
    <row r="8" spans="2:10" s="316" customFormat="1" ht="6.2" customHeight="1">
      <c r="B8" s="1396" t="s">
        <v>1231</v>
      </c>
      <c r="C8" s="1397"/>
      <c r="D8" s="1397"/>
      <c r="E8" s="1398"/>
      <c r="F8" s="1397"/>
      <c r="G8" s="1397"/>
      <c r="H8" s="1397"/>
      <c r="I8" s="1397"/>
    </row>
    <row r="9" spans="2:10" s="316" customFormat="1" ht="9" customHeight="1">
      <c r="B9" s="1399"/>
      <c r="C9" s="321"/>
      <c r="D9" s="321"/>
      <c r="E9" s="1353"/>
      <c r="F9" s="321"/>
      <c r="G9" s="321"/>
      <c r="H9" s="321"/>
      <c r="I9" s="321"/>
    </row>
    <row r="10" spans="2:10" s="316" customFormat="1" ht="12.75" customHeight="1">
      <c r="B10" s="1400" t="s">
        <v>1345</v>
      </c>
      <c r="C10" s="1401"/>
      <c r="D10" s="1401"/>
      <c r="E10" s="1228"/>
    </row>
    <row r="11" spans="2:10" s="316" customFormat="1" ht="13.5" customHeight="1">
      <c r="B11" s="1319" t="s">
        <v>1344</v>
      </c>
      <c r="C11" s="2492" t="s">
        <v>2212</v>
      </c>
      <c r="D11" s="2492"/>
      <c r="E11" s="1402"/>
      <c r="F11" s="1402"/>
      <c r="G11" s="1402"/>
    </row>
    <row r="12" spans="2:10" s="316" customFormat="1" ht="11.45" customHeight="1">
      <c r="B12" s="1327"/>
      <c r="C12" s="1403" t="s">
        <v>1517</v>
      </c>
      <c r="D12" s="1404"/>
      <c r="E12" s="1228"/>
    </row>
    <row r="13" spans="2:10" s="316" customFormat="1" ht="12.75" customHeight="1">
      <c r="B13" s="1405"/>
      <c r="C13" s="1357"/>
      <c r="D13" s="1357"/>
      <c r="E13" s="1228"/>
    </row>
    <row r="14" spans="2:10" s="316" customFormat="1" ht="12.75" customHeight="1">
      <c r="B14" s="1338" t="s">
        <v>1343</v>
      </c>
      <c r="C14" s="1252"/>
      <c r="E14" s="1228"/>
    </row>
    <row r="15" spans="2:10" s="316" customFormat="1" ht="13.5" customHeight="1">
      <c r="B15" s="1406" t="s">
        <v>1340</v>
      </c>
      <c r="C15" s="1407"/>
      <c r="D15" s="1368"/>
      <c r="E15" s="1408" t="s">
        <v>2081</v>
      </c>
      <c r="F15" s="1270" t="s">
        <v>940</v>
      </c>
      <c r="G15" s="1408"/>
      <c r="H15" s="1270" t="s">
        <v>1338</v>
      </c>
      <c r="I15" s="1270"/>
    </row>
    <row r="16" spans="2:10" s="316" customFormat="1" ht="8.4499999999999993" customHeight="1">
      <c r="B16" s="1338"/>
      <c r="C16" s="1252"/>
      <c r="E16" s="1353"/>
      <c r="F16" s="1270"/>
      <c r="G16" s="321"/>
      <c r="H16" s="1270"/>
      <c r="I16" s="1270"/>
    </row>
    <row r="17" spans="2:9" s="316" customFormat="1" ht="13.5" customHeight="1">
      <c r="B17" s="1406" t="s">
        <v>1339</v>
      </c>
      <c r="C17" s="1407"/>
      <c r="D17" s="1368"/>
      <c r="E17" s="1409"/>
      <c r="F17" s="1227"/>
      <c r="G17" s="1409"/>
      <c r="H17" s="1270"/>
      <c r="I17" s="1270"/>
    </row>
    <row r="18" spans="2:9" s="316" customFormat="1" ht="12.75" customHeight="1">
      <c r="B18" s="1406" t="s">
        <v>1518</v>
      </c>
      <c r="C18" s="1407"/>
      <c r="D18" s="1368"/>
      <c r="E18" s="1408"/>
      <c r="F18" s="1270" t="s">
        <v>940</v>
      </c>
      <c r="G18" s="1408" t="s">
        <v>2081</v>
      </c>
      <c r="H18" s="1270" t="s">
        <v>1338</v>
      </c>
      <c r="I18" s="1270"/>
    </row>
    <row r="19" spans="2:9" s="316" customFormat="1" ht="8.4499999999999993" customHeight="1">
      <c r="B19" s="1338"/>
      <c r="C19" s="1252"/>
      <c r="E19" s="1353"/>
      <c r="F19" s="1270"/>
      <c r="G19" s="321"/>
      <c r="H19" s="1270"/>
      <c r="I19" s="1270"/>
    </row>
    <row r="20" spans="2:9" s="316" customFormat="1" ht="13.5" customHeight="1">
      <c r="B20" s="1406" t="s">
        <v>1673</v>
      </c>
      <c r="C20" s="1407"/>
      <c r="D20" s="1368"/>
      <c r="E20" s="1408"/>
      <c r="F20" s="1270" t="s">
        <v>940</v>
      </c>
      <c r="G20" s="1408" t="s">
        <v>2081</v>
      </c>
      <c r="H20" s="1270" t="s">
        <v>101</v>
      </c>
      <c r="I20" s="1270"/>
    </row>
    <row r="21" spans="2:9" s="316" customFormat="1" ht="12.75" customHeight="1">
      <c r="B21" s="1338"/>
      <c r="C21" s="1252"/>
      <c r="E21" s="1353"/>
      <c r="F21" s="1270"/>
      <c r="G21" s="321"/>
      <c r="H21" s="1270"/>
      <c r="I21" s="1270"/>
    </row>
    <row r="22" spans="2:9" s="316" customFormat="1" ht="12.75" customHeight="1">
      <c r="B22" s="1400" t="s">
        <v>1342</v>
      </c>
      <c r="C22" s="1410"/>
      <c r="D22" s="1401"/>
      <c r="E22" s="1353"/>
      <c r="F22" s="1270"/>
      <c r="G22" s="321"/>
      <c r="H22" s="1270"/>
      <c r="I22" s="1270"/>
    </row>
    <row r="23" spans="2:9" s="316" customFormat="1" ht="12.75" customHeight="1">
      <c r="B23" s="1338" t="s">
        <v>1341</v>
      </c>
      <c r="C23" s="1252"/>
      <c r="E23" s="1353"/>
      <c r="F23" s="1270"/>
      <c r="G23" s="321"/>
      <c r="H23" s="1270"/>
      <c r="I23" s="1270"/>
    </row>
    <row r="24" spans="2:9" s="316" customFormat="1" ht="13.5" customHeight="1">
      <c r="B24" s="1406" t="s">
        <v>1340</v>
      </c>
      <c r="C24" s="1407"/>
      <c r="D24" s="1368"/>
      <c r="E24" s="1408"/>
      <c r="F24" s="1270" t="s">
        <v>940</v>
      </c>
      <c r="G24" s="1408" t="s">
        <v>2081</v>
      </c>
      <c r="H24" s="1270" t="s">
        <v>1338</v>
      </c>
      <c r="I24" s="1270"/>
    </row>
    <row r="25" spans="2:9" s="316" customFormat="1" ht="8.4499999999999993" customHeight="1">
      <c r="B25" s="1338"/>
      <c r="C25" s="1252"/>
      <c r="E25" s="1353"/>
      <c r="F25" s="1270"/>
      <c r="G25" s="321"/>
      <c r="H25" s="1270"/>
      <c r="I25" s="1270"/>
    </row>
    <row r="26" spans="2:9" s="316" customFormat="1" ht="13.5" customHeight="1">
      <c r="B26" s="1406" t="s">
        <v>1339</v>
      </c>
      <c r="C26" s="1407"/>
      <c r="D26" s="1368"/>
      <c r="E26" s="1409"/>
      <c r="F26" s="1227"/>
      <c r="G26" s="1409"/>
      <c r="H26" s="1270"/>
      <c r="I26" s="1270"/>
    </row>
    <row r="27" spans="2:9" s="316" customFormat="1" ht="12.75" customHeight="1">
      <c r="B27" s="1406" t="s">
        <v>1518</v>
      </c>
      <c r="C27" s="1407"/>
      <c r="D27" s="1368"/>
      <c r="E27" s="1408"/>
      <c r="F27" s="1270" t="s">
        <v>940</v>
      </c>
      <c r="G27" s="1408" t="s">
        <v>2081</v>
      </c>
      <c r="H27" s="1270" t="s">
        <v>1338</v>
      </c>
      <c r="I27" s="1270"/>
    </row>
    <row r="28" spans="2:9" s="316" customFormat="1" ht="12.75" customHeight="1">
      <c r="B28" s="1338"/>
      <c r="C28" s="1252"/>
      <c r="E28" s="1228"/>
    </row>
    <row r="29" spans="2:9" s="316" customFormat="1" ht="12.75" customHeight="1">
      <c r="B29" s="1338" t="s">
        <v>1337</v>
      </c>
      <c r="C29" s="1252"/>
      <c r="D29" s="2493" t="s">
        <v>2212</v>
      </c>
      <c r="E29" s="2493"/>
      <c r="F29" s="2493"/>
      <c r="G29" s="2493"/>
      <c r="H29" s="2493"/>
      <c r="I29" s="2493"/>
    </row>
    <row r="30" spans="2:9" s="316" customFormat="1">
      <c r="B30" s="1338"/>
      <c r="C30" s="321"/>
      <c r="D30" s="1403" t="s">
        <v>1849</v>
      </c>
      <c r="E30" s="1404"/>
      <c r="F30" s="1404"/>
      <c r="G30" s="1404"/>
      <c r="H30" s="1404"/>
      <c r="I30" s="1404"/>
    </row>
    <row r="31" spans="2:9" s="316" customFormat="1" ht="9.9499999999999993" customHeight="1">
      <c r="B31" s="1338"/>
      <c r="E31" s="1228"/>
    </row>
    <row r="32" spans="2:9" s="316" customFormat="1">
      <c r="B32" s="1338" t="s">
        <v>1336</v>
      </c>
      <c r="C32" s="1252"/>
      <c r="E32" s="1228"/>
    </row>
    <row r="33" spans="2:9" ht="13.5" customHeight="1">
      <c r="B33" s="1338" t="s">
        <v>1633</v>
      </c>
      <c r="C33" s="1252"/>
      <c r="E33" s="1408" t="s">
        <v>2081</v>
      </c>
      <c r="F33" s="1270" t="s">
        <v>940</v>
      </c>
      <c r="G33" s="1408"/>
      <c r="H33" s="1270" t="s">
        <v>101</v>
      </c>
    </row>
    <row r="35" spans="2:9">
      <c r="B35" s="1411" t="s">
        <v>1850</v>
      </c>
      <c r="C35" s="1412"/>
      <c r="D35" s="1237"/>
    </row>
    <row r="36" spans="2:9" ht="6" customHeight="1">
      <c r="B36" s="1411"/>
      <c r="C36" s="1412"/>
      <c r="D36" s="1237"/>
    </row>
    <row r="37" spans="2:9" ht="17.25" customHeight="1">
      <c r="B37" s="1413" t="s">
        <v>1851</v>
      </c>
      <c r="C37" s="2494" t="s">
        <v>1852</v>
      </c>
      <c r="D37" s="2495"/>
      <c r="E37" s="2495"/>
      <c r="F37" s="2496"/>
      <c r="G37" s="2494" t="s">
        <v>1674</v>
      </c>
      <c r="H37" s="2495"/>
      <c r="I37" s="2496"/>
    </row>
    <row r="38" spans="2:9" ht="16.5" customHeight="1">
      <c r="B38" s="1414" t="s">
        <v>2159</v>
      </c>
      <c r="C38" s="2482" t="s">
        <v>2213</v>
      </c>
      <c r="D38" s="2483"/>
      <c r="E38" s="2483"/>
      <c r="F38" s="2484"/>
      <c r="G38" s="2497">
        <v>1113546</v>
      </c>
      <c r="H38" s="2498"/>
      <c r="I38" s="2499"/>
    </row>
    <row r="39" spans="2:9" ht="16.5" customHeight="1">
      <c r="B39" s="1414">
        <v>10.555</v>
      </c>
      <c r="C39" s="2482" t="s">
        <v>2214</v>
      </c>
      <c r="D39" s="2483"/>
      <c r="E39" s="2483"/>
      <c r="F39" s="2484"/>
      <c r="G39" s="2485">
        <v>945430</v>
      </c>
      <c r="H39" s="2485"/>
      <c r="I39" s="2485"/>
    </row>
    <row r="40" spans="2:9" ht="16.5" customHeight="1">
      <c r="B40" s="1414"/>
      <c r="C40" s="2482"/>
      <c r="D40" s="2483"/>
      <c r="E40" s="2483"/>
      <c r="F40" s="2484"/>
      <c r="G40" s="2485"/>
      <c r="H40" s="2485"/>
      <c r="I40" s="2485"/>
    </row>
    <row r="41" spans="2:9" ht="16.5" customHeight="1">
      <c r="B41" s="1414"/>
      <c r="C41" s="2482"/>
      <c r="D41" s="2483"/>
      <c r="E41" s="2483"/>
      <c r="F41" s="2484"/>
      <c r="G41" s="2485"/>
      <c r="H41" s="2485"/>
      <c r="I41" s="2485"/>
    </row>
    <row r="42" spans="2:9" ht="16.5" customHeight="1">
      <c r="B42" s="1414"/>
      <c r="C42" s="2482"/>
      <c r="D42" s="2483"/>
      <c r="E42" s="2483"/>
      <c r="F42" s="2484"/>
      <c r="G42" s="2485"/>
      <c r="H42" s="2485"/>
      <c r="I42" s="2485"/>
    </row>
    <row r="43" spans="2:9" ht="16.5" customHeight="1">
      <c r="B43" s="1414"/>
      <c r="C43" s="2500" t="s">
        <v>1675</v>
      </c>
      <c r="D43" s="2501"/>
      <c r="E43" s="2501"/>
      <c r="F43" s="2502"/>
      <c r="G43" s="2503">
        <f>SUM(G38:I42)</f>
        <v>2058976</v>
      </c>
      <c r="H43" s="2503"/>
      <c r="I43" s="2503"/>
    </row>
    <row r="44" spans="2:9" ht="12.75" customHeight="1"/>
    <row r="45" spans="2:9" ht="12.75" customHeight="1">
      <c r="B45" s="1405" t="s">
        <v>1950</v>
      </c>
      <c r="D45" s="2504">
        <v>3384587</v>
      </c>
      <c r="E45" s="2505"/>
    </row>
    <row r="46" spans="2:9" ht="5.25" customHeight="1">
      <c r="B46" s="1415"/>
      <c r="D46" s="1416"/>
      <c r="E46" s="1417"/>
    </row>
    <row r="47" spans="2:9" ht="12.75" customHeight="1">
      <c r="B47" s="1270" t="s">
        <v>1676</v>
      </c>
      <c r="C47" s="1270"/>
      <c r="D47" s="1418">
        <f>+G43/D45</f>
        <v>0.60833891993321487</v>
      </c>
      <c r="E47" s="1419"/>
      <c r="F47" s="1420"/>
      <c r="I47" s="1421"/>
    </row>
    <row r="48" spans="2:9" ht="9.9499999999999993" customHeight="1"/>
    <row r="49" spans="1:9">
      <c r="B49" s="1338" t="s">
        <v>1335</v>
      </c>
      <c r="C49" s="1252"/>
      <c r="D49" s="1252"/>
      <c r="E49" s="2506">
        <v>750000</v>
      </c>
      <c r="F49" s="2506"/>
      <c r="G49" s="2506"/>
      <c r="H49" s="321"/>
    </row>
    <row r="51" spans="1:9" ht="13.5" customHeight="1">
      <c r="B51" s="1338" t="s">
        <v>1334</v>
      </c>
      <c r="C51" s="1252"/>
      <c r="E51" s="1408"/>
      <c r="F51" s="1270" t="s">
        <v>940</v>
      </c>
      <c r="G51" s="1408" t="s">
        <v>2081</v>
      </c>
      <c r="H51" s="1270" t="s">
        <v>101</v>
      </c>
    </row>
    <row r="52" spans="1:9">
      <c r="B52" s="1330"/>
      <c r="C52" s="1267"/>
      <c r="D52" s="1422"/>
      <c r="E52" s="1423"/>
      <c r="F52" s="1424"/>
      <c r="G52" s="1424"/>
      <c r="H52" s="1424"/>
      <c r="I52" s="1424"/>
    </row>
    <row r="53" spans="1:9" ht="6" customHeight="1">
      <c r="B53" s="1399"/>
      <c r="C53" s="321"/>
      <c r="D53" s="1425"/>
      <c r="E53" s="1426"/>
      <c r="F53" s="1427"/>
      <c r="G53" s="1427"/>
      <c r="H53" s="1427"/>
      <c r="I53" s="1427"/>
    </row>
    <row r="54" spans="1:9" s="1431" customFormat="1" ht="14.25">
      <c r="A54" s="1428"/>
      <c r="B54" s="1429" t="s">
        <v>1853</v>
      </c>
      <c r="C54" s="1430"/>
      <c r="D54" s="1430"/>
    </row>
    <row r="55" spans="1:9" s="1431" customFormat="1" ht="12.75" customHeight="1">
      <c r="A55" s="1428"/>
      <c r="B55" s="1432" t="s">
        <v>1677</v>
      </c>
      <c r="C55" s="1428"/>
      <c r="D55" s="1428"/>
    </row>
    <row r="56" spans="1:9" s="1431" customFormat="1" ht="12.75" customHeight="1">
      <c r="A56" s="1428"/>
      <c r="B56" s="1432" t="s">
        <v>1678</v>
      </c>
      <c r="C56" s="1428"/>
      <c r="D56" s="1428"/>
    </row>
    <row r="57" spans="1:9" s="1431" customFormat="1" ht="3.95" customHeight="1">
      <c r="A57" s="1428"/>
      <c r="B57" s="1432"/>
      <c r="C57" s="1428"/>
      <c r="D57" s="1428"/>
    </row>
    <row r="58" spans="1:9" s="1431" customFormat="1" ht="13.5" customHeight="1">
      <c r="A58" s="1428"/>
      <c r="B58" s="1433" t="s">
        <v>1854</v>
      </c>
      <c r="C58" s="1434"/>
      <c r="D58" s="1434"/>
    </row>
    <row r="59" spans="1:9" s="1431" customFormat="1" ht="3.95" customHeight="1">
      <c r="A59" s="1428"/>
      <c r="B59" s="1433"/>
      <c r="C59" s="1434"/>
      <c r="D59" s="1434"/>
    </row>
    <row r="60" spans="1:9" s="1431" customFormat="1" ht="13.5" customHeight="1">
      <c r="A60" s="1428"/>
      <c r="B60" s="1433" t="s">
        <v>1855</v>
      </c>
      <c r="C60" s="1434"/>
      <c r="D60" s="1434"/>
    </row>
    <row r="61" spans="1:9" s="1431" customFormat="1" ht="3.95" customHeight="1">
      <c r="A61" s="1428"/>
      <c r="B61" s="1433"/>
      <c r="C61" s="1434"/>
      <c r="D61" s="1434"/>
    </row>
    <row r="62" spans="1:9" s="1431" customFormat="1" ht="12.75" customHeight="1">
      <c r="A62" s="1428"/>
      <c r="B62" s="1433" t="s">
        <v>1856</v>
      </c>
      <c r="C62" s="1434"/>
      <c r="D62" s="1434"/>
    </row>
    <row r="63" spans="1:9" s="1431" customFormat="1" ht="13.5" customHeight="1">
      <c r="A63" s="1428"/>
      <c r="B63" s="1432" t="s">
        <v>1679</v>
      </c>
      <c r="C63" s="1428"/>
      <c r="D63" s="142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zoomScaleNormal="110" zoomScaleSheetLayoutView="100" workbookViewId="0">
      <selection activeCell="E12" sqref="E12"/>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Rich Township High School District 227</v>
      </c>
      <c r="C1" s="2486"/>
      <c r="D1" s="2486"/>
      <c r="E1" s="2486"/>
      <c r="F1" s="2486"/>
      <c r="G1" s="2486"/>
      <c r="H1" s="2486"/>
      <c r="I1" s="2486"/>
      <c r="J1" s="2486"/>
      <c r="K1" s="2486"/>
      <c r="L1" s="1344"/>
      <c r="M1" s="1344"/>
    </row>
    <row r="2" spans="1:13" ht="12" customHeight="1">
      <c r="B2" s="2488" t="str">
        <f>'Single Audit Cover'!E7</f>
        <v>07-016-2270-17</v>
      </c>
      <c r="C2" s="2488"/>
      <c r="D2" s="2488"/>
      <c r="E2" s="2488"/>
      <c r="F2" s="2488"/>
      <c r="G2" s="2488"/>
      <c r="H2" s="2488"/>
      <c r="I2" s="2488"/>
      <c r="J2" s="2488"/>
      <c r="K2" s="2488"/>
      <c r="L2" s="1345"/>
      <c r="M2" s="1346"/>
    </row>
    <row r="3" spans="1:13" ht="10.35" customHeight="1">
      <c r="B3" s="2509" t="s">
        <v>1347</v>
      </c>
      <c r="C3" s="2509"/>
      <c r="D3" s="2509"/>
      <c r="E3" s="2509"/>
      <c r="F3" s="2509"/>
      <c r="G3" s="2509"/>
      <c r="H3" s="2509"/>
      <c r="I3" s="2509"/>
      <c r="J3" s="2509"/>
      <c r="K3" s="2509"/>
      <c r="L3" s="1347"/>
      <c r="M3" s="1347"/>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0" t="s">
        <v>1363</v>
      </c>
      <c r="C7" s="2510"/>
      <c r="D7" s="2511"/>
      <c r="E7" s="2511"/>
      <c r="F7" s="2511"/>
      <c r="G7" s="2511"/>
      <c r="H7" s="2511"/>
      <c r="I7" s="2511"/>
      <c r="J7" s="2511"/>
      <c r="K7" s="2511"/>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1843</v>
      </c>
      <c r="C10" s="1355" t="s">
        <v>1951</v>
      </c>
      <c r="D10" s="1356">
        <v>1</v>
      </c>
      <c r="E10" s="321"/>
      <c r="F10" s="1357" t="s">
        <v>1362</v>
      </c>
      <c r="G10" s="1358" t="s">
        <v>2081</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08" t="s">
        <v>2220</v>
      </c>
      <c r="C14" s="2508"/>
      <c r="D14" s="2508"/>
      <c r="E14" s="2508"/>
      <c r="F14" s="2508"/>
      <c r="G14" s="2508"/>
      <c r="H14" s="2508"/>
      <c r="I14" s="2508"/>
      <c r="J14" s="2508"/>
      <c r="K14" s="2508"/>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08" t="s">
        <v>2218</v>
      </c>
      <c r="C17" s="2508"/>
      <c r="D17" s="2508"/>
      <c r="E17" s="2508"/>
      <c r="F17" s="2508"/>
      <c r="G17" s="2508"/>
      <c r="H17" s="2508"/>
      <c r="I17" s="2508"/>
      <c r="J17" s="2508"/>
      <c r="K17" s="2508"/>
      <c r="L17" s="1351"/>
    </row>
    <row r="18" spans="2:12" ht="4.5" customHeight="1">
      <c r="B18" s="1368"/>
      <c r="C18" s="1368"/>
      <c r="L18" s="1351"/>
    </row>
    <row r="19" spans="2:12" s="1252" customFormat="1" ht="13.5" customHeight="1">
      <c r="B19" s="1363" t="s">
        <v>1844</v>
      </c>
      <c r="C19" s="1363"/>
      <c r="D19" s="1364"/>
      <c r="E19" s="1364"/>
      <c r="F19" s="1364"/>
      <c r="G19" s="1365"/>
      <c r="H19" s="1364"/>
      <c r="I19" s="1365"/>
      <c r="J19" s="1364"/>
      <c r="K19" s="1364"/>
      <c r="L19" s="1366"/>
    </row>
    <row r="20" spans="2:12" ht="45.75" customHeight="1">
      <c r="B20" s="2512" t="s">
        <v>2221</v>
      </c>
      <c r="C20" s="2512"/>
      <c r="D20" s="2508"/>
      <c r="E20" s="2508"/>
      <c r="F20" s="2508"/>
      <c r="G20" s="2508"/>
      <c r="H20" s="2508"/>
      <c r="I20" s="2508"/>
      <c r="J20" s="2508"/>
      <c r="K20" s="2508"/>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08" t="s">
        <v>2222</v>
      </c>
      <c r="C23" s="2508"/>
      <c r="D23" s="2508"/>
      <c r="E23" s="2508"/>
      <c r="F23" s="2508"/>
      <c r="G23" s="2508"/>
      <c r="H23" s="2508"/>
      <c r="I23" s="2508"/>
      <c r="J23" s="2508"/>
      <c r="K23" s="2508"/>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08" t="s">
        <v>2221</v>
      </c>
      <c r="C26" s="2508"/>
      <c r="D26" s="2508"/>
      <c r="E26" s="2508"/>
      <c r="F26" s="2508"/>
      <c r="G26" s="2508"/>
      <c r="H26" s="2508"/>
      <c r="I26" s="2508"/>
      <c r="J26" s="2508"/>
      <c r="K26" s="2508"/>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7" t="s">
        <v>2223</v>
      </c>
      <c r="C29" s="2507"/>
      <c r="D29" s="2508"/>
      <c r="E29" s="2508"/>
      <c r="F29" s="2508"/>
      <c r="G29" s="2508"/>
      <c r="H29" s="2508"/>
      <c r="I29" s="2508"/>
      <c r="J29" s="2508"/>
      <c r="K29" s="2508"/>
      <c r="L29" s="1351"/>
    </row>
    <row r="30" spans="2:12" ht="4.5" customHeight="1">
      <c r="B30" s="1372"/>
      <c r="C30" s="1372"/>
      <c r="D30" s="321"/>
      <c r="E30" s="321"/>
      <c r="F30" s="321"/>
      <c r="G30" s="1353"/>
      <c r="H30" s="321"/>
      <c r="I30" s="1353"/>
      <c r="J30" s="321"/>
      <c r="K30" s="321"/>
      <c r="L30" s="1351"/>
    </row>
    <row r="31" spans="2:12" s="321" customFormat="1" ht="13.5" customHeight="1">
      <c r="B31" s="1373" t="s">
        <v>1845</v>
      </c>
      <c r="C31" s="1373"/>
      <c r="D31" s="1348"/>
      <c r="E31" s="1349"/>
      <c r="F31" s="1349"/>
      <c r="G31" s="1350"/>
      <c r="H31" s="1349"/>
      <c r="I31" s="1350"/>
      <c r="J31" s="1349"/>
      <c r="K31" s="1349"/>
      <c r="L31" s="1351"/>
    </row>
    <row r="32" spans="2:12" s="321" customFormat="1" ht="44.25" customHeight="1">
      <c r="B32" s="2507" t="s">
        <v>2224</v>
      </c>
      <c r="C32" s="2507"/>
      <c r="D32" s="2508"/>
      <c r="E32" s="2508"/>
      <c r="F32" s="2508"/>
      <c r="G32" s="2508"/>
      <c r="H32" s="2508"/>
      <c r="I32" s="2508"/>
      <c r="J32" s="2508"/>
      <c r="K32" s="2508"/>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1846</v>
      </c>
      <c r="C35" s="1389"/>
      <c r="D35" s="321"/>
      <c r="E35" s="321"/>
      <c r="F35" s="321"/>
      <c r="L35" s="1351"/>
    </row>
    <row r="36" spans="1:13" ht="9.6" customHeight="1">
      <c r="B36" s="1270" t="s">
        <v>1952</v>
      </c>
      <c r="C36" s="1270"/>
      <c r="L36" s="1351"/>
    </row>
    <row r="37" spans="1:13" ht="9.6" customHeight="1">
      <c r="B37" s="1270" t="s">
        <v>1953</v>
      </c>
      <c r="C37" s="1270"/>
    </row>
    <row r="38" spans="1:13" ht="11.85" customHeight="1">
      <c r="B38" s="1390" t="s">
        <v>1847</v>
      </c>
      <c r="C38" s="1390"/>
    </row>
    <row r="39" spans="1:13" ht="9.6" customHeight="1">
      <c r="B39" s="1270" t="s">
        <v>1348</v>
      </c>
      <c r="C39" s="1270"/>
      <c r="M39" s="1391"/>
    </row>
    <row r="40" spans="1:13" ht="12.6" customHeight="1">
      <c r="B40" s="1390" t="s">
        <v>1848</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view="pageBreakPreview" zoomScaleNormal="110" zoomScaleSheetLayoutView="100" workbookViewId="0">
      <selection activeCell="H22" sqref="H22"/>
    </sheetView>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3" t="str">
        <f>'Single Audit Cover'!A7</f>
        <v>Rich Township High School District 227</v>
      </c>
      <c r="C1" s="2513"/>
      <c r="D1" s="2513"/>
      <c r="E1" s="2513"/>
      <c r="F1" s="2513"/>
      <c r="G1" s="2513"/>
      <c r="H1" s="2513"/>
      <c r="I1" s="2513"/>
      <c r="J1" s="2513"/>
      <c r="K1" s="2513"/>
      <c r="L1" s="1435"/>
    </row>
    <row r="2" spans="1:12" ht="12.75" customHeight="1">
      <c r="B2" s="2514" t="str">
        <f>'Single Audit Cover'!E7</f>
        <v>07-016-2270-17</v>
      </c>
      <c r="C2" s="2514"/>
      <c r="D2" s="2514"/>
      <c r="E2" s="2514"/>
      <c r="F2" s="2514"/>
      <c r="G2" s="2514"/>
      <c r="H2" s="2514"/>
      <c r="I2" s="2514"/>
      <c r="J2" s="2514"/>
      <c r="K2" s="2514"/>
      <c r="L2" s="1436"/>
    </row>
    <row r="3" spans="1:12" ht="12.75" customHeight="1">
      <c r="B3" s="2509" t="s">
        <v>1347</v>
      </c>
      <c r="C3" s="2509"/>
      <c r="D3" s="2509"/>
      <c r="E3" s="2509"/>
      <c r="F3" s="2509"/>
      <c r="G3" s="2509"/>
      <c r="H3" s="2509"/>
      <c r="I3" s="2509"/>
      <c r="J3" s="2509"/>
      <c r="K3" s="2509"/>
      <c r="L3" s="1347"/>
    </row>
    <row r="4" spans="1:12" ht="12.75" customHeight="1">
      <c r="B4" s="2509" t="str">
        <f>'Single Audit Cover'!A4</f>
        <v>Year Ending June 30, 2018</v>
      </c>
      <c r="C4" s="2509"/>
      <c r="D4" s="2509"/>
      <c r="E4" s="2509"/>
      <c r="F4" s="2509"/>
      <c r="G4" s="2509"/>
      <c r="H4" s="2509"/>
      <c r="I4" s="2509"/>
      <c r="J4" s="2509"/>
      <c r="K4" s="2509"/>
      <c r="L4" s="1347"/>
    </row>
    <row r="5" spans="1:12" ht="5.25" customHeight="1">
      <c r="B5" s="1230" t="s">
        <v>1231</v>
      </c>
      <c r="C5" s="1230"/>
      <c r="L5" s="321"/>
    </row>
    <row r="6" spans="1:12" ht="30.75" customHeight="1">
      <c r="A6" s="321"/>
      <c r="B6" s="2515" t="s">
        <v>1375</v>
      </c>
      <c r="C6" s="2515"/>
      <c r="D6" s="2515"/>
      <c r="E6" s="2515"/>
      <c r="F6" s="2515"/>
      <c r="G6" s="2515"/>
      <c r="H6" s="2515"/>
      <c r="I6" s="2515"/>
      <c r="J6" s="2515"/>
      <c r="K6" s="2515"/>
      <c r="L6" s="321"/>
    </row>
    <row r="7" spans="1:12" ht="4.5" customHeight="1">
      <c r="B7" s="1349"/>
      <c r="C7" s="1349"/>
      <c r="D7" s="1349"/>
      <c r="E7" s="1349"/>
      <c r="F7" s="1349"/>
      <c r="G7" s="1350"/>
      <c r="H7" s="1349"/>
      <c r="I7" s="1350"/>
      <c r="J7" s="1349"/>
      <c r="K7" s="1349"/>
      <c r="L7" s="321"/>
    </row>
    <row r="8" spans="1:12" ht="13.5" customHeight="1">
      <c r="B8" s="1357" t="s">
        <v>1857</v>
      </c>
      <c r="C8" s="1437" t="s">
        <v>1951</v>
      </c>
      <c r="D8" s="1438">
        <v>2</v>
      </c>
      <c r="E8" s="321"/>
      <c r="F8" s="1354" t="s">
        <v>1362</v>
      </c>
      <c r="G8" s="1439" t="s">
        <v>2081</v>
      </c>
      <c r="H8" s="1440" t="s">
        <v>1374</v>
      </c>
      <c r="I8" s="1439"/>
      <c r="J8" s="1441" t="s">
        <v>1373</v>
      </c>
      <c r="L8" s="321"/>
    </row>
    <row r="9" spans="1:12" ht="13.5" customHeight="1">
      <c r="D9" s="321"/>
      <c r="E9" s="321"/>
      <c r="F9" s="321"/>
      <c r="G9" s="1353"/>
      <c r="H9" s="321"/>
      <c r="I9" s="1442" t="s">
        <v>1359</v>
      </c>
      <c r="J9" s="321"/>
      <c r="K9" s="1443"/>
      <c r="L9" s="321"/>
    </row>
    <row r="10" spans="1:12" ht="4.5" customHeight="1">
      <c r="B10" s="1444"/>
      <c r="C10" s="1444"/>
      <c r="D10" s="1397"/>
      <c r="E10" s="1397"/>
      <c r="F10" s="1397"/>
      <c r="G10" s="1398"/>
      <c r="H10" s="1397"/>
      <c r="I10" s="1398"/>
      <c r="J10" s="1397"/>
      <c r="K10" s="1397"/>
      <c r="L10" s="321"/>
    </row>
    <row r="11" spans="1:12" ht="5.25" customHeight="1">
      <c r="B11" s="321"/>
      <c r="C11" s="321"/>
      <c r="D11" s="303"/>
      <c r="E11" s="321"/>
      <c r="F11" s="321"/>
      <c r="G11" s="1353"/>
      <c r="H11" s="321"/>
      <c r="I11" s="1353"/>
      <c r="J11" s="321"/>
      <c r="K11" s="1402"/>
      <c r="L11" s="321"/>
    </row>
    <row r="12" spans="1:12" ht="13.5" customHeight="1">
      <c r="B12" s="1354" t="s">
        <v>1372</v>
      </c>
      <c r="C12" s="1354"/>
      <c r="D12" s="303"/>
      <c r="E12" s="321"/>
      <c r="F12" s="2493" t="s">
        <v>2226</v>
      </c>
      <c r="G12" s="2493"/>
      <c r="H12" s="2493"/>
      <c r="I12" s="2493"/>
      <c r="J12" s="2493"/>
      <c r="K12" s="2493"/>
      <c r="L12" s="321"/>
    </row>
    <row r="13" spans="1:12" ht="9.6" customHeight="1">
      <c r="B13" s="1227"/>
      <c r="C13" s="1227"/>
      <c r="D13" s="303"/>
      <c r="E13" s="321"/>
      <c r="F13" s="321"/>
      <c r="G13" s="1353"/>
      <c r="H13" s="321"/>
      <c r="I13" s="1353"/>
      <c r="J13" s="321"/>
      <c r="K13" s="1402"/>
      <c r="L13" s="321"/>
    </row>
    <row r="14" spans="1:12" ht="13.5" customHeight="1">
      <c r="B14" s="1357" t="s">
        <v>1371</v>
      </c>
      <c r="C14" s="1357"/>
      <c r="D14" s="2516">
        <v>4300</v>
      </c>
      <c r="E14" s="2516"/>
      <c r="F14" s="2516"/>
      <c r="H14" s="1445" t="s">
        <v>1370</v>
      </c>
      <c r="I14" s="2517" t="s">
        <v>2159</v>
      </c>
      <c r="J14" s="2517"/>
      <c r="K14" s="2517"/>
      <c r="L14" s="321"/>
    </row>
    <row r="15" spans="1:12" ht="9.4" customHeight="1">
      <c r="B15" s="1357"/>
      <c r="C15" s="1357"/>
      <c r="D15" s="1343"/>
      <c r="E15" s="1230"/>
      <c r="F15" s="1230"/>
      <c r="G15" s="1256"/>
      <c r="H15" s="1230"/>
      <c r="I15" s="1446"/>
      <c r="J15" s="1264"/>
      <c r="K15" s="1261"/>
      <c r="L15" s="321"/>
    </row>
    <row r="16" spans="1:12" ht="13.5" customHeight="1">
      <c r="B16" s="1357" t="s">
        <v>1369</v>
      </c>
      <c r="C16" s="1357"/>
      <c r="D16" s="2517" t="s">
        <v>2227</v>
      </c>
      <c r="E16" s="2517"/>
      <c r="F16" s="2517"/>
      <c r="G16" s="2517"/>
      <c r="H16" s="2517"/>
      <c r="I16" s="2517"/>
      <c r="J16" s="2517"/>
      <c r="K16" s="2517"/>
      <c r="L16" s="321"/>
    </row>
    <row r="17" spans="2:12" ht="13.5" customHeight="1">
      <c r="B17" s="1357" t="s">
        <v>1368</v>
      </c>
      <c r="C17" s="1357"/>
      <c r="D17" s="2518" t="s">
        <v>2228</v>
      </c>
      <c r="E17" s="2518"/>
      <c r="F17" s="2518"/>
      <c r="G17" s="2518"/>
      <c r="H17" s="2518"/>
      <c r="I17" s="2518"/>
      <c r="J17" s="2518"/>
      <c r="K17" s="2518"/>
      <c r="L17" s="321"/>
    </row>
    <row r="18" spans="2:12" ht="9.4" customHeight="1">
      <c r="B18" s="1397"/>
      <c r="C18" s="1397"/>
      <c r="D18" s="1397"/>
      <c r="E18" s="1397"/>
      <c r="F18" s="1397"/>
      <c r="G18" s="1398"/>
      <c r="H18" s="1397"/>
      <c r="I18" s="1398"/>
      <c r="J18" s="1397"/>
      <c r="K18" s="1397"/>
      <c r="L18" s="321"/>
    </row>
    <row r="19" spans="2:12" ht="13.5" customHeight="1">
      <c r="B19" s="1447" t="s">
        <v>1367</v>
      </c>
      <c r="C19" s="1447"/>
      <c r="D19" s="327"/>
      <c r="E19" s="327"/>
      <c r="F19" s="327"/>
      <c r="G19" s="1448"/>
      <c r="H19" s="327"/>
      <c r="I19" s="1448"/>
      <c r="J19" s="321"/>
      <c r="K19" s="321"/>
      <c r="L19" s="321"/>
    </row>
    <row r="20" spans="2:12" ht="35.25" customHeight="1">
      <c r="B20" s="2508" t="s">
        <v>2229</v>
      </c>
      <c r="C20" s="2508"/>
      <c r="D20" s="2508"/>
      <c r="E20" s="2508"/>
      <c r="F20" s="2508"/>
      <c r="G20" s="2508"/>
      <c r="H20" s="2508"/>
      <c r="I20" s="2508"/>
      <c r="J20" s="2508"/>
      <c r="K20" s="2508"/>
      <c r="L20" s="1402"/>
    </row>
    <row r="21" spans="2:12" ht="4.5" customHeight="1">
      <c r="B21" s="1449"/>
      <c r="C21" s="1449"/>
      <c r="D21" s="1450"/>
      <c r="E21" s="1450"/>
      <c r="F21" s="1450"/>
      <c r="G21" s="1398"/>
      <c r="H21" s="1450"/>
      <c r="I21" s="1398"/>
      <c r="J21" s="1450"/>
      <c r="K21" s="1450"/>
      <c r="L21" s="1402"/>
    </row>
    <row r="22" spans="2:12" ht="13.35" customHeight="1">
      <c r="B22" s="1447" t="s">
        <v>1858</v>
      </c>
      <c r="C22" s="1447"/>
      <c r="D22" s="321"/>
      <c r="E22" s="321"/>
      <c r="F22" s="321"/>
      <c r="G22" s="1353"/>
      <c r="H22" s="321"/>
      <c r="I22" s="1353"/>
      <c r="J22" s="321"/>
      <c r="K22" s="321"/>
      <c r="L22" s="321"/>
    </row>
    <row r="23" spans="2:12" ht="37.5" customHeight="1">
      <c r="B23" s="2508" t="s">
        <v>2233</v>
      </c>
      <c r="C23" s="2508"/>
      <c r="D23" s="2508"/>
      <c r="E23" s="2508"/>
      <c r="F23" s="2508"/>
      <c r="G23" s="2508"/>
      <c r="H23" s="2508"/>
      <c r="I23" s="2508"/>
      <c r="J23" s="2508"/>
      <c r="K23" s="2508"/>
      <c r="L23" s="321"/>
    </row>
    <row r="24" spans="2:12" ht="4.5" customHeight="1">
      <c r="B24" s="1449"/>
      <c r="C24" s="1449"/>
      <c r="D24" s="1397"/>
      <c r="E24" s="1397"/>
      <c r="F24" s="1397"/>
      <c r="G24" s="1398"/>
      <c r="H24" s="1397"/>
      <c r="I24" s="1398"/>
      <c r="J24" s="1397"/>
      <c r="K24" s="1397"/>
      <c r="L24" s="321"/>
    </row>
    <row r="25" spans="2:12" ht="13.5" customHeight="1">
      <c r="B25" s="1447" t="s">
        <v>1859</v>
      </c>
      <c r="C25" s="1447"/>
      <c r="D25" s="321"/>
      <c r="E25" s="321"/>
      <c r="F25" s="321"/>
      <c r="G25" s="1353"/>
      <c r="H25" s="321"/>
      <c r="I25" s="1353"/>
      <c r="J25" s="321"/>
      <c r="K25" s="321"/>
      <c r="L25" s="321"/>
    </row>
    <row r="26" spans="2:12" ht="37.5" customHeight="1">
      <c r="B26" s="2508" t="s">
        <v>2210</v>
      </c>
      <c r="C26" s="2508"/>
      <c r="D26" s="2508"/>
      <c r="E26" s="2508"/>
      <c r="F26" s="2508"/>
      <c r="G26" s="2508"/>
      <c r="H26" s="2508"/>
      <c r="I26" s="2508"/>
      <c r="J26" s="2508"/>
      <c r="K26" s="2508"/>
      <c r="L26" s="321"/>
    </row>
    <row r="27" spans="2:12" ht="4.5" customHeight="1">
      <c r="B27" s="1451"/>
      <c r="C27" s="1451"/>
      <c r="D27" s="1451"/>
      <c r="E27" s="1397"/>
      <c r="F27" s="1397"/>
      <c r="G27" s="1398"/>
      <c r="H27" s="1397"/>
      <c r="I27" s="1398"/>
      <c r="J27" s="1397"/>
      <c r="K27" s="1397"/>
      <c r="L27" s="321"/>
    </row>
    <row r="28" spans="2:12" ht="13.5" customHeight="1">
      <c r="B28" s="1447" t="s">
        <v>1860</v>
      </c>
      <c r="C28" s="1447"/>
      <c r="D28" s="321"/>
      <c r="E28" s="321"/>
      <c r="F28" s="321"/>
      <c r="G28" s="1353"/>
      <c r="H28" s="321"/>
      <c r="I28" s="1353"/>
      <c r="J28" s="321"/>
      <c r="K28" s="321"/>
      <c r="L28" s="321"/>
    </row>
    <row r="29" spans="2:12" ht="37.5" customHeight="1">
      <c r="B29" s="2508" t="s">
        <v>2230</v>
      </c>
      <c r="C29" s="2508"/>
      <c r="D29" s="2508"/>
      <c r="E29" s="2508"/>
      <c r="F29" s="2508"/>
      <c r="G29" s="2508"/>
      <c r="H29" s="2508"/>
      <c r="I29" s="2508"/>
      <c r="J29" s="2508"/>
      <c r="K29" s="2508"/>
      <c r="L29" s="321"/>
    </row>
    <row r="30" spans="2:12" ht="4.5" customHeight="1">
      <c r="B30" s="1449"/>
      <c r="C30" s="1449"/>
      <c r="D30" s="1397"/>
      <c r="E30" s="1397"/>
      <c r="F30" s="1397"/>
      <c r="G30" s="1398"/>
      <c r="H30" s="1397"/>
      <c r="I30" s="1398"/>
      <c r="J30" s="1397"/>
      <c r="K30" s="1397"/>
      <c r="L30" s="321"/>
    </row>
    <row r="31" spans="2:12" ht="13.5" customHeight="1">
      <c r="B31" s="1447" t="s">
        <v>1366</v>
      </c>
      <c r="C31" s="1447"/>
      <c r="D31" s="321"/>
      <c r="E31" s="321"/>
      <c r="F31" s="321"/>
      <c r="G31" s="1353"/>
      <c r="H31" s="321"/>
      <c r="I31" s="1353"/>
      <c r="J31" s="321"/>
      <c r="K31" s="321"/>
      <c r="L31" s="321"/>
    </row>
    <row r="32" spans="2:12" ht="37.5" customHeight="1">
      <c r="B32" s="2508" t="s">
        <v>2231</v>
      </c>
      <c r="C32" s="2508"/>
      <c r="D32" s="2508"/>
      <c r="E32" s="2508"/>
      <c r="F32" s="2508"/>
      <c r="G32" s="2508"/>
      <c r="H32" s="2508"/>
      <c r="I32" s="2508"/>
      <c r="J32" s="2508"/>
      <c r="K32" s="2508"/>
      <c r="L32" s="321"/>
    </row>
    <row r="33" spans="2:12" ht="4.5" customHeight="1">
      <c r="B33" s="1449"/>
      <c r="C33" s="1449"/>
      <c r="D33" s="1397"/>
      <c r="E33" s="1397"/>
      <c r="F33" s="1397"/>
      <c r="G33" s="1398"/>
      <c r="H33" s="1397"/>
      <c r="I33" s="1398"/>
      <c r="J33" s="1397"/>
      <c r="K33" s="1397"/>
      <c r="L33" s="321"/>
    </row>
    <row r="34" spans="2:12" ht="13.5" customHeight="1">
      <c r="B34" s="1354" t="s">
        <v>1365</v>
      </c>
      <c r="C34" s="1354"/>
      <c r="D34" s="321"/>
      <c r="E34" s="321"/>
      <c r="F34" s="321"/>
      <c r="G34" s="1353"/>
      <c r="H34" s="321"/>
      <c r="I34" s="1353"/>
      <c r="J34" s="321"/>
      <c r="K34" s="321"/>
      <c r="L34" s="321"/>
    </row>
    <row r="35" spans="2:12" ht="37.5" customHeight="1">
      <c r="B35" s="2508"/>
      <c r="C35" s="2508"/>
      <c r="D35" s="2508"/>
      <c r="E35" s="2508"/>
      <c r="F35" s="2508"/>
      <c r="G35" s="2508"/>
      <c r="H35" s="2508"/>
      <c r="I35" s="2508"/>
      <c r="J35" s="2508"/>
      <c r="K35" s="2508"/>
      <c r="L35" s="321"/>
    </row>
    <row r="36" spans="2:12" ht="4.5" customHeight="1">
      <c r="B36" s="1449"/>
      <c r="C36" s="1449"/>
      <c r="D36" s="1397"/>
      <c r="E36" s="1397"/>
      <c r="F36" s="1397"/>
      <c r="G36" s="1398"/>
      <c r="H36" s="1397"/>
      <c r="I36" s="1398"/>
      <c r="J36" s="1397"/>
      <c r="K36" s="1397"/>
      <c r="L36" s="321"/>
    </row>
    <row r="37" spans="2:12" ht="13.5" customHeight="1">
      <c r="B37" s="1354" t="s">
        <v>1364</v>
      </c>
      <c r="C37" s="1354"/>
      <c r="D37" s="321"/>
      <c r="E37" s="321"/>
      <c r="F37" s="321"/>
      <c r="G37" s="1353"/>
      <c r="H37" s="321"/>
      <c r="I37" s="1353"/>
      <c r="J37" s="321"/>
      <c r="K37" s="321"/>
      <c r="L37" s="321"/>
    </row>
    <row r="38" spans="2:12" ht="35.25" customHeight="1">
      <c r="B38" s="2508" t="s">
        <v>2232</v>
      </c>
      <c r="C38" s="2508"/>
      <c r="D38" s="2508"/>
      <c r="E38" s="2508"/>
      <c r="F38" s="2508"/>
      <c r="G38" s="2508"/>
      <c r="H38" s="2508"/>
      <c r="I38" s="2508"/>
      <c r="J38" s="2508"/>
      <c r="K38" s="2508"/>
      <c r="L38" s="321"/>
    </row>
    <row r="39" spans="2:12" ht="4.5" customHeight="1">
      <c r="B39" s="1372"/>
      <c r="C39" s="1372"/>
      <c r="D39" s="321"/>
      <c r="E39" s="321"/>
      <c r="F39" s="321"/>
      <c r="G39" s="1353"/>
      <c r="H39" s="321"/>
      <c r="I39" s="1353"/>
      <c r="J39" s="321"/>
      <c r="K39" s="321"/>
      <c r="L39" s="321"/>
    </row>
    <row r="40" spans="2:12" s="321" customFormat="1" ht="13.5" customHeight="1">
      <c r="B40" s="1373" t="s">
        <v>1861</v>
      </c>
      <c r="C40" s="1373"/>
      <c r="D40" s="1348"/>
      <c r="E40" s="1349"/>
      <c r="F40" s="1349"/>
      <c r="G40" s="1350"/>
      <c r="H40" s="1349"/>
      <c r="I40" s="1350"/>
      <c r="J40" s="1349"/>
      <c r="K40" s="1349"/>
    </row>
    <row r="41" spans="2:12" s="321" customFormat="1" ht="33.75" customHeight="1">
      <c r="B41" s="2508"/>
      <c r="C41" s="2508"/>
      <c r="D41" s="2508"/>
      <c r="E41" s="2508"/>
      <c r="F41" s="2508"/>
      <c r="G41" s="2508"/>
      <c r="H41" s="2508"/>
      <c r="I41" s="2508"/>
      <c r="J41" s="2508"/>
      <c r="K41" s="2508"/>
    </row>
    <row r="42" spans="2:12" s="321" customFormat="1" ht="4.5" customHeight="1">
      <c r="B42" s="1372"/>
      <c r="C42" s="1372"/>
      <c r="G42" s="1353"/>
      <c r="I42" s="1353"/>
    </row>
    <row r="43" spans="2:12" s="321" customFormat="1" ht="13.5" customHeight="1">
      <c r="B43" s="1452" t="s">
        <v>1353</v>
      </c>
      <c r="C43" s="1453"/>
      <c r="D43" s="1374"/>
      <c r="E43" s="1374"/>
      <c r="F43" s="1374"/>
      <c r="G43" s="1375"/>
      <c r="H43" s="1374"/>
      <c r="I43" s="1375"/>
      <c r="J43" s="1374"/>
      <c r="K43" s="1376"/>
      <c r="L43" s="1454"/>
    </row>
    <row r="44" spans="2:12" s="321" customFormat="1" ht="13.5" customHeight="1">
      <c r="B44" s="1377" t="s">
        <v>1352</v>
      </c>
      <c r="C44" s="1378"/>
      <c r="D44" s="1455"/>
      <c r="E44" s="1379"/>
      <c r="F44" s="1383" t="s">
        <v>1351</v>
      </c>
      <c r="G44" s="1381"/>
      <c r="H44" s="1380"/>
      <c r="I44" s="1381"/>
      <c r="J44" s="1456"/>
      <c r="K44" s="1457"/>
      <c r="L44" s="1454"/>
    </row>
    <row r="45" spans="2:12" s="321" customFormat="1" ht="13.5" customHeight="1">
      <c r="B45" s="1377" t="s">
        <v>1350</v>
      </c>
      <c r="C45" s="1378"/>
      <c r="D45" s="1456"/>
      <c r="E45" s="1380"/>
      <c r="F45" s="1383" t="s">
        <v>1349</v>
      </c>
      <c r="G45" s="1381"/>
      <c r="H45" s="1380"/>
      <c r="I45" s="1381"/>
      <c r="J45" s="1456"/>
      <c r="K45" s="1457"/>
      <c r="L45" s="1454"/>
    </row>
    <row r="46" spans="2:12" s="321" customFormat="1" ht="13.5" customHeight="1">
      <c r="B46" s="1384"/>
      <c r="C46" s="1382"/>
      <c r="D46" s="1382"/>
      <c r="E46" s="1382"/>
      <c r="F46" s="1382"/>
      <c r="G46" s="1385"/>
      <c r="H46" s="1382"/>
      <c r="I46" s="1385"/>
      <c r="J46" s="1382"/>
      <c r="K46" s="1386"/>
      <c r="L46" s="1454"/>
    </row>
    <row r="47" spans="2:12" ht="7.5" customHeight="1">
      <c r="B47" s="1458"/>
      <c r="C47" s="1458"/>
      <c r="D47" s="1459"/>
      <c r="E47" s="1459"/>
      <c r="F47" s="1459"/>
      <c r="G47" s="1460"/>
      <c r="H47" s="1459"/>
      <c r="I47" s="1460"/>
      <c r="J47" s="1459"/>
      <c r="K47" s="1459"/>
    </row>
    <row r="48" spans="2:12" ht="13.5" customHeight="1">
      <c r="B48" s="1389" t="s">
        <v>1862</v>
      </c>
      <c r="C48" s="1389"/>
      <c r="D48" s="321"/>
      <c r="E48" s="321"/>
      <c r="F48" s="321"/>
    </row>
    <row r="49" spans="2:3" s="316" customFormat="1" ht="10.5" customHeight="1">
      <c r="B49" s="1390" t="s">
        <v>1863</v>
      </c>
      <c r="C49" s="1390"/>
    </row>
    <row r="50" spans="2:3" s="316" customFormat="1" ht="11.1" customHeight="1">
      <c r="B50" s="1390" t="s">
        <v>1864</v>
      </c>
      <c r="C50" s="1390"/>
    </row>
    <row r="51" spans="2:3" s="316" customFormat="1" ht="11.1" customHeight="1">
      <c r="B51" s="1390" t="s">
        <v>1865</v>
      </c>
      <c r="C51" s="1390"/>
    </row>
    <row r="52" spans="2:3" s="316" customFormat="1" ht="11.1" customHeight="1">
      <c r="B52" s="1390" t="s">
        <v>1866</v>
      </c>
      <c r="C52" s="139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zoomScaleNormal="110" zoomScaleSheetLayoutView="100" workbookViewId="0">
      <selection activeCell="B20" sqref="B20:K20"/>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Rich Township High School District 227</v>
      </c>
      <c r="C1" s="2486"/>
      <c r="D1" s="2486"/>
      <c r="E1" s="2486"/>
      <c r="F1" s="2486"/>
      <c r="G1" s="2486"/>
      <c r="H1" s="2486"/>
      <c r="I1" s="2486"/>
      <c r="J1" s="2486"/>
      <c r="K1" s="2486"/>
      <c r="L1" s="1344"/>
      <c r="M1" s="1344"/>
    </row>
    <row r="2" spans="1:13" ht="12" customHeight="1">
      <c r="B2" s="2488" t="str">
        <f>'Single Audit Cover'!E7</f>
        <v>07-016-2270-17</v>
      </c>
      <c r="C2" s="2488"/>
      <c r="D2" s="2488"/>
      <c r="E2" s="2488"/>
      <c r="F2" s="2488"/>
      <c r="G2" s="2488"/>
      <c r="H2" s="2488"/>
      <c r="I2" s="2488"/>
      <c r="J2" s="2488"/>
      <c r="K2" s="2488"/>
      <c r="L2" s="1345"/>
      <c r="M2" s="1346"/>
    </row>
    <row r="3" spans="1:13" ht="10.35" customHeight="1">
      <c r="B3" s="2509" t="s">
        <v>1347</v>
      </c>
      <c r="C3" s="2509"/>
      <c r="D3" s="2509"/>
      <c r="E3" s="2509"/>
      <c r="F3" s="2509"/>
      <c r="G3" s="2509"/>
      <c r="H3" s="2509"/>
      <c r="I3" s="2509"/>
      <c r="J3" s="2509"/>
      <c r="K3" s="2509"/>
      <c r="L3" s="1972"/>
      <c r="M3" s="1972"/>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0" t="s">
        <v>1363</v>
      </c>
      <c r="C7" s="2510"/>
      <c r="D7" s="2511"/>
      <c r="E7" s="2511"/>
      <c r="F7" s="2511"/>
      <c r="G7" s="2511"/>
      <c r="H7" s="2511"/>
      <c r="I7" s="2511"/>
      <c r="J7" s="2511"/>
      <c r="K7" s="2511"/>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1843</v>
      </c>
      <c r="C10" s="1355" t="s">
        <v>1951</v>
      </c>
      <c r="D10" s="1356">
        <v>3</v>
      </c>
      <c r="E10" s="321"/>
      <c r="F10" s="1357" t="s">
        <v>1362</v>
      </c>
      <c r="G10" s="1358" t="s">
        <v>2081</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08" t="s">
        <v>2238</v>
      </c>
      <c r="C14" s="2508"/>
      <c r="D14" s="2508"/>
      <c r="E14" s="2508"/>
      <c r="F14" s="2508"/>
      <c r="G14" s="2508"/>
      <c r="H14" s="2508"/>
      <c r="I14" s="2508"/>
      <c r="J14" s="2508"/>
      <c r="K14" s="2508"/>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08" t="s">
        <v>2234</v>
      </c>
      <c r="C17" s="2508"/>
      <c r="D17" s="2508"/>
      <c r="E17" s="2508"/>
      <c r="F17" s="2508"/>
      <c r="G17" s="2508"/>
      <c r="H17" s="2508"/>
      <c r="I17" s="2508"/>
      <c r="J17" s="2508"/>
      <c r="K17" s="2508"/>
      <c r="L17" s="1351"/>
    </row>
    <row r="18" spans="2:12" ht="4.5" customHeight="1">
      <c r="B18" s="1368"/>
      <c r="C18" s="1368"/>
      <c r="L18" s="1351"/>
    </row>
    <row r="19" spans="2:12" s="1252" customFormat="1" ht="13.5" customHeight="1">
      <c r="B19" s="1363" t="s">
        <v>1844</v>
      </c>
      <c r="C19" s="1363"/>
      <c r="D19" s="1364"/>
      <c r="E19" s="1364"/>
      <c r="F19" s="1364"/>
      <c r="G19" s="1365"/>
      <c r="H19" s="1364"/>
      <c r="I19" s="1365"/>
      <c r="J19" s="1364"/>
      <c r="K19" s="1364"/>
      <c r="L19" s="1366"/>
    </row>
    <row r="20" spans="2:12" ht="45.75" customHeight="1">
      <c r="B20" s="2512" t="s">
        <v>2235</v>
      </c>
      <c r="C20" s="2512"/>
      <c r="D20" s="2508"/>
      <c r="E20" s="2508"/>
      <c r="F20" s="2508"/>
      <c r="G20" s="2508"/>
      <c r="H20" s="2508"/>
      <c r="I20" s="2508"/>
      <c r="J20" s="2508"/>
      <c r="K20" s="2508"/>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08" t="s">
        <v>2222</v>
      </c>
      <c r="C23" s="2508"/>
      <c r="D23" s="2508"/>
      <c r="E23" s="2508"/>
      <c r="F23" s="2508"/>
      <c r="G23" s="2508"/>
      <c r="H23" s="2508"/>
      <c r="I23" s="2508"/>
      <c r="J23" s="2508"/>
      <c r="K23" s="2508"/>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08" t="s">
        <v>2236</v>
      </c>
      <c r="C26" s="2508"/>
      <c r="D26" s="2508"/>
      <c r="E26" s="2508"/>
      <c r="F26" s="2508"/>
      <c r="G26" s="2508"/>
      <c r="H26" s="2508"/>
      <c r="I26" s="2508"/>
      <c r="J26" s="2508"/>
      <c r="K26" s="2508"/>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7" t="s">
        <v>2237</v>
      </c>
      <c r="C29" s="2507"/>
      <c r="D29" s="2508"/>
      <c r="E29" s="2508"/>
      <c r="F29" s="2508"/>
      <c r="G29" s="2508"/>
      <c r="H29" s="2508"/>
      <c r="I29" s="2508"/>
      <c r="J29" s="2508"/>
      <c r="K29" s="2508"/>
      <c r="L29" s="1351"/>
    </row>
    <row r="30" spans="2:12" ht="4.5" customHeight="1">
      <c r="B30" s="1372"/>
      <c r="C30" s="1372"/>
      <c r="D30" s="321"/>
      <c r="E30" s="321"/>
      <c r="F30" s="321"/>
      <c r="G30" s="1353"/>
      <c r="H30" s="321"/>
      <c r="I30" s="1353"/>
      <c r="J30" s="321"/>
      <c r="K30" s="321"/>
      <c r="L30" s="1351"/>
    </row>
    <row r="31" spans="2:12" s="321" customFormat="1" ht="13.5" customHeight="1">
      <c r="B31" s="1373" t="s">
        <v>1845</v>
      </c>
      <c r="C31" s="1373"/>
      <c r="D31" s="1348"/>
      <c r="E31" s="1349"/>
      <c r="F31" s="1349"/>
      <c r="G31" s="1350"/>
      <c r="H31" s="1349"/>
      <c r="I31" s="1350"/>
      <c r="J31" s="1349"/>
      <c r="K31" s="1349"/>
      <c r="L31" s="1351"/>
    </row>
    <row r="32" spans="2:12" s="321" customFormat="1" ht="44.25" customHeight="1">
      <c r="B32" s="2507"/>
      <c r="C32" s="2507"/>
      <c r="D32" s="2508"/>
      <c r="E32" s="2508"/>
      <c r="F32" s="2508"/>
      <c r="G32" s="2508"/>
      <c r="H32" s="2508"/>
      <c r="I32" s="2508"/>
      <c r="J32" s="2508"/>
      <c r="K32" s="2508"/>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1846</v>
      </c>
      <c r="C35" s="1389"/>
      <c r="D35" s="321"/>
      <c r="E35" s="321"/>
      <c r="F35" s="321"/>
      <c r="L35" s="1351"/>
    </row>
    <row r="36" spans="1:13" ht="9.6" customHeight="1">
      <c r="B36" s="1270" t="s">
        <v>1952</v>
      </c>
      <c r="C36" s="1270"/>
      <c r="L36" s="1351"/>
    </row>
    <row r="37" spans="1:13" ht="9.6" customHeight="1">
      <c r="B37" s="1270" t="s">
        <v>1953</v>
      </c>
      <c r="C37" s="1270"/>
    </row>
    <row r="38" spans="1:13" ht="11.85" customHeight="1">
      <c r="B38" s="1390" t="s">
        <v>1847</v>
      </c>
      <c r="C38" s="1390"/>
    </row>
    <row r="39" spans="1:13" ht="9.6" customHeight="1">
      <c r="B39" s="1270" t="s">
        <v>1348</v>
      </c>
      <c r="C39" s="1270"/>
      <c r="M39" s="1391"/>
    </row>
    <row r="40" spans="1:13" ht="12.6" customHeight="1">
      <c r="B40" s="1390" t="s">
        <v>1848</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topLeftCell="A7" zoomScaleNormal="110" zoomScaleSheetLayoutView="100" workbookViewId="0">
      <selection activeCell="B23" sqref="B23:K2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Rich Township High School District 227</v>
      </c>
      <c r="C1" s="2486"/>
      <c r="D1" s="2486"/>
      <c r="E1" s="2486"/>
      <c r="F1" s="2486"/>
      <c r="G1" s="2486"/>
      <c r="H1" s="2486"/>
      <c r="I1" s="2486"/>
      <c r="J1" s="2486"/>
      <c r="K1" s="2486"/>
      <c r="L1" s="1344"/>
      <c r="M1" s="1344"/>
    </row>
    <row r="2" spans="1:13" ht="12" customHeight="1">
      <c r="B2" s="2488" t="str">
        <f>'Single Audit Cover'!E7</f>
        <v>07-016-2270-17</v>
      </c>
      <c r="C2" s="2488"/>
      <c r="D2" s="2488"/>
      <c r="E2" s="2488"/>
      <c r="F2" s="2488"/>
      <c r="G2" s="2488"/>
      <c r="H2" s="2488"/>
      <c r="I2" s="2488"/>
      <c r="J2" s="2488"/>
      <c r="K2" s="2488"/>
      <c r="L2" s="1345"/>
      <c r="M2" s="1346"/>
    </row>
    <row r="3" spans="1:13" ht="10.35" customHeight="1">
      <c r="B3" s="2509" t="s">
        <v>1347</v>
      </c>
      <c r="C3" s="2509"/>
      <c r="D3" s="2509"/>
      <c r="E3" s="2509"/>
      <c r="F3" s="2509"/>
      <c r="G3" s="2509"/>
      <c r="H3" s="2509"/>
      <c r="I3" s="2509"/>
      <c r="J3" s="2509"/>
      <c r="K3" s="2509"/>
      <c r="L3" s="1972"/>
      <c r="M3" s="1972"/>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0" t="s">
        <v>1363</v>
      </c>
      <c r="C7" s="2510"/>
      <c r="D7" s="2511"/>
      <c r="E7" s="2511"/>
      <c r="F7" s="2511"/>
      <c r="G7" s="2511"/>
      <c r="H7" s="2511"/>
      <c r="I7" s="2511"/>
      <c r="J7" s="2511"/>
      <c r="K7" s="2511"/>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1843</v>
      </c>
      <c r="C10" s="1355" t="s">
        <v>1951</v>
      </c>
      <c r="D10" s="1356">
        <v>4</v>
      </c>
      <c r="E10" s="321"/>
      <c r="F10" s="1357" t="s">
        <v>1362</v>
      </c>
      <c r="G10" s="1358" t="s">
        <v>2081</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08" t="s">
        <v>2251</v>
      </c>
      <c r="C14" s="2508"/>
      <c r="D14" s="2508"/>
      <c r="E14" s="2508"/>
      <c r="F14" s="2508"/>
      <c r="G14" s="2508"/>
      <c r="H14" s="2508"/>
      <c r="I14" s="2508"/>
      <c r="J14" s="2508"/>
      <c r="K14" s="2508"/>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08" t="s">
        <v>2239</v>
      </c>
      <c r="C17" s="2508"/>
      <c r="D17" s="2508"/>
      <c r="E17" s="2508"/>
      <c r="F17" s="2508"/>
      <c r="G17" s="2508"/>
      <c r="H17" s="2508"/>
      <c r="I17" s="2508"/>
      <c r="J17" s="2508"/>
      <c r="K17" s="2508"/>
      <c r="L17" s="1351"/>
    </row>
    <row r="18" spans="2:12" ht="4.5" customHeight="1">
      <c r="B18" s="1368"/>
      <c r="C18" s="1368"/>
      <c r="L18" s="1351"/>
    </row>
    <row r="19" spans="2:12" s="1252" customFormat="1" ht="13.5" customHeight="1">
      <c r="B19" s="1363" t="s">
        <v>1844</v>
      </c>
      <c r="C19" s="1363"/>
      <c r="D19" s="1364"/>
      <c r="E19" s="1364"/>
      <c r="F19" s="1364"/>
      <c r="G19" s="1365"/>
      <c r="H19" s="1364"/>
      <c r="I19" s="1365"/>
      <c r="J19" s="1364"/>
      <c r="K19" s="1364"/>
      <c r="L19" s="1366"/>
    </row>
    <row r="20" spans="2:12" ht="45.75" customHeight="1">
      <c r="B20" s="2512" t="s">
        <v>2240</v>
      </c>
      <c r="C20" s="2512"/>
      <c r="D20" s="2508"/>
      <c r="E20" s="2508"/>
      <c r="F20" s="2508"/>
      <c r="G20" s="2508"/>
      <c r="H20" s="2508"/>
      <c r="I20" s="2508"/>
      <c r="J20" s="2508"/>
      <c r="K20" s="2508"/>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08" t="s">
        <v>2222</v>
      </c>
      <c r="C23" s="2508"/>
      <c r="D23" s="2508"/>
      <c r="E23" s="2508"/>
      <c r="F23" s="2508"/>
      <c r="G23" s="2508"/>
      <c r="H23" s="2508"/>
      <c r="I23" s="2508"/>
      <c r="J23" s="2508"/>
      <c r="K23" s="2508"/>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08" t="s">
        <v>2241</v>
      </c>
      <c r="C26" s="2508"/>
      <c r="D26" s="2508"/>
      <c r="E26" s="2508"/>
      <c r="F26" s="2508"/>
      <c r="G26" s="2508"/>
      <c r="H26" s="2508"/>
      <c r="I26" s="2508"/>
      <c r="J26" s="2508"/>
      <c r="K26" s="2508"/>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7" t="s">
        <v>2242</v>
      </c>
      <c r="C29" s="2507"/>
      <c r="D29" s="2508"/>
      <c r="E29" s="2508"/>
      <c r="F29" s="2508"/>
      <c r="G29" s="2508"/>
      <c r="H29" s="2508"/>
      <c r="I29" s="2508"/>
      <c r="J29" s="2508"/>
      <c r="K29" s="2508"/>
      <c r="L29" s="1351"/>
    </row>
    <row r="30" spans="2:12" ht="4.5" customHeight="1">
      <c r="B30" s="1372"/>
      <c r="C30" s="1372"/>
      <c r="D30" s="321"/>
      <c r="E30" s="321"/>
      <c r="F30" s="321"/>
      <c r="G30" s="1353"/>
      <c r="H30" s="321"/>
      <c r="I30" s="1353"/>
      <c r="J30" s="321"/>
      <c r="K30" s="321"/>
      <c r="L30" s="1351"/>
    </row>
    <row r="31" spans="2:12" s="321" customFormat="1" ht="13.5" customHeight="1">
      <c r="B31" s="1373" t="s">
        <v>1845</v>
      </c>
      <c r="C31" s="1373"/>
      <c r="D31" s="1348"/>
      <c r="E31" s="1349"/>
      <c r="F31" s="1349"/>
      <c r="G31" s="1350"/>
      <c r="H31" s="1349"/>
      <c r="I31" s="1350"/>
      <c r="J31" s="1349"/>
      <c r="K31" s="1349"/>
      <c r="L31" s="1351"/>
    </row>
    <row r="32" spans="2:12" s="321" customFormat="1" ht="44.25" customHeight="1">
      <c r="B32" s="2507"/>
      <c r="C32" s="2507"/>
      <c r="D32" s="2508"/>
      <c r="E32" s="2508"/>
      <c r="F32" s="2508"/>
      <c r="G32" s="2508"/>
      <c r="H32" s="2508"/>
      <c r="I32" s="2508"/>
      <c r="J32" s="2508"/>
      <c r="K32" s="2508"/>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1846</v>
      </c>
      <c r="C35" s="1389"/>
      <c r="D35" s="321"/>
      <c r="E35" s="321"/>
      <c r="F35" s="321"/>
      <c r="L35" s="1351"/>
    </row>
    <row r="36" spans="1:13" ht="9.6" customHeight="1">
      <c r="B36" s="1270" t="s">
        <v>1952</v>
      </c>
      <c r="C36" s="1270"/>
      <c r="L36" s="1351"/>
    </row>
    <row r="37" spans="1:13" ht="9.6" customHeight="1">
      <c r="B37" s="1270" t="s">
        <v>1953</v>
      </c>
      <c r="C37" s="1270"/>
    </row>
    <row r="38" spans="1:13" ht="11.85" customHeight="1">
      <c r="B38" s="1390" t="s">
        <v>1847</v>
      </c>
      <c r="C38" s="1390"/>
    </row>
    <row r="39" spans="1:13" ht="9.6" customHeight="1">
      <c r="B39" s="1270" t="s">
        <v>1348</v>
      </c>
      <c r="C39" s="1270"/>
      <c r="M39" s="1391"/>
    </row>
    <row r="40" spans="1:13" ht="12.6" customHeight="1">
      <c r="B40" s="1390" t="s">
        <v>1848</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topLeftCell="A7" zoomScaleNormal="110" zoomScaleSheetLayoutView="100" workbookViewId="0">
      <selection activeCell="D11" sqref="D11"/>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Rich Township High School District 227</v>
      </c>
      <c r="C1" s="2486"/>
      <c r="D1" s="2486"/>
      <c r="E1" s="2486"/>
      <c r="F1" s="2486"/>
      <c r="G1" s="2486"/>
      <c r="H1" s="2486"/>
      <c r="I1" s="2486"/>
      <c r="J1" s="2486"/>
      <c r="K1" s="2486"/>
      <c r="L1" s="1344"/>
      <c r="M1" s="1344"/>
    </row>
    <row r="2" spans="1:13" ht="12" customHeight="1">
      <c r="B2" s="2488" t="str">
        <f>'Single Audit Cover'!E7</f>
        <v>07-016-2270-17</v>
      </c>
      <c r="C2" s="2488"/>
      <c r="D2" s="2488"/>
      <c r="E2" s="2488"/>
      <c r="F2" s="2488"/>
      <c r="G2" s="2488"/>
      <c r="H2" s="2488"/>
      <c r="I2" s="2488"/>
      <c r="J2" s="2488"/>
      <c r="K2" s="2488"/>
      <c r="L2" s="1345"/>
      <c r="M2" s="1346"/>
    </row>
    <row r="3" spans="1:13" ht="10.35" customHeight="1">
      <c r="B3" s="2509" t="s">
        <v>1347</v>
      </c>
      <c r="C3" s="2509"/>
      <c r="D3" s="2509"/>
      <c r="E3" s="2509"/>
      <c r="F3" s="2509"/>
      <c r="G3" s="2509"/>
      <c r="H3" s="2509"/>
      <c r="I3" s="2509"/>
      <c r="J3" s="2509"/>
      <c r="K3" s="2509"/>
      <c r="L3" s="1972"/>
      <c r="M3" s="1972"/>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0" t="s">
        <v>1363</v>
      </c>
      <c r="C7" s="2510"/>
      <c r="D7" s="2511"/>
      <c r="E7" s="2511"/>
      <c r="F7" s="2511"/>
      <c r="G7" s="2511"/>
      <c r="H7" s="2511"/>
      <c r="I7" s="2511"/>
      <c r="J7" s="2511"/>
      <c r="K7" s="2511"/>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1843</v>
      </c>
      <c r="C10" s="1355" t="s">
        <v>1951</v>
      </c>
      <c r="D10" s="1356">
        <v>5</v>
      </c>
      <c r="E10" s="321"/>
      <c r="F10" s="1357" t="s">
        <v>1362</v>
      </c>
      <c r="G10" s="1358" t="s">
        <v>2081</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08" t="s">
        <v>2248</v>
      </c>
      <c r="C14" s="2508"/>
      <c r="D14" s="2508"/>
      <c r="E14" s="2508"/>
      <c r="F14" s="2508"/>
      <c r="G14" s="2508"/>
      <c r="H14" s="2508"/>
      <c r="I14" s="2508"/>
      <c r="J14" s="2508"/>
      <c r="K14" s="2508"/>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08" t="s">
        <v>2243</v>
      </c>
      <c r="C17" s="2508"/>
      <c r="D17" s="2508"/>
      <c r="E17" s="2508"/>
      <c r="F17" s="2508"/>
      <c r="G17" s="2508"/>
      <c r="H17" s="2508"/>
      <c r="I17" s="2508"/>
      <c r="J17" s="2508"/>
      <c r="K17" s="2508"/>
      <c r="L17" s="1351"/>
    </row>
    <row r="18" spans="2:12" ht="4.5" customHeight="1">
      <c r="B18" s="1368"/>
      <c r="C18" s="1368"/>
      <c r="L18" s="1351"/>
    </row>
    <row r="19" spans="2:12" s="1252" customFormat="1" ht="13.5" customHeight="1">
      <c r="B19" s="1363" t="s">
        <v>1844</v>
      </c>
      <c r="C19" s="1363"/>
      <c r="D19" s="1364"/>
      <c r="E19" s="1364"/>
      <c r="F19" s="1364"/>
      <c r="G19" s="1365"/>
      <c r="H19" s="1364"/>
      <c r="I19" s="1365"/>
      <c r="J19" s="1364"/>
      <c r="K19" s="1364"/>
      <c r="L19" s="1366"/>
    </row>
    <row r="20" spans="2:12" ht="45.75" customHeight="1">
      <c r="B20" s="2512" t="s">
        <v>2244</v>
      </c>
      <c r="C20" s="2512"/>
      <c r="D20" s="2508"/>
      <c r="E20" s="2508"/>
      <c r="F20" s="2508"/>
      <c r="G20" s="2508"/>
      <c r="H20" s="2508"/>
      <c r="I20" s="2508"/>
      <c r="J20" s="2508"/>
      <c r="K20" s="2508"/>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08" t="s">
        <v>2245</v>
      </c>
      <c r="C23" s="2508"/>
      <c r="D23" s="2508"/>
      <c r="E23" s="2508"/>
      <c r="F23" s="2508"/>
      <c r="G23" s="2508"/>
      <c r="H23" s="2508"/>
      <c r="I23" s="2508"/>
      <c r="J23" s="2508"/>
      <c r="K23" s="2508"/>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08" t="s">
        <v>2246</v>
      </c>
      <c r="C26" s="2508"/>
      <c r="D26" s="2508"/>
      <c r="E26" s="2508"/>
      <c r="F26" s="2508"/>
      <c r="G26" s="2508"/>
      <c r="H26" s="2508"/>
      <c r="I26" s="2508"/>
      <c r="J26" s="2508"/>
      <c r="K26" s="2508"/>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7" t="s">
        <v>2247</v>
      </c>
      <c r="C29" s="2507"/>
      <c r="D29" s="2508"/>
      <c r="E29" s="2508"/>
      <c r="F29" s="2508"/>
      <c r="G29" s="2508"/>
      <c r="H29" s="2508"/>
      <c r="I29" s="2508"/>
      <c r="J29" s="2508"/>
      <c r="K29" s="2508"/>
      <c r="L29" s="1351"/>
    </row>
    <row r="30" spans="2:12" ht="4.5" customHeight="1">
      <c r="B30" s="1372"/>
      <c r="C30" s="1372"/>
      <c r="D30" s="321"/>
      <c r="E30" s="321"/>
      <c r="F30" s="321"/>
      <c r="G30" s="1353"/>
      <c r="H30" s="321"/>
      <c r="I30" s="1353"/>
      <c r="J30" s="321"/>
      <c r="K30" s="321"/>
      <c r="L30" s="1351"/>
    </row>
    <row r="31" spans="2:12" s="321" customFormat="1" ht="13.5" customHeight="1">
      <c r="B31" s="1373" t="s">
        <v>1845</v>
      </c>
      <c r="C31" s="1373"/>
      <c r="D31" s="1348"/>
      <c r="E31" s="1349"/>
      <c r="F31" s="1349"/>
      <c r="G31" s="1350"/>
      <c r="H31" s="1349"/>
      <c r="I31" s="1350"/>
      <c r="J31" s="1349"/>
      <c r="K31" s="1349"/>
      <c r="L31" s="1351"/>
    </row>
    <row r="32" spans="2:12" s="321" customFormat="1" ht="44.25" customHeight="1">
      <c r="B32" s="2507"/>
      <c r="C32" s="2507"/>
      <c r="D32" s="2508"/>
      <c r="E32" s="2508"/>
      <c r="F32" s="2508"/>
      <c r="G32" s="2508"/>
      <c r="H32" s="2508"/>
      <c r="I32" s="2508"/>
      <c r="J32" s="2508"/>
      <c r="K32" s="2508"/>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1846</v>
      </c>
      <c r="C35" s="1389"/>
      <c r="D35" s="321"/>
      <c r="E35" s="321"/>
      <c r="F35" s="321"/>
      <c r="L35" s="1351"/>
    </row>
    <row r="36" spans="1:13" ht="9.6" customHeight="1">
      <c r="B36" s="1270" t="s">
        <v>1952</v>
      </c>
      <c r="C36" s="1270"/>
      <c r="L36" s="1351"/>
    </row>
    <row r="37" spans="1:13" ht="9.6" customHeight="1">
      <c r="B37" s="1270" t="s">
        <v>1953</v>
      </c>
      <c r="C37" s="1270"/>
    </row>
    <row r="38" spans="1:13" ht="11.85" customHeight="1">
      <c r="B38" s="1390" t="s">
        <v>1847</v>
      </c>
      <c r="C38" s="1390"/>
    </row>
    <row r="39" spans="1:13" ht="9.6" customHeight="1">
      <c r="B39" s="1270" t="s">
        <v>1348</v>
      </c>
      <c r="C39" s="1270"/>
      <c r="M39" s="1391"/>
    </row>
    <row r="40" spans="1:13" ht="12.6" customHeight="1">
      <c r="B40" s="1390" t="s">
        <v>1848</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zoomScaleNormal="110" zoomScaleSheetLayoutView="100" workbookViewId="0">
      <selection activeCell="B23" sqref="B23:K23"/>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6" t="str">
        <f>'Single Audit Cover'!A7</f>
        <v>Rich Township High School District 227</v>
      </c>
      <c r="C1" s="2486"/>
      <c r="D1" s="2486"/>
      <c r="E1" s="2486"/>
      <c r="F1" s="2486"/>
      <c r="G1" s="2486"/>
      <c r="H1" s="2486"/>
      <c r="I1" s="2486"/>
      <c r="J1" s="2486"/>
      <c r="K1" s="2486"/>
      <c r="L1" s="1344"/>
      <c r="M1" s="1344"/>
    </row>
    <row r="2" spans="1:13" ht="12" customHeight="1">
      <c r="B2" s="2488" t="str">
        <f>'Single Audit Cover'!E7</f>
        <v>07-016-2270-17</v>
      </c>
      <c r="C2" s="2488"/>
      <c r="D2" s="2488"/>
      <c r="E2" s="2488"/>
      <c r="F2" s="2488"/>
      <c r="G2" s="2488"/>
      <c r="H2" s="2488"/>
      <c r="I2" s="2488"/>
      <c r="J2" s="2488"/>
      <c r="K2" s="2488"/>
      <c r="L2" s="1345"/>
      <c r="M2" s="1346"/>
    </row>
    <row r="3" spans="1:13" ht="10.35" customHeight="1">
      <c r="B3" s="2509" t="s">
        <v>1347</v>
      </c>
      <c r="C3" s="2509"/>
      <c r="D3" s="2509"/>
      <c r="E3" s="2509"/>
      <c r="F3" s="2509"/>
      <c r="G3" s="2509"/>
      <c r="H3" s="2509"/>
      <c r="I3" s="2509"/>
      <c r="J3" s="2509"/>
      <c r="K3" s="2509"/>
      <c r="L3" s="1972"/>
      <c r="M3" s="1972"/>
    </row>
    <row r="4" spans="1:13" ht="14.25" customHeight="1">
      <c r="B4" s="2510" t="str">
        <f>'Single Audit Cover'!A4</f>
        <v>Year Ending June 30, 2018</v>
      </c>
      <c r="C4" s="2510"/>
      <c r="D4" s="2510"/>
      <c r="E4" s="2510"/>
      <c r="F4" s="2510"/>
      <c r="G4" s="2510"/>
      <c r="H4" s="2510"/>
      <c r="I4" s="2510"/>
      <c r="J4" s="2510"/>
      <c r="K4" s="2510"/>
      <c r="L4" s="312"/>
      <c r="M4" s="312"/>
    </row>
    <row r="5" spans="1:13" ht="7.5" customHeight="1">
      <c r="B5" s="1230" t="s">
        <v>1231</v>
      </c>
      <c r="C5" s="1230"/>
    </row>
    <row r="6" spans="1:13" ht="7.5" customHeight="1">
      <c r="B6" s="1348"/>
      <c r="C6" s="1348"/>
      <c r="D6" s="1349"/>
      <c r="E6" s="1349"/>
      <c r="F6" s="1349"/>
      <c r="G6" s="1350"/>
      <c r="H6" s="1349"/>
      <c r="I6" s="1350"/>
      <c r="J6" s="1349"/>
      <c r="K6" s="1349"/>
      <c r="L6" s="1351"/>
    </row>
    <row r="7" spans="1:13" ht="12.75" customHeight="1">
      <c r="A7" s="1252"/>
      <c r="B7" s="2510" t="s">
        <v>1363</v>
      </c>
      <c r="C7" s="2510"/>
      <c r="D7" s="2511"/>
      <c r="E7" s="2511"/>
      <c r="F7" s="2511"/>
      <c r="G7" s="2511"/>
      <c r="H7" s="2511"/>
      <c r="I7" s="2511"/>
      <c r="J7" s="2511"/>
      <c r="K7" s="2511"/>
      <c r="L7" s="1352"/>
    </row>
    <row r="8" spans="1:13" ht="7.5" customHeight="1">
      <c r="B8" s="321"/>
      <c r="C8" s="321"/>
      <c r="D8" s="321"/>
      <c r="E8" s="321"/>
      <c r="F8" s="321"/>
      <c r="G8" s="1353"/>
      <c r="H8" s="321"/>
      <c r="I8" s="1353"/>
      <c r="J8" s="321"/>
      <c r="K8" s="321"/>
      <c r="L8" s="1351"/>
    </row>
    <row r="9" spans="1:13" ht="9.6" customHeight="1">
      <c r="B9" s="1349"/>
      <c r="C9" s="1349"/>
      <c r="D9" s="1349"/>
      <c r="E9" s="1349"/>
      <c r="F9" s="1349"/>
      <c r="G9" s="1350"/>
      <c r="H9" s="1349"/>
      <c r="I9" s="1350"/>
      <c r="J9" s="1349"/>
      <c r="K9" s="1349"/>
      <c r="L9" s="1351"/>
    </row>
    <row r="10" spans="1:13" ht="16.5" customHeight="1">
      <c r="B10" s="1354" t="s">
        <v>1843</v>
      </c>
      <c r="C10" s="1355" t="s">
        <v>1951</v>
      </c>
      <c r="D10" s="1356">
        <v>6</v>
      </c>
      <c r="E10" s="321"/>
      <c r="F10" s="1357" t="s">
        <v>1362</v>
      </c>
      <c r="G10" s="1358" t="s">
        <v>2081</v>
      </c>
      <c r="H10" s="1359" t="s">
        <v>1361</v>
      </c>
      <c r="I10" s="1358"/>
      <c r="J10" s="1360" t="s">
        <v>1360</v>
      </c>
      <c r="K10" s="321"/>
      <c r="L10" s="1351"/>
    </row>
    <row r="11" spans="1:13" ht="13.5" customHeight="1">
      <c r="B11" s="321"/>
      <c r="C11" s="321"/>
      <c r="D11" s="321"/>
      <c r="E11" s="321"/>
      <c r="F11" s="321"/>
      <c r="G11" s="1353"/>
      <c r="H11" s="321"/>
      <c r="I11" s="1361" t="s">
        <v>1359</v>
      </c>
      <c r="J11" s="321"/>
      <c r="K11" s="1362"/>
      <c r="L11" s="1351"/>
    </row>
    <row r="12" spans="1:13" ht="13.5" customHeight="1">
      <c r="B12" s="1264"/>
      <c r="C12" s="1264"/>
      <c r="D12" s="321"/>
      <c r="E12" s="321"/>
      <c r="F12" s="321"/>
      <c r="G12" s="1353"/>
      <c r="H12" s="321"/>
      <c r="I12" s="1353"/>
      <c r="J12" s="321"/>
      <c r="L12" s="1351"/>
    </row>
    <row r="13" spans="1:13" s="1252" customFormat="1" ht="13.5" customHeight="1">
      <c r="B13" s="1363" t="s">
        <v>1358</v>
      </c>
      <c r="C13" s="1363"/>
      <c r="D13" s="1364"/>
      <c r="E13" s="1364"/>
      <c r="F13" s="1364"/>
      <c r="G13" s="1365"/>
      <c r="H13" s="1364"/>
      <c r="I13" s="1365"/>
      <c r="J13" s="1364"/>
      <c r="K13" s="1364"/>
      <c r="L13" s="1366"/>
    </row>
    <row r="14" spans="1:13" ht="45.75" customHeight="1">
      <c r="B14" s="2508" t="s">
        <v>2251</v>
      </c>
      <c r="C14" s="2508"/>
      <c r="D14" s="2508"/>
      <c r="E14" s="2508"/>
      <c r="F14" s="2508"/>
      <c r="G14" s="2508"/>
      <c r="H14" s="2508"/>
      <c r="I14" s="2508"/>
      <c r="J14" s="2508"/>
      <c r="K14" s="2508"/>
      <c r="L14" s="1367"/>
    </row>
    <row r="15" spans="1:13" ht="4.5" customHeight="1">
      <c r="B15" s="1368"/>
      <c r="C15" s="1368"/>
      <c r="D15" s="1369"/>
      <c r="E15" s="1369"/>
      <c r="F15" s="1369"/>
      <c r="H15" s="1369"/>
      <c r="J15" s="1369"/>
      <c r="K15" s="1369"/>
      <c r="L15" s="1367"/>
    </row>
    <row r="16" spans="1:13" s="1252" customFormat="1" ht="13.5" customHeight="1">
      <c r="B16" s="1363" t="s">
        <v>1357</v>
      </c>
      <c r="C16" s="1363"/>
      <c r="D16" s="1364"/>
      <c r="E16" s="1364"/>
      <c r="F16" s="1364"/>
      <c r="G16" s="1365"/>
      <c r="H16" s="1364"/>
      <c r="I16" s="1365"/>
      <c r="J16" s="1364"/>
      <c r="K16" s="1364"/>
      <c r="L16" s="1366"/>
    </row>
    <row r="17" spans="2:12" ht="45.75" customHeight="1">
      <c r="B17" s="2508" t="s">
        <v>2250</v>
      </c>
      <c r="C17" s="2508"/>
      <c r="D17" s="2508"/>
      <c r="E17" s="2508"/>
      <c r="F17" s="2508"/>
      <c r="G17" s="2508"/>
      <c r="H17" s="2508"/>
      <c r="I17" s="2508"/>
      <c r="J17" s="2508"/>
      <c r="K17" s="2508"/>
      <c r="L17" s="1351"/>
    </row>
    <row r="18" spans="2:12" ht="4.5" customHeight="1">
      <c r="B18" s="1368"/>
      <c r="C18" s="1368"/>
      <c r="L18" s="1351"/>
    </row>
    <row r="19" spans="2:12" s="1252" customFormat="1" ht="13.5" customHeight="1">
      <c r="B19" s="1363" t="s">
        <v>1844</v>
      </c>
      <c r="C19" s="1363"/>
      <c r="D19" s="1364"/>
      <c r="E19" s="1364"/>
      <c r="F19" s="1364"/>
      <c r="G19" s="1365"/>
      <c r="H19" s="1364"/>
      <c r="I19" s="1365"/>
      <c r="J19" s="1364"/>
      <c r="K19" s="1364"/>
      <c r="L19" s="1366"/>
    </row>
    <row r="20" spans="2:12" ht="45.75" customHeight="1">
      <c r="B20" s="2512" t="s">
        <v>2249</v>
      </c>
      <c r="C20" s="2512"/>
      <c r="D20" s="2508"/>
      <c r="E20" s="2508"/>
      <c r="F20" s="2508"/>
      <c r="G20" s="2508"/>
      <c r="H20" s="2508"/>
      <c r="I20" s="2508"/>
      <c r="J20" s="2508"/>
      <c r="K20" s="2508"/>
      <c r="L20" s="1351"/>
    </row>
    <row r="21" spans="2:12" ht="4.5" customHeight="1">
      <c r="B21" s="1370"/>
      <c r="C21" s="1370"/>
      <c r="L21" s="1351"/>
    </row>
    <row r="22" spans="2:12" ht="13.5" customHeight="1">
      <c r="B22" s="1363" t="s">
        <v>1356</v>
      </c>
      <c r="C22" s="1363"/>
      <c r="D22" s="1349"/>
      <c r="E22" s="1349"/>
      <c r="F22" s="1349"/>
      <c r="G22" s="1350"/>
      <c r="H22" s="1349"/>
      <c r="I22" s="1350"/>
      <c r="J22" s="1349"/>
      <c r="K22" s="1349"/>
      <c r="L22" s="1351"/>
    </row>
    <row r="23" spans="2:12" ht="45" customHeight="1">
      <c r="B23" s="2508" t="s">
        <v>2222</v>
      </c>
      <c r="C23" s="2508"/>
      <c r="D23" s="2508"/>
      <c r="E23" s="2508"/>
      <c r="F23" s="2508"/>
      <c r="G23" s="2508"/>
      <c r="H23" s="2508"/>
      <c r="I23" s="2508"/>
      <c r="J23" s="2508"/>
      <c r="K23" s="2508"/>
      <c r="L23" s="1351"/>
    </row>
    <row r="24" spans="2:12" ht="4.5" customHeight="1">
      <c r="B24" s="1368"/>
      <c r="C24" s="1368"/>
      <c r="L24" s="1351"/>
    </row>
    <row r="25" spans="2:12" ht="13.5" customHeight="1">
      <c r="B25" s="1363" t="s">
        <v>1355</v>
      </c>
      <c r="C25" s="1363"/>
      <c r="D25" s="1349"/>
      <c r="E25" s="1349"/>
      <c r="F25" s="1349"/>
      <c r="G25" s="1350"/>
      <c r="H25" s="1349"/>
      <c r="I25" s="1350"/>
      <c r="J25" s="1349"/>
      <c r="K25" s="1349"/>
      <c r="L25" s="1351"/>
    </row>
    <row r="26" spans="2:12" ht="45.75" customHeight="1">
      <c r="B26" s="2508" t="s">
        <v>2241</v>
      </c>
      <c r="C26" s="2508"/>
      <c r="D26" s="2508"/>
      <c r="E26" s="2508"/>
      <c r="F26" s="2508"/>
      <c r="G26" s="2508"/>
      <c r="H26" s="2508"/>
      <c r="I26" s="2508"/>
      <c r="J26" s="2508"/>
      <c r="K26" s="2508"/>
      <c r="L26" s="1351"/>
    </row>
    <row r="27" spans="2:12" ht="4.5" customHeight="1">
      <c r="B27" s="1368"/>
      <c r="C27" s="1368"/>
      <c r="L27" s="1351"/>
    </row>
    <row r="28" spans="2:12" ht="13.5" customHeight="1">
      <c r="B28" s="1371" t="s">
        <v>1354</v>
      </c>
      <c r="C28" s="1371"/>
      <c r="D28" s="1349"/>
      <c r="E28" s="1349"/>
      <c r="F28" s="1349"/>
      <c r="G28" s="1350"/>
      <c r="H28" s="1349"/>
      <c r="I28" s="1350"/>
      <c r="J28" s="1349"/>
      <c r="K28" s="1349"/>
      <c r="L28" s="1351"/>
    </row>
    <row r="29" spans="2:12" ht="45.75" customHeight="1">
      <c r="B29" s="2507" t="s">
        <v>2252</v>
      </c>
      <c r="C29" s="2507"/>
      <c r="D29" s="2508"/>
      <c r="E29" s="2508"/>
      <c r="F29" s="2508"/>
      <c r="G29" s="2508"/>
      <c r="H29" s="2508"/>
      <c r="I29" s="2508"/>
      <c r="J29" s="2508"/>
      <c r="K29" s="2508"/>
      <c r="L29" s="1351"/>
    </row>
    <row r="30" spans="2:12" ht="4.5" customHeight="1">
      <c r="B30" s="1372"/>
      <c r="C30" s="1372"/>
      <c r="D30" s="321"/>
      <c r="E30" s="321"/>
      <c r="F30" s="321"/>
      <c r="G30" s="1353"/>
      <c r="H30" s="321"/>
      <c r="I30" s="1353"/>
      <c r="J30" s="321"/>
      <c r="K30" s="321"/>
      <c r="L30" s="1351"/>
    </row>
    <row r="31" spans="2:12" s="321" customFormat="1" ht="13.5" customHeight="1">
      <c r="B31" s="1373" t="s">
        <v>1845</v>
      </c>
      <c r="C31" s="1373"/>
      <c r="D31" s="1348"/>
      <c r="E31" s="1349"/>
      <c r="F31" s="1349"/>
      <c r="G31" s="1350"/>
      <c r="H31" s="1349"/>
      <c r="I31" s="1350"/>
      <c r="J31" s="1349"/>
      <c r="K31" s="1349"/>
      <c r="L31" s="1351"/>
    </row>
    <row r="32" spans="2:12" s="321" customFormat="1" ht="44.25" customHeight="1">
      <c r="B32" s="2507"/>
      <c r="C32" s="2507"/>
      <c r="D32" s="2508"/>
      <c r="E32" s="2508"/>
      <c r="F32" s="2508"/>
      <c r="G32" s="2508"/>
      <c r="H32" s="2508"/>
      <c r="I32" s="2508"/>
      <c r="J32" s="2508"/>
      <c r="K32" s="2508"/>
      <c r="L32" s="1351"/>
    </row>
    <row r="33" spans="1:13" s="321" customFormat="1" ht="4.5" customHeight="1">
      <c r="B33" s="1372"/>
      <c r="C33" s="1372"/>
      <c r="G33" s="1353"/>
      <c r="I33" s="1353"/>
      <c r="L33" s="1351"/>
    </row>
    <row r="34" spans="1:13" s="321" customFormat="1">
      <c r="A34" s="1267"/>
      <c r="B34" s="1387"/>
      <c r="C34" s="1387"/>
      <c r="D34" s="1387"/>
      <c r="E34" s="1387"/>
      <c r="F34" s="1387"/>
      <c r="G34" s="1388"/>
      <c r="H34" s="1387"/>
      <c r="I34" s="1388"/>
      <c r="J34" s="1387"/>
      <c r="K34" s="1387"/>
      <c r="L34" s="1351"/>
    </row>
    <row r="35" spans="1:13" ht="11.85" customHeight="1">
      <c r="B35" s="1389" t="s">
        <v>1846</v>
      </c>
      <c r="C35" s="1389"/>
      <c r="D35" s="321"/>
      <c r="E35" s="321"/>
      <c r="F35" s="321"/>
      <c r="L35" s="1351"/>
    </row>
    <row r="36" spans="1:13" ht="9.6" customHeight="1">
      <c r="B36" s="1270" t="s">
        <v>1952</v>
      </c>
      <c r="C36" s="1270"/>
      <c r="L36" s="1351"/>
    </row>
    <row r="37" spans="1:13" ht="9.6" customHeight="1">
      <c r="B37" s="1270" t="s">
        <v>1953</v>
      </c>
      <c r="C37" s="1270"/>
    </row>
    <row r="38" spans="1:13" ht="11.85" customHeight="1">
      <c r="B38" s="1390" t="s">
        <v>1847</v>
      </c>
      <c r="C38" s="1390"/>
    </row>
    <row r="39" spans="1:13" ht="9.6" customHeight="1">
      <c r="B39" s="1270" t="s">
        <v>1348</v>
      </c>
      <c r="C39" s="1270"/>
      <c r="M39" s="1391"/>
    </row>
    <row r="40" spans="1:13" ht="12.6" customHeight="1">
      <c r="B40" s="1390" t="s">
        <v>1848</v>
      </c>
      <c r="C40" s="1390"/>
      <c r="M40" s="1391"/>
    </row>
    <row r="41" spans="1:13" ht="9.6" customHeight="1">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view="pageBreakPreview" zoomScaleNormal="110" zoomScaleSheetLayoutView="100" workbookViewId="0">
      <selection activeCell="D7" sqref="D7:D8"/>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52" customFormat="1" ht="12.75" customHeight="1">
      <c r="B1" s="2486" t="str">
        <f>'Single Audit Cover'!A7</f>
        <v>Rich Township High School District 227</v>
      </c>
      <c r="C1" s="2486"/>
      <c r="D1" s="2486"/>
      <c r="E1" s="1461"/>
    </row>
    <row r="2" spans="2:5" s="1252" customFormat="1" ht="12.75" customHeight="1">
      <c r="B2" s="2488" t="str">
        <f>'Single Audit Cover'!E7</f>
        <v>07-016-2270-17</v>
      </c>
      <c r="C2" s="2488"/>
      <c r="D2" s="2488"/>
      <c r="E2" s="1462"/>
    </row>
    <row r="3" spans="2:5" ht="12.75" customHeight="1">
      <c r="B3" s="2509" t="s">
        <v>1867</v>
      </c>
      <c r="C3" s="2509"/>
      <c r="D3" s="2509"/>
      <c r="E3" s="1244"/>
    </row>
    <row r="4" spans="2:5" s="1252" customFormat="1" ht="12.75" customHeight="1">
      <c r="B4" s="2520" t="str">
        <f>'Single Audit Cover'!A4</f>
        <v>Year Ending June 30, 2018</v>
      </c>
      <c r="C4" s="2520"/>
      <c r="D4" s="2520"/>
      <c r="E4" s="1463"/>
    </row>
    <row r="5" spans="2:5" s="1252" customFormat="1" ht="40.15" customHeight="1">
      <c r="B5" s="1464" t="s">
        <v>1868</v>
      </c>
      <c r="C5" s="327"/>
      <c r="D5" s="327"/>
      <c r="E5" s="327"/>
    </row>
    <row r="6" spans="2:5" s="1252" customFormat="1" ht="13.5" customHeight="1">
      <c r="B6" s="1465" t="s">
        <v>1382</v>
      </c>
      <c r="C6" s="1465" t="s">
        <v>1381</v>
      </c>
      <c r="D6" s="1465" t="s">
        <v>1869</v>
      </c>
    </row>
    <row r="7" spans="2:5" ht="13.5" customHeight="1">
      <c r="B7" s="1466" t="s">
        <v>2215</v>
      </c>
      <c r="C7" s="2521" t="s">
        <v>2216</v>
      </c>
      <c r="D7" s="2521" t="s">
        <v>2225</v>
      </c>
      <c r="E7" s="323"/>
    </row>
    <row r="8" spans="2:5" ht="13.5" customHeight="1">
      <c r="B8" s="1466"/>
      <c r="C8" s="2521"/>
      <c r="D8" s="2521"/>
      <c r="E8" s="323"/>
    </row>
    <row r="9" spans="2:5" ht="13.5" customHeight="1">
      <c r="B9" s="1467"/>
      <c r="C9" s="2521"/>
      <c r="D9" s="322"/>
      <c r="E9" s="322"/>
    </row>
    <row r="10" spans="2:5" ht="13.5" customHeight="1">
      <c r="B10" s="1466" t="s">
        <v>2217</v>
      </c>
      <c r="C10" s="2519" t="s">
        <v>2218</v>
      </c>
      <c r="D10" s="2519" t="s">
        <v>2219</v>
      </c>
      <c r="E10" s="322"/>
    </row>
    <row r="11" spans="2:5" ht="13.5" customHeight="1">
      <c r="B11" s="1466"/>
      <c r="C11" s="2519"/>
      <c r="D11" s="2519"/>
      <c r="E11" s="322"/>
    </row>
    <row r="12" spans="2:5" ht="13.5" customHeight="1">
      <c r="B12" s="1466"/>
      <c r="C12" s="2519"/>
      <c r="D12" s="322"/>
      <c r="E12" s="322"/>
    </row>
    <row r="13" spans="2:5" ht="13.5" customHeight="1">
      <c r="B13" s="1466"/>
      <c r="C13" s="2519"/>
      <c r="D13" s="322"/>
      <c r="E13" s="322"/>
    </row>
    <row r="14" spans="2:5" ht="13.5" customHeight="1">
      <c r="B14" s="1466"/>
      <c r="C14" s="2519"/>
      <c r="D14" s="322"/>
      <c r="E14" s="322"/>
    </row>
    <row r="15" spans="2:5" ht="13.5" customHeight="1">
      <c r="B15" s="1466"/>
      <c r="C15" s="2519"/>
      <c r="D15" s="322"/>
      <c r="E15" s="322"/>
    </row>
    <row r="16" spans="2:5" ht="23.25" customHeight="1">
      <c r="B16" s="1466"/>
      <c r="C16" s="2519"/>
      <c r="D16" s="322"/>
      <c r="E16" s="322"/>
    </row>
    <row r="17" spans="2:5" ht="13.5" customHeight="1">
      <c r="B17" s="1466"/>
      <c r="C17" s="1973"/>
      <c r="D17" s="322"/>
      <c r="E17" s="322"/>
    </row>
    <row r="18" spans="2:5" ht="13.5" customHeight="1">
      <c r="B18" s="1466"/>
      <c r="C18" s="1973"/>
      <c r="D18" s="322"/>
      <c r="E18" s="322"/>
    </row>
    <row r="19" spans="2:5" ht="13.5" customHeight="1">
      <c r="B19" s="1466"/>
      <c r="C19" s="1973"/>
      <c r="D19" s="322"/>
      <c r="E19" s="322"/>
    </row>
    <row r="20" spans="2:5" ht="13.5" customHeight="1">
      <c r="B20" s="1466"/>
      <c r="C20" s="322"/>
      <c r="D20" s="322"/>
      <c r="E20" s="322"/>
    </row>
    <row r="21" spans="2:5" ht="13.5" customHeight="1">
      <c r="B21" s="1466"/>
      <c r="C21" s="322"/>
      <c r="D21" s="322"/>
      <c r="E21" s="322"/>
    </row>
    <row r="22" spans="2:5" ht="13.5" customHeight="1">
      <c r="B22" s="1466"/>
      <c r="C22" s="322"/>
      <c r="D22" s="322"/>
      <c r="E22" s="322"/>
    </row>
    <row r="23" spans="2:5" ht="13.5" customHeight="1">
      <c r="B23" s="1466"/>
      <c r="C23" s="322"/>
      <c r="D23" s="322"/>
      <c r="E23" s="322"/>
    </row>
    <row r="24" spans="2:5" ht="13.5" customHeight="1">
      <c r="B24" s="1466"/>
      <c r="C24" s="322"/>
      <c r="D24" s="322"/>
      <c r="E24" s="322"/>
    </row>
    <row r="25" spans="2:5" ht="13.5" customHeight="1">
      <c r="B25" s="1466"/>
      <c r="C25" s="322"/>
      <c r="D25" s="322"/>
      <c r="E25" s="322"/>
    </row>
    <row r="26" spans="2:5" ht="13.5" customHeight="1">
      <c r="B26" s="1466"/>
      <c r="C26" s="322"/>
      <c r="D26" s="322"/>
      <c r="E26" s="322"/>
    </row>
    <row r="27" spans="2:5" ht="13.5" customHeight="1">
      <c r="B27" s="1466"/>
      <c r="C27" s="322"/>
      <c r="D27" s="322"/>
      <c r="E27" s="322"/>
    </row>
    <row r="28" spans="2:5" ht="13.5" customHeight="1">
      <c r="B28" s="1466"/>
      <c r="C28" s="322"/>
      <c r="D28" s="322"/>
      <c r="E28" s="322"/>
    </row>
    <row r="29" spans="2:5" ht="13.5" customHeight="1">
      <c r="B29" s="1466"/>
      <c r="C29" s="322"/>
      <c r="D29" s="322"/>
      <c r="E29" s="322"/>
    </row>
    <row r="30" spans="2:5" ht="13.5" customHeight="1">
      <c r="B30" s="1466"/>
      <c r="C30" s="322"/>
      <c r="D30" s="322"/>
      <c r="E30" s="322"/>
    </row>
    <row r="31" spans="2:5" ht="13.5" customHeight="1">
      <c r="B31" s="1466"/>
      <c r="C31" s="322"/>
      <c r="D31" s="322"/>
      <c r="E31" s="322"/>
    </row>
    <row r="32" spans="2:5" ht="13.5" customHeight="1">
      <c r="B32" s="1468"/>
      <c r="C32" s="322"/>
      <c r="D32" s="322"/>
      <c r="E32" s="322"/>
    </row>
    <row r="33" spans="2:5" ht="13.5" customHeight="1">
      <c r="B33" s="1469"/>
      <c r="C33" s="322"/>
      <c r="D33" s="322"/>
      <c r="E33" s="322"/>
    </row>
    <row r="34" spans="2:5" ht="13.5" customHeight="1">
      <c r="B34" s="1470"/>
      <c r="C34" s="322"/>
      <c r="D34" s="322"/>
      <c r="E34" s="322"/>
    </row>
    <row r="35" spans="2:5" ht="13.5" customHeight="1">
      <c r="B35" s="1469"/>
      <c r="C35" s="322"/>
      <c r="D35" s="322"/>
      <c r="E35" s="322"/>
    </row>
    <row r="36" spans="2:5" ht="13.5" customHeight="1">
      <c r="B36" s="1470"/>
      <c r="C36" s="322"/>
      <c r="D36" s="322"/>
      <c r="E36" s="322"/>
    </row>
    <row r="37" spans="2:5" ht="13.5" customHeight="1">
      <c r="B37" s="1470"/>
      <c r="C37" s="322"/>
      <c r="D37" s="322"/>
      <c r="E37" s="322"/>
    </row>
    <row r="38" spans="2:5" ht="13.5" customHeight="1">
      <c r="B38" s="1469"/>
      <c r="C38" s="322"/>
      <c r="D38" s="322"/>
      <c r="E38" s="322"/>
    </row>
    <row r="39" spans="2:5" ht="13.5" customHeight="1">
      <c r="B39" s="1470"/>
      <c r="C39" s="322"/>
      <c r="D39" s="322"/>
      <c r="E39" s="322"/>
    </row>
    <row r="40" spans="2:5" ht="13.5" customHeight="1">
      <c r="B40" s="1469"/>
      <c r="C40" s="322"/>
      <c r="D40" s="322"/>
      <c r="E40" s="322"/>
    </row>
    <row r="41" spans="2:5" ht="13.5" customHeight="1">
      <c r="B41" s="1471"/>
      <c r="C41" s="322"/>
      <c r="D41" s="322"/>
      <c r="E41" s="322"/>
    </row>
    <row r="42" spans="2:5" ht="13.5" customHeight="1">
      <c r="B42" s="1472"/>
      <c r="C42" s="322"/>
      <c r="D42" s="322"/>
      <c r="E42" s="322"/>
    </row>
    <row r="43" spans="2:5" ht="12.75" customHeight="1">
      <c r="B43" s="1473"/>
      <c r="C43" s="1474"/>
      <c r="D43" s="1474"/>
      <c r="E43" s="322"/>
    </row>
    <row r="44" spans="2:5" ht="12.2" customHeight="1">
      <c r="B44" s="1227" t="s">
        <v>1380</v>
      </c>
      <c r="C44" s="321"/>
    </row>
    <row r="45" spans="2:5" ht="12.2" customHeight="1">
      <c r="B45" s="1475" t="s">
        <v>1870</v>
      </c>
    </row>
    <row r="46" spans="2:5" ht="12.2" customHeight="1">
      <c r="B46" s="1475" t="s">
        <v>1871</v>
      </c>
    </row>
    <row r="47" spans="2:5" ht="12.2" customHeight="1">
      <c r="B47" s="1476" t="s">
        <v>1379</v>
      </c>
    </row>
    <row r="48" spans="2:5" ht="12.2" customHeight="1">
      <c r="B48" s="1476" t="s">
        <v>1378</v>
      </c>
    </row>
    <row r="49" spans="2:5" ht="12.2" customHeight="1">
      <c r="B49" s="1476" t="s">
        <v>1377</v>
      </c>
    </row>
    <row r="50" spans="2:5" ht="12.2" customHeight="1">
      <c r="B50" s="1476" t="s">
        <v>1376</v>
      </c>
    </row>
    <row r="53" spans="2:5" ht="12.75" customHeight="1"/>
    <row r="54" spans="2:5" ht="12.75" customHeight="1">
      <c r="B54" s="1237"/>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89"/>
    </row>
    <row r="68" spans="2:2">
      <c r="B68" s="1270"/>
    </row>
    <row r="69" spans="2:2">
      <c r="B69" s="1270"/>
    </row>
    <row r="70" spans="2:2">
      <c r="B70" s="1390"/>
    </row>
    <row r="71" spans="2:2">
      <c r="B71" s="1390"/>
    </row>
    <row r="72" spans="2:2">
      <c r="B72" s="1390"/>
    </row>
    <row r="73" spans="2:2">
      <c r="B73" s="1270"/>
    </row>
  </sheetData>
  <mergeCells count="8">
    <mergeCell ref="C10:C16"/>
    <mergeCell ref="D10:D11"/>
    <mergeCell ref="B1:D1"/>
    <mergeCell ref="B2:D2"/>
    <mergeCell ref="B3:D3"/>
    <mergeCell ref="B4:D4"/>
    <mergeCell ref="C7:C9"/>
    <mergeCell ref="D7:D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election activeCell="H37" sqref="H37"/>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117" t="s">
        <v>404</v>
      </c>
      <c r="B1" s="2117"/>
      <c r="C1" s="2117"/>
      <c r="D1" s="2117"/>
      <c r="E1" s="2117"/>
      <c r="F1" s="2117"/>
      <c r="G1" s="2117"/>
      <c r="H1" s="2117"/>
      <c r="I1" s="2117"/>
      <c r="J1" s="2117"/>
      <c r="K1" s="2117"/>
      <c r="L1" s="2117"/>
      <c r="M1" s="2117"/>
      <c r="N1" s="345"/>
    </row>
    <row r="2" spans="1:14" ht="10.9" customHeight="1">
      <c r="A2" s="345"/>
      <c r="B2" s="345"/>
      <c r="C2" s="345"/>
      <c r="D2" s="345"/>
      <c r="E2" s="345"/>
      <c r="F2" s="345"/>
      <c r="G2" s="345"/>
      <c r="H2" s="345"/>
      <c r="I2" s="345"/>
      <c r="J2" s="345"/>
      <c r="K2" s="345"/>
      <c r="L2" s="345"/>
      <c r="M2" s="345"/>
      <c r="N2" s="345"/>
    </row>
    <row r="3" spans="1:14">
      <c r="A3" s="347" t="s">
        <v>901</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478</v>
      </c>
      <c r="B5" s="348" t="s">
        <v>1746</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1747</v>
      </c>
      <c r="E7" s="221"/>
      <c r="F7" s="350" t="s">
        <v>290</v>
      </c>
      <c r="G7" s="221"/>
      <c r="H7" s="221"/>
      <c r="I7" s="221"/>
      <c r="J7" s="351">
        <v>991402957</v>
      </c>
      <c r="K7" s="221"/>
      <c r="L7" s="221"/>
      <c r="M7" s="221"/>
    </row>
    <row r="8" spans="1:14" ht="10.9" customHeight="1">
      <c r="C8" s="221"/>
      <c r="D8" s="221"/>
      <c r="E8" s="221"/>
      <c r="F8" s="221"/>
      <c r="G8" s="221"/>
      <c r="H8" s="221"/>
      <c r="I8" s="221"/>
      <c r="J8" s="221"/>
      <c r="K8" s="221"/>
      <c r="L8" s="221"/>
      <c r="M8" s="221"/>
    </row>
    <row r="9" spans="1:14" ht="22.5">
      <c r="B9" s="221"/>
      <c r="C9" s="221"/>
      <c r="D9" s="352" t="s">
        <v>1217</v>
      </c>
      <c r="E9" s="348"/>
      <c r="F9" s="353" t="s">
        <v>925</v>
      </c>
      <c r="G9" s="348"/>
      <c r="H9" s="352" t="s">
        <v>157</v>
      </c>
      <c r="I9" s="348"/>
      <c r="J9" s="353" t="s">
        <v>1059</v>
      </c>
      <c r="K9" s="348"/>
      <c r="L9" s="352" t="s">
        <v>427</v>
      </c>
      <c r="M9" s="221"/>
    </row>
    <row r="10" spans="1:14" ht="13.35" customHeight="1">
      <c r="A10" s="343" t="s">
        <v>986</v>
      </c>
      <c r="C10" s="221"/>
      <c r="D10" s="354">
        <v>4.1228000000000001E-2</v>
      </c>
      <c r="E10" s="355" t="s">
        <v>1062</v>
      </c>
      <c r="F10" s="354">
        <v>5.1250000000000002E-3</v>
      </c>
      <c r="G10" s="355" t="s">
        <v>1062</v>
      </c>
      <c r="H10" s="354">
        <v>8.5999999999999998E-4</v>
      </c>
      <c r="I10" s="355" t="s">
        <v>1063</v>
      </c>
      <c r="J10" s="1724">
        <f>ROUND(D10+F10+H10,5)</f>
        <v>4.7210000000000002E-2</v>
      </c>
      <c r="K10" s="221"/>
      <c r="L10" s="354">
        <v>4.66E-4</v>
      </c>
      <c r="M10" s="221"/>
    </row>
    <row r="11" spans="1:14" ht="7.5" customHeight="1">
      <c r="B11" s="221"/>
      <c r="C11" s="221"/>
      <c r="D11" s="2127" t="str">
        <f>IF(SUM(J10)&lt;=0.0999999,"","Enter the Tax Rates by moving the decimal two places to the left.")</f>
        <v/>
      </c>
      <c r="E11" s="2128"/>
      <c r="F11" s="2128"/>
      <c r="G11" s="2128"/>
      <c r="H11" s="2128"/>
      <c r="I11" s="2128"/>
      <c r="J11" s="2128"/>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99</v>
      </c>
      <c r="B13" s="348" t="s">
        <v>1748</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548</v>
      </c>
      <c r="E15" s="221"/>
      <c r="F15" s="353" t="s">
        <v>1060</v>
      </c>
      <c r="G15" s="221"/>
      <c r="H15" s="353" t="s">
        <v>1061</v>
      </c>
      <c r="I15" s="221"/>
      <c r="J15" s="352" t="s">
        <v>410</v>
      </c>
      <c r="K15" s="221"/>
      <c r="L15" s="221"/>
      <c r="M15" s="221"/>
    </row>
    <row r="16" spans="1:14" ht="13.35" customHeight="1">
      <c r="A16" s="348"/>
      <c r="B16" s="221"/>
      <c r="C16" s="221"/>
      <c r="D16" s="1725">
        <f>SUM('Acct Summary 7-8'!C8,'Acct Summary 7-8'!D8,'Acct Summary 7-8'!F8,'Acct Summary 7-8'!I8)</f>
        <v>60160160</v>
      </c>
      <c r="E16" s="355"/>
      <c r="F16" s="1725">
        <f>SUM('Acct Summary 7-8'!C17,'Acct Summary 7-8'!D17,'Acct Summary 7-8'!F17)</f>
        <v>57135984</v>
      </c>
      <c r="G16" s="355"/>
      <c r="H16" s="1725">
        <f>SUM(D16-F16)</f>
        <v>3024176</v>
      </c>
      <c r="I16" s="221"/>
      <c r="J16" s="1725">
        <f>SUM('Acct Summary 7-8'!C81,'Acct Summary 7-8'!D81,'Acct Summary 7-8'!F81,'Acct Summary 7-8'!I81)</f>
        <v>34416349</v>
      </c>
      <c r="K16" s="221"/>
      <c r="L16" s="221"/>
      <c r="M16" s="221"/>
    </row>
    <row r="17" spans="1:13" ht="12.2" customHeight="1">
      <c r="A17" s="348"/>
      <c r="B17" s="259" t="s">
        <v>8</v>
      </c>
      <c r="C17" s="236" t="s">
        <v>1463</v>
      </c>
      <c r="D17" s="221"/>
      <c r="E17" s="221"/>
      <c r="F17" s="221"/>
      <c r="G17" s="221"/>
      <c r="H17" s="221"/>
      <c r="I17" s="221"/>
      <c r="J17" s="221"/>
      <c r="K17" s="221"/>
      <c r="L17" s="221"/>
      <c r="M17" s="221"/>
    </row>
    <row r="18" spans="1:13" ht="12.2" customHeight="1">
      <c r="A18" s="348"/>
      <c r="B18" s="221"/>
      <c r="C18" s="236" t="s">
        <v>527</v>
      </c>
      <c r="D18" s="221"/>
      <c r="E18" s="221"/>
      <c r="F18" s="221"/>
      <c r="G18" s="221"/>
      <c r="H18" s="221"/>
      <c r="I18" s="221"/>
      <c r="J18" s="221"/>
      <c r="K18" s="221"/>
      <c r="L18" s="221"/>
      <c r="M18" s="221"/>
    </row>
    <row r="19" spans="1:13" s="328" customFormat="1" ht="10.5" customHeight="1"/>
    <row r="20" spans="1:13" ht="12.75" customHeight="1">
      <c r="A20" s="348" t="s">
        <v>866</v>
      </c>
      <c r="B20" s="348" t="s">
        <v>1749</v>
      </c>
      <c r="C20" s="221"/>
      <c r="D20" s="221"/>
      <c r="E20" s="221"/>
      <c r="F20" s="221"/>
      <c r="G20" s="221"/>
      <c r="H20" s="221"/>
      <c r="I20" s="221"/>
      <c r="J20" s="221"/>
      <c r="K20" s="221"/>
      <c r="L20" s="221"/>
      <c r="M20" s="221"/>
    </row>
    <row r="21" spans="1:13">
      <c r="A21" s="348"/>
      <c r="B21" s="221"/>
      <c r="C21" s="221"/>
      <c r="D21" s="359" t="s">
        <v>412</v>
      </c>
      <c r="E21" s="360"/>
      <c r="F21" s="359" t="s">
        <v>411</v>
      </c>
      <c r="G21" s="360"/>
      <c r="H21" s="359" t="s">
        <v>413</v>
      </c>
      <c r="I21" s="360"/>
      <c r="J21" s="359" t="s">
        <v>43</v>
      </c>
      <c r="K21" s="360"/>
      <c r="L21" s="361" t="s">
        <v>566</v>
      </c>
      <c r="M21" s="221"/>
    </row>
    <row r="22" spans="1:13" ht="13.35" customHeight="1">
      <c r="A22" s="348"/>
      <c r="B22" s="221"/>
      <c r="C22" s="221"/>
      <c r="D22" s="1725">
        <f>'Short-Term Long-Term Debt 24'!F4</f>
        <v>0</v>
      </c>
      <c r="E22" s="355" t="s">
        <v>1062</v>
      </c>
      <c r="F22" s="1725">
        <f>'Short-Term Long-Term Debt 24'!F15</f>
        <v>0</v>
      </c>
      <c r="G22" s="355" t="s">
        <v>1062</v>
      </c>
      <c r="H22" s="1725">
        <f>'Short-Term Long-Term Debt 24'!F21</f>
        <v>0</v>
      </c>
      <c r="I22" s="355" t="s">
        <v>1062</v>
      </c>
      <c r="J22" s="1725">
        <f>'Short-Term Long-Term Debt 24'!F23</f>
        <v>0</v>
      </c>
      <c r="K22" s="355" t="s">
        <v>1062</v>
      </c>
      <c r="L22" s="1725">
        <f>'Short-Term Long-Term Debt 24'!F25</f>
        <v>0</v>
      </c>
      <c r="M22" s="355" t="s">
        <v>1062</v>
      </c>
    </row>
    <row r="23" spans="1:13" ht="15" customHeight="1">
      <c r="A23" s="348"/>
      <c r="B23" s="221"/>
      <c r="C23" s="221"/>
      <c r="D23" s="359" t="s">
        <v>1123</v>
      </c>
      <c r="E23" s="360"/>
      <c r="F23" s="359" t="s">
        <v>158</v>
      </c>
      <c r="G23" s="221"/>
      <c r="H23" s="221"/>
      <c r="I23" s="221"/>
      <c r="J23" s="221"/>
      <c r="K23" s="221"/>
      <c r="L23" s="221"/>
      <c r="M23" s="221"/>
    </row>
    <row r="24" spans="1:13" ht="13.35" customHeight="1">
      <c r="A24" s="348"/>
      <c r="B24" s="221"/>
      <c r="C24" s="355"/>
      <c r="D24" s="1725">
        <f>'Short-Term Long-Term Debt 24'!F27</f>
        <v>0</v>
      </c>
      <c r="E24" s="355" t="s">
        <v>1063</v>
      </c>
      <c r="F24" s="1726">
        <f>SUM(D22,F22,H22,J22,L22, D24)</f>
        <v>0</v>
      </c>
      <c r="G24" s="221"/>
      <c r="H24" s="221"/>
      <c r="I24" s="221"/>
      <c r="J24" s="221"/>
      <c r="K24" s="221"/>
      <c r="L24" s="221"/>
      <c r="M24" s="221"/>
    </row>
    <row r="25" spans="1:13" ht="11.25" customHeight="1">
      <c r="A25" s="348"/>
      <c r="B25" s="180" t="s">
        <v>9</v>
      </c>
      <c r="C25" s="236" t="s">
        <v>883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100</v>
      </c>
      <c r="B28" s="348" t="s">
        <v>143</v>
      </c>
      <c r="C28" s="221"/>
      <c r="D28" s="221"/>
      <c r="E28" s="221"/>
      <c r="F28" s="221"/>
      <c r="G28" s="221"/>
      <c r="H28" s="221"/>
      <c r="I28" s="221"/>
      <c r="J28" s="221"/>
      <c r="K28" s="221"/>
      <c r="L28" s="221"/>
      <c r="M28" s="221"/>
    </row>
    <row r="29" spans="1:13" ht="12.2" customHeight="1">
      <c r="A29" s="348"/>
      <c r="B29" s="236" t="s">
        <v>403</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t="s">
        <v>2081</v>
      </c>
      <c r="C31" s="366" t="s">
        <v>607</v>
      </c>
      <c r="D31" s="236" t="s">
        <v>1132</v>
      </c>
      <c r="E31" s="221"/>
      <c r="F31" s="221"/>
      <c r="G31" s="362"/>
      <c r="H31" s="1727">
        <f>IF(B31="X",(J7*0.069),IF(B32="X",(J7*0.138),"Enter x in a.or b."))</f>
        <v>68406804.033000007</v>
      </c>
      <c r="I31" s="367"/>
      <c r="J31" s="221"/>
      <c r="K31" s="221"/>
      <c r="L31" s="221"/>
      <c r="M31" s="221"/>
    </row>
    <row r="32" spans="1:13" ht="13.35" customHeight="1">
      <c r="B32" s="368"/>
      <c r="C32" s="369" t="s">
        <v>608</v>
      </c>
      <c r="D32" s="236" t="s">
        <v>443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407</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609</v>
      </c>
      <c r="D36" s="246" t="s">
        <v>0</v>
      </c>
      <c r="E36" s="221"/>
      <c r="F36" s="221"/>
      <c r="G36" s="374" t="s">
        <v>408</v>
      </c>
      <c r="H36" s="375"/>
      <c r="I36" s="221"/>
      <c r="J36" s="221"/>
      <c r="K36" s="221"/>
      <c r="L36" s="221"/>
      <c r="M36" s="221"/>
    </row>
    <row r="37" spans="1:13" ht="13.5" customHeight="1">
      <c r="B37" s="221"/>
      <c r="C37" s="373"/>
      <c r="D37" s="246" t="s">
        <v>1197</v>
      </c>
      <c r="E37" s="221"/>
      <c r="F37" s="221"/>
      <c r="G37" s="376">
        <v>511</v>
      </c>
      <c r="H37" s="1726">
        <f>'Assets-Liab 5-6'!N36</f>
        <v>28623233</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567</v>
      </c>
      <c r="B40" s="348" t="s">
        <v>204</v>
      </c>
      <c r="C40" s="348"/>
      <c r="D40" s="348"/>
      <c r="E40" s="348"/>
      <c r="F40" s="348"/>
      <c r="G40" s="221"/>
      <c r="H40" s="221"/>
      <c r="I40" s="221"/>
      <c r="J40" s="221"/>
      <c r="K40" s="221"/>
      <c r="L40" s="221"/>
      <c r="M40" s="221"/>
    </row>
    <row r="41" spans="1:13" ht="12.2" customHeight="1">
      <c r="B41" s="236" t="s">
        <v>1216</v>
      </c>
      <c r="C41" s="221"/>
      <c r="D41" s="221"/>
      <c r="E41" s="221"/>
      <c r="F41" s="221"/>
      <c r="G41" s="221"/>
      <c r="H41" s="221"/>
      <c r="I41" s="221"/>
      <c r="J41" s="221"/>
      <c r="K41" s="221"/>
      <c r="L41" s="221"/>
      <c r="M41" s="221"/>
    </row>
    <row r="42" spans="1:13">
      <c r="B42" s="236" t="s">
        <v>422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320</v>
      </c>
      <c r="E44" s="221"/>
      <c r="F44" s="221"/>
      <c r="G44" s="221"/>
      <c r="H44" s="221"/>
      <c r="I44" s="221"/>
      <c r="J44" s="221"/>
      <c r="K44" s="221"/>
      <c r="L44" s="221"/>
      <c r="M44" s="221"/>
    </row>
    <row r="45" spans="1:13" ht="13.5" customHeight="1">
      <c r="B45" s="377"/>
      <c r="C45" s="224" t="s">
        <v>399</v>
      </c>
      <c r="E45" s="221"/>
      <c r="F45" s="221"/>
      <c r="G45" s="221"/>
      <c r="H45" s="221"/>
      <c r="I45" s="221"/>
      <c r="J45" s="221"/>
      <c r="K45" s="221"/>
      <c r="L45" s="221"/>
      <c r="M45" s="221"/>
    </row>
    <row r="46" spans="1:13" ht="13.5" customHeight="1">
      <c r="B46" s="377"/>
      <c r="C46" s="224" t="s">
        <v>918</v>
      </c>
      <c r="E46" s="221"/>
      <c r="F46" s="221"/>
      <c r="G46" s="221"/>
      <c r="H46" s="221"/>
      <c r="I46" s="221"/>
      <c r="J46" s="221"/>
      <c r="K46" s="221"/>
      <c r="L46" s="221"/>
      <c r="M46" s="221"/>
    </row>
    <row r="47" spans="1:13" ht="13.5" customHeight="1">
      <c r="B47" s="377"/>
      <c r="C47" s="224" t="s">
        <v>57</v>
      </c>
      <c r="E47" s="221"/>
      <c r="F47" s="221"/>
      <c r="G47" s="221"/>
      <c r="H47" s="221"/>
      <c r="I47" s="221"/>
      <c r="J47" s="221"/>
      <c r="K47" s="221"/>
      <c r="L47" s="221"/>
      <c r="M47" s="221"/>
    </row>
    <row r="48" spans="1:13" ht="13.5" customHeight="1">
      <c r="B48" s="377"/>
      <c r="C48" s="224" t="s">
        <v>58</v>
      </c>
      <c r="E48" s="221"/>
      <c r="F48" s="221"/>
      <c r="G48" s="221"/>
      <c r="H48" s="221"/>
      <c r="I48" s="221"/>
      <c r="J48" s="221"/>
      <c r="K48" s="221"/>
      <c r="L48" s="221"/>
      <c r="M48" s="221"/>
    </row>
    <row r="49" spans="1:13" ht="13.5" customHeight="1">
      <c r="B49" s="377"/>
      <c r="C49" s="224" t="s">
        <v>357</v>
      </c>
      <c r="E49" s="221"/>
      <c r="F49" s="221"/>
      <c r="G49" s="221"/>
      <c r="H49" s="221"/>
      <c r="I49" s="221"/>
      <c r="J49" s="221"/>
      <c r="K49" s="221"/>
      <c r="L49" s="221"/>
      <c r="M49" s="221"/>
    </row>
    <row r="50" spans="1:13" ht="13.5" customHeight="1">
      <c r="B50" s="377"/>
      <c r="C50" s="224" t="s">
        <v>358</v>
      </c>
      <c r="E50" s="221"/>
      <c r="F50" s="221"/>
      <c r="G50" s="221"/>
      <c r="H50" s="221"/>
      <c r="I50" s="221"/>
      <c r="J50" s="221"/>
      <c r="K50" s="221"/>
      <c r="L50" s="221"/>
      <c r="M50" s="221"/>
    </row>
    <row r="51" spans="1:13" ht="13.5" customHeight="1">
      <c r="B51" s="377"/>
      <c r="C51" s="224" t="s">
        <v>565</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405</v>
      </c>
      <c r="C53" s="221"/>
      <c r="D53" s="221"/>
      <c r="E53" s="221"/>
      <c r="F53" s="221"/>
      <c r="G53" s="221"/>
      <c r="H53" s="221"/>
      <c r="I53" s="221"/>
      <c r="J53" s="221"/>
      <c r="K53" s="221"/>
      <c r="L53" s="221"/>
      <c r="M53" s="221"/>
    </row>
    <row r="54" spans="1:13" ht="12.75">
      <c r="B54" s="2118"/>
      <c r="C54" s="2119"/>
      <c r="D54" s="2119"/>
      <c r="E54" s="2119"/>
      <c r="F54" s="2119"/>
      <c r="G54" s="2119"/>
      <c r="H54" s="2119"/>
      <c r="I54" s="2119"/>
      <c r="J54" s="2119"/>
      <c r="K54" s="2119"/>
      <c r="L54" s="2120"/>
      <c r="M54" s="379"/>
    </row>
    <row r="55" spans="1:13" ht="12.75" customHeight="1">
      <c r="B55" s="2121"/>
      <c r="C55" s="2122"/>
      <c r="D55" s="2122"/>
      <c r="E55" s="2122"/>
      <c r="F55" s="2122"/>
      <c r="G55" s="2122"/>
      <c r="H55" s="2122"/>
      <c r="I55" s="2122"/>
      <c r="J55" s="2122"/>
      <c r="K55" s="2122"/>
      <c r="L55" s="2123"/>
      <c r="M55" s="379"/>
    </row>
    <row r="56" spans="1:13" ht="12.75" customHeight="1">
      <c r="B56" s="2121"/>
      <c r="C56" s="2122"/>
      <c r="D56" s="2122"/>
      <c r="E56" s="2122"/>
      <c r="F56" s="2122"/>
      <c r="G56" s="2122"/>
      <c r="H56" s="2122"/>
      <c r="I56" s="2122"/>
      <c r="J56" s="2122"/>
      <c r="K56" s="2122"/>
      <c r="L56" s="2123"/>
      <c r="M56" s="221"/>
    </row>
    <row r="57" spans="1:13" ht="12.75" customHeight="1">
      <c r="B57" s="2121"/>
      <c r="C57" s="2122"/>
      <c r="D57" s="2122"/>
      <c r="E57" s="2122"/>
      <c r="F57" s="2122"/>
      <c r="G57" s="2122"/>
      <c r="H57" s="2122"/>
      <c r="I57" s="2122"/>
      <c r="J57" s="2122"/>
      <c r="K57" s="2122"/>
      <c r="L57" s="2123"/>
      <c r="M57" s="221"/>
    </row>
    <row r="58" spans="1:13">
      <c r="B58" s="2124"/>
      <c r="C58" s="2125"/>
      <c r="D58" s="2125"/>
      <c r="E58" s="2125"/>
      <c r="F58" s="2125"/>
      <c r="G58" s="2125"/>
      <c r="H58" s="2125"/>
      <c r="I58" s="2125"/>
      <c r="J58" s="2125"/>
      <c r="K58" s="2125"/>
      <c r="L58" s="2126"/>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29"/>
      <c r="D61" s="2130"/>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election activeCell="AC27" sqref="AC27"/>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132"/>
      <c r="B1" s="2133"/>
      <c r="C1" s="2133"/>
      <c r="D1" s="383"/>
      <c r="E1" s="383"/>
      <c r="F1" s="383"/>
      <c r="G1" s="383"/>
      <c r="H1" s="383"/>
      <c r="I1" s="383"/>
      <c r="J1" s="383"/>
      <c r="K1" s="383"/>
      <c r="L1" s="383"/>
      <c r="M1" s="383"/>
      <c r="N1" s="383"/>
      <c r="O1" s="2132"/>
      <c r="P1" s="2133"/>
      <c r="Q1" s="2133"/>
    </row>
    <row r="2" spans="1:18" ht="15">
      <c r="A2" s="2136" t="s">
        <v>577</v>
      </c>
      <c r="B2" s="2136"/>
      <c r="C2" s="2136"/>
      <c r="D2" s="2136"/>
      <c r="E2" s="2136"/>
      <c r="F2" s="2136"/>
      <c r="G2" s="2136"/>
      <c r="H2" s="2136"/>
      <c r="I2" s="2136"/>
      <c r="J2" s="2136"/>
      <c r="K2" s="2136"/>
      <c r="L2" s="2136"/>
      <c r="M2" s="2136"/>
      <c r="N2" s="2136"/>
      <c r="O2" s="2136"/>
      <c r="P2" s="2136"/>
      <c r="Q2" s="2136"/>
      <c r="R2" s="2136"/>
    </row>
    <row r="3" spans="1:18" ht="12.75">
      <c r="A3" s="2137" t="s">
        <v>1480</v>
      </c>
      <c r="B3" s="2137"/>
      <c r="C3" s="2137"/>
      <c r="D3" s="2137"/>
      <c r="E3" s="2137"/>
      <c r="F3" s="2137"/>
      <c r="G3" s="2137"/>
      <c r="H3" s="2137"/>
      <c r="I3" s="2137"/>
      <c r="J3" s="2137"/>
      <c r="K3" s="2137"/>
      <c r="L3" s="2137"/>
      <c r="M3" s="2137"/>
      <c r="N3" s="2137"/>
      <c r="O3" s="2137"/>
      <c r="P3" s="2137"/>
      <c r="Q3" s="2137"/>
      <c r="R3" s="2137"/>
    </row>
    <row r="4" spans="1:18">
      <c r="A4" s="2138" t="s">
        <v>1635</v>
      </c>
      <c r="B4" s="2138"/>
      <c r="C4" s="2138"/>
      <c r="D4" s="2138"/>
      <c r="E4" s="2138"/>
      <c r="F4" s="2138"/>
      <c r="G4" s="2138"/>
      <c r="H4" s="2138"/>
      <c r="I4" s="2138"/>
      <c r="J4" s="2138"/>
      <c r="K4" s="2138"/>
      <c r="L4" s="2138"/>
      <c r="M4" s="2138"/>
      <c r="N4" s="2138"/>
      <c r="O4" s="2138"/>
      <c r="P4" s="2138"/>
      <c r="Q4" s="2138"/>
      <c r="R4" s="2138"/>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1188</v>
      </c>
      <c r="D7" s="389" t="str">
        <f>COVER!A17</f>
        <v>Rich Township High School District 227</v>
      </c>
      <c r="E7" s="390"/>
      <c r="G7" s="251"/>
      <c r="H7" s="386"/>
      <c r="I7" s="386"/>
      <c r="J7" s="386"/>
      <c r="K7" s="386"/>
      <c r="L7" s="328"/>
      <c r="M7" s="328"/>
      <c r="N7" s="328"/>
      <c r="O7" s="328"/>
      <c r="P7" s="328"/>
    </row>
    <row r="8" spans="1:18" ht="12.75">
      <c r="A8" s="328"/>
      <c r="B8" s="328"/>
      <c r="C8" s="388" t="s">
        <v>1187</v>
      </c>
      <c r="D8" s="391" t="str">
        <f>COVER!A13</f>
        <v>07-016-2270-17</v>
      </c>
      <c r="E8" s="392"/>
      <c r="G8" s="328"/>
      <c r="H8" s="328"/>
      <c r="I8" s="328"/>
      <c r="J8" s="328"/>
      <c r="K8" s="328"/>
      <c r="L8" s="328"/>
      <c r="M8" s="328"/>
      <c r="N8" s="328"/>
      <c r="O8" s="328"/>
      <c r="P8" s="328"/>
    </row>
    <row r="9" spans="1:18" ht="12.75">
      <c r="A9" s="328"/>
      <c r="B9" s="328"/>
      <c r="C9" s="388" t="s">
        <v>737</v>
      </c>
      <c r="D9" s="393" t="str">
        <f>COVER!A15</f>
        <v xml:space="preserve">Cook </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34416349</v>
      </c>
      <c r="I12" s="403"/>
      <c r="J12" s="403"/>
      <c r="K12" s="404">
        <f>TRUNC((H12/H13*100000),5)/100000</f>
        <v>0.5720787477</v>
      </c>
      <c r="L12" s="405"/>
      <c r="M12" s="359" t="s">
        <v>1206</v>
      </c>
      <c r="N12" s="359"/>
      <c r="O12" s="406">
        <v>0.35</v>
      </c>
      <c r="P12" s="217"/>
      <c r="Q12" s="217"/>
    </row>
    <row r="13" spans="1:18" s="407" customFormat="1" ht="12.75">
      <c r="A13" s="217"/>
      <c r="B13" s="400"/>
      <c r="C13" s="2134" t="s">
        <v>1391</v>
      </c>
      <c r="D13" s="2135"/>
      <c r="E13" s="217"/>
      <c r="F13" s="408" t="s">
        <v>826</v>
      </c>
      <c r="G13" s="401"/>
      <c r="H13" s="402">
        <f>SUM('Acct Summary 7-8'!C8+'Acct Summary 7-8'!D8+'Acct Summary 7-8'!F8+'Acct Summary 7-8'!I8)+H14</f>
        <v>60160160</v>
      </c>
      <c r="I13" s="403"/>
      <c r="J13" s="403"/>
      <c r="K13" s="409"/>
      <c r="L13" s="217"/>
      <c r="M13" s="359" t="s">
        <v>1207</v>
      </c>
      <c r="N13" s="359"/>
      <c r="O13" s="410">
        <f>(O11*O12)</f>
        <v>1.4</v>
      </c>
      <c r="P13" s="217"/>
      <c r="Q13" s="217"/>
      <c r="R13" s="411"/>
    </row>
    <row r="14" spans="1:18" s="407" customFormat="1" ht="12.75">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1478</v>
      </c>
      <c r="D15" s="215"/>
      <c r="E15" s="215"/>
      <c r="F15" s="217"/>
      <c r="G15" s="413"/>
      <c r="H15" s="394"/>
      <c r="I15" s="215"/>
      <c r="J15" s="215"/>
      <c r="K15" s="394"/>
      <c r="L15" s="215"/>
      <c r="M15" s="414"/>
      <c r="N15" s="414"/>
      <c r="O15" s="215"/>
      <c r="P15" s="215"/>
      <c r="Q15" s="215"/>
      <c r="R15" s="383"/>
    </row>
    <row r="16" spans="1:18" ht="12.75">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c r="A17" s="217"/>
      <c r="B17" s="400"/>
      <c r="C17" s="217" t="s">
        <v>830</v>
      </c>
      <c r="D17" s="217"/>
      <c r="E17" s="217"/>
      <c r="F17" s="217" t="s">
        <v>464</v>
      </c>
      <c r="G17" s="401"/>
      <c r="H17" s="402">
        <f>SUM('Acct Summary 7-8'!C17+'Acct Summary 7-8'!D17+'Acct Summary 7-8'!F17)</f>
        <v>57135984</v>
      </c>
      <c r="I17" s="403"/>
      <c r="J17" s="415"/>
      <c r="K17" s="404">
        <f>TRUNC((H17/H18*100000),5)/100000</f>
        <v>0.94973125069999997</v>
      </c>
      <c r="L17" s="405"/>
      <c r="M17" s="416" t="s">
        <v>1233</v>
      </c>
      <c r="O17" s="417" t="str">
        <f>IF(AND(O16="2", J20 &gt; 2),"1",IF(AND(O16 = "1", J20 &gt; 2),"2",IF(AND(O16="1", J20 &gt;1),"1","0")))</f>
        <v>0</v>
      </c>
      <c r="P17" s="217"/>
    </row>
    <row r="18" spans="1:18" s="407" customFormat="1" ht="11.25">
      <c r="A18" s="217"/>
      <c r="B18" s="400"/>
      <c r="C18" s="2134" t="s">
        <v>1384</v>
      </c>
      <c r="D18" s="2135"/>
      <c r="E18" s="217"/>
      <c r="F18" s="418" t="s">
        <v>827</v>
      </c>
      <c r="G18" s="401"/>
      <c r="H18" s="402">
        <f>SUM('Acct Summary 7-8'!C8+'Acct Summary 7-8'!D8+'Acct Summary 7-8'!F8+'Acct Summary 7-8'!I8)+H19</f>
        <v>60160160</v>
      </c>
      <c r="I18" s="403"/>
      <c r="J18" s="403"/>
      <c r="K18" s="409"/>
      <c r="L18" s="217"/>
      <c r="M18" s="359" t="s">
        <v>1206</v>
      </c>
      <c r="N18" s="359"/>
      <c r="O18" s="409">
        <v>0.35</v>
      </c>
      <c r="P18" s="217"/>
    </row>
    <row r="19" spans="1:18" s="407" customFormat="1" ht="11.25">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c r="A21" s="215"/>
      <c r="B21" s="395"/>
      <c r="C21" s="217" t="s">
        <v>496</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c r="A24" s="217"/>
      <c r="B24" s="400"/>
      <c r="C24" s="2131" t="s">
        <v>1479</v>
      </c>
      <c r="D24" s="2131"/>
      <c r="E24" s="217"/>
      <c r="F24" s="217" t="s">
        <v>465</v>
      </c>
      <c r="G24" s="401"/>
      <c r="H24" s="402">
        <f>SUM('Assets-Liab 5-6'!C4+'Assets-Liab 5-6'!D4+'Assets-Liab 5-6'!F4+'Assets-Liab 5-6'!I4+'Assets-Liab 5-6'!C5+'Assets-Liab 5-6'!D5+'Assets-Liab 5-6'!F5+'Assets-Liab 5-6'!I5)</f>
        <v>34416349</v>
      </c>
      <c r="I24" s="421"/>
      <c r="J24" s="421"/>
      <c r="K24" s="422">
        <f>TRUNC(((H24/H25*100000)/100000),2)</f>
        <v>216.84</v>
      </c>
      <c r="L24" s="423"/>
      <c r="M24" s="359" t="s">
        <v>1206</v>
      </c>
      <c r="N24" s="359"/>
      <c r="O24" s="410">
        <v>0.1</v>
      </c>
      <c r="P24" s="217"/>
    </row>
    <row r="25" spans="1:18" s="407" customFormat="1" ht="12.75">
      <c r="A25" s="217"/>
      <c r="B25" s="400"/>
      <c r="C25" s="217" t="s">
        <v>831</v>
      </c>
      <c r="D25" s="217"/>
      <c r="E25" s="217"/>
      <c r="F25" s="217" t="s">
        <v>466</v>
      </c>
      <c r="G25" s="401"/>
      <c r="H25" s="422">
        <f>ROUND((H17/360),5)</f>
        <v>158711.06667</v>
      </c>
      <c r="I25" s="424"/>
      <c r="J25" s="424"/>
      <c r="K25" s="409"/>
      <c r="L25" s="217"/>
      <c r="M25" s="359" t="s">
        <v>1207</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c r="A28" s="217"/>
      <c r="B28" s="400"/>
      <c r="C28" s="217" t="s">
        <v>2070</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c r="A29" s="217"/>
      <c r="B29" s="400"/>
      <c r="C29" s="217" t="s">
        <v>829</v>
      </c>
      <c r="D29" s="217"/>
      <c r="E29" s="217"/>
      <c r="F29" s="217" t="s">
        <v>833</v>
      </c>
      <c r="G29" s="401"/>
      <c r="H29" s="430">
        <f>ROUND((0.85*'FP Info 3'!J7*'FP Info 3'!J10),5)</f>
        <v>39783513.559969999</v>
      </c>
      <c r="I29" s="427"/>
      <c r="J29" s="427"/>
      <c r="K29" s="409"/>
      <c r="L29" s="217"/>
      <c r="M29" s="359" t="s">
        <v>1207</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c r="A32" s="217"/>
      <c r="B32" s="400"/>
      <c r="C32" s="217" t="s">
        <v>902</v>
      </c>
      <c r="D32" s="217"/>
      <c r="E32" s="217"/>
      <c r="F32" s="217"/>
      <c r="G32" s="401"/>
      <c r="H32" s="402">
        <f>'FP Info 3'!H37</f>
        <v>28623233</v>
      </c>
      <c r="I32" s="419"/>
      <c r="J32" s="419"/>
      <c r="K32" s="422">
        <f>TRUNC(100-((((H32/H33*100))*100)/100),2)</f>
        <v>58.15</v>
      </c>
      <c r="L32" s="405"/>
      <c r="M32" s="359" t="s">
        <v>1206</v>
      </c>
      <c r="N32" s="359"/>
      <c r="O32" s="433">
        <v>0.1</v>
      </c>
    </row>
    <row r="33" spans="1:17" s="407" customFormat="1" ht="11.25">
      <c r="A33" s="217"/>
      <c r="B33" s="400"/>
      <c r="C33" s="217" t="s">
        <v>832</v>
      </c>
      <c r="D33" s="217"/>
      <c r="E33" s="217"/>
      <c r="F33" s="217"/>
      <c r="G33" s="401"/>
      <c r="H33" s="402">
        <f>IF('FP Info 3'!H31="Enter X in a or b"," ",'FP Info 3'!H31)</f>
        <v>68406804.033000007</v>
      </c>
      <c r="I33" s="419"/>
      <c r="J33" s="419"/>
      <c r="K33" s="402"/>
      <c r="L33" s="217"/>
      <c r="M33" s="434" t="s">
        <v>1207</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313</v>
      </c>
      <c r="N35" s="413"/>
      <c r="O35" s="438">
        <f>(O13+O20+O25+O29+O33)</f>
        <v>3.8999999999999995</v>
      </c>
      <c r="P35" s="439" t="s">
        <v>205</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205</v>
      </c>
      <c r="H39" s="443" t="s">
        <v>1110</v>
      </c>
      <c r="I39" s="407"/>
      <c r="J39" s="407"/>
      <c r="K39" s="409"/>
      <c r="L39" s="407"/>
      <c r="M39" s="407"/>
      <c r="N39" s="407"/>
      <c r="O39" s="217"/>
      <c r="P39" s="215"/>
      <c r="Q39" s="215"/>
    </row>
    <row r="40" spans="1:17">
      <c r="A40" s="215"/>
      <c r="B40" s="395"/>
      <c r="C40" s="215"/>
      <c r="D40" s="215"/>
      <c r="E40" s="215"/>
      <c r="F40" s="215"/>
      <c r="G40" s="444"/>
      <c r="H40" s="445" t="s">
        <v>1586</v>
      </c>
      <c r="I40" s="407"/>
      <c r="J40" s="407"/>
      <c r="K40" s="409"/>
      <c r="L40" s="407"/>
      <c r="M40" s="407"/>
      <c r="N40" s="407"/>
      <c r="O40" s="217"/>
      <c r="P40" s="215"/>
      <c r="Q40" s="215"/>
    </row>
    <row r="41" spans="1:17">
      <c r="G41" s="447"/>
      <c r="H41" s="217" t="s">
        <v>1587</v>
      </c>
      <c r="M41" s="215"/>
      <c r="O41" s="215"/>
      <c r="P41" s="215"/>
      <c r="Q41" s="215"/>
    </row>
    <row r="42" spans="1:17">
      <c r="A42" s="384" t="s">
        <v>1588</v>
      </c>
      <c r="G42" s="447"/>
      <c r="H42" s="217"/>
      <c r="M42" s="215"/>
      <c r="O42" s="215"/>
      <c r="P42" s="215"/>
      <c r="Q42" s="215"/>
    </row>
    <row r="43" spans="1:17">
      <c r="G43" s="447"/>
      <c r="H43" s="449"/>
      <c r="L43" s="215"/>
      <c r="M43" s="407"/>
    </row>
    <row r="44" spans="1:17" ht="15.75">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topLeftCell="C1" colorId="8" zoomScaleNormal="100" zoomScaleSheetLayoutView="100" workbookViewId="0">
      <pane ySplit="2" topLeftCell="A12" activePane="bottomLeft" state="frozen"/>
      <selection activeCell="M97" activeCellId="1" sqref="A1 M97"/>
      <selection pane="bottomLeft" activeCell="C4" sqref="C4:K4"/>
    </sheetView>
  </sheetViews>
  <sheetFormatPr defaultColWidth="9.140625" defaultRowHeight="12.75"/>
  <cols>
    <col min="1" max="1" width="47.28515625" style="494" customWidth="1"/>
    <col min="2" max="2" width="4.5703125" style="495" customWidth="1"/>
    <col min="3" max="14" width="13.7109375" style="456" customWidth="1"/>
    <col min="15" max="16384" width="9.140625" style="456"/>
  </cols>
  <sheetData>
    <row r="1" spans="1:14">
      <c r="A1" s="2139"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c r="A2" s="2140"/>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c r="A3" s="2141" t="s">
        <v>1030</v>
      </c>
      <c r="B3" s="2142"/>
      <c r="C3" s="1551"/>
      <c r="D3" s="1552"/>
      <c r="E3" s="1552"/>
      <c r="F3" s="1552"/>
      <c r="G3" s="1552"/>
      <c r="H3" s="1552"/>
      <c r="I3" s="1552"/>
      <c r="J3" s="1552"/>
      <c r="K3" s="1552"/>
      <c r="L3" s="1552"/>
      <c r="M3" s="1553"/>
      <c r="N3" s="1554"/>
    </row>
    <row r="4" spans="1:14" ht="13.5" customHeight="1">
      <c r="A4" s="462" t="s">
        <v>1750</v>
      </c>
      <c r="B4" s="463"/>
      <c r="C4" s="1935">
        <f>_xll.cw_map("BR","10-ED-&gt;1-100")</f>
        <v>21249725</v>
      </c>
      <c r="D4" s="1927">
        <f>+_xll.cw_map("BR","20-OM-&gt;1-100")</f>
        <v>3684278</v>
      </c>
      <c r="E4" s="1927">
        <f>+_xll.cw_map("BR","30-DS-&gt;1-101")-475</f>
        <v>3554796</v>
      </c>
      <c r="F4" s="1935">
        <f>+_xll.cw_map("BR","40-TRANS-&gt;1-101")-936699</f>
        <v>4201800</v>
      </c>
      <c r="G4" s="1935">
        <f>+_xll.cw_map("BR","50-IMRF-&gt;1-100")</f>
        <v>347060</v>
      </c>
      <c r="H4" s="1927">
        <f>+_xll.cw_map("BR","60-CP-&gt;1-101")</f>
        <v>2393735</v>
      </c>
      <c r="I4" s="1927">
        <f>+_xll.cw_map("BR","70-WC-&gt;1-101")</f>
        <v>5280546</v>
      </c>
      <c r="J4" s="1926">
        <f>+_xll.cw_map("BR","80-TORT-&gt;1-100")+1513047</f>
        <v>2286096</v>
      </c>
      <c r="K4" s="1937">
        <f>+_xll.cw_map("BR","90-FP-&gt;1-101")</f>
        <v>3211827</v>
      </c>
      <c r="L4" s="464">
        <v>352547</v>
      </c>
      <c r="M4" s="466"/>
      <c r="N4" s="467"/>
    </row>
    <row r="5" spans="1:14">
      <c r="A5" s="462" t="s">
        <v>1049</v>
      </c>
      <c r="B5" s="468">
        <v>120</v>
      </c>
      <c r="C5" s="1935">
        <f>_xll.cw_map("BR","10-ED-&gt;1-101")</f>
        <v>0</v>
      </c>
      <c r="D5" s="1927">
        <f>+_xll.cw_map("BR","20-OM-&gt;1-101")</f>
        <v>0</v>
      </c>
      <c r="E5" s="1927"/>
      <c r="F5" s="1935"/>
      <c r="G5" s="1935">
        <f>+_xll.cw_map("BR","50-IMRF-&gt;1-101")</f>
        <v>0</v>
      </c>
      <c r="H5" s="1927"/>
      <c r="I5" s="1927"/>
      <c r="J5" s="1926"/>
      <c r="K5" s="1937"/>
      <c r="L5" s="470">
        <v>0</v>
      </c>
      <c r="M5" s="466"/>
      <c r="N5" s="467"/>
    </row>
    <row r="6" spans="1:14" ht="13.5" customHeight="1">
      <c r="A6" s="471" t="s">
        <v>437</v>
      </c>
      <c r="B6" s="468">
        <v>130</v>
      </c>
      <c r="C6" s="1935">
        <f>+_xll.cw_map("BR","10-ED-&gt;1-121")+_xll.cw_map("BR","10-ED-&gt;1-122")</f>
        <v>0</v>
      </c>
      <c r="D6" s="1927">
        <f>+_xll.cw_map("BR","20-OM-&gt;1-121")+_xll.cw_map("BR","20-OM-&gt;1-122")</f>
        <v>0</v>
      </c>
      <c r="E6" s="1927">
        <f>+_xll.cw_map("BR","30-DS-&gt;1-121")+_xll.cw_map("BR","30-DS-&gt;1-122")</f>
        <v>0</v>
      </c>
      <c r="F6" s="1935">
        <f>+_xll.cw_map("BR","40-TRANS-&gt;1-121")+_xll.cw_map("BR","40-TRANS-&gt;1-122")</f>
        <v>0</v>
      </c>
      <c r="G6" s="1935">
        <f>+_xll.cw_map("BR","50-IMRF-&gt;1-121")+_xll.cw_map("BR","50-IMRF-&gt;1-122")</f>
        <v>0</v>
      </c>
      <c r="H6" s="1937">
        <f>+_xll.cw_map("BR","60-CP-&gt;1-121")+_xll.cw_map("BR","60-CP-&gt;1-122")</f>
        <v>0</v>
      </c>
      <c r="I6" s="1927">
        <f>+_xll.cw_map("BR","70-WC-&gt;1-121")+_xll.cw_map("BR","70-WC-&gt;1-122")</f>
        <v>0</v>
      </c>
      <c r="J6" s="1930">
        <f>+_xll.cw_map("BR","80-TORT-&gt;1-121")+_xll.cw_map("BR","80-TORT-&gt;1-122")</f>
        <v>0</v>
      </c>
      <c r="K6" s="1937">
        <f>+_xll.cw_map("BR","90-FP-&gt;1-121")+_xll.cw_map("BR","90-FP-&gt;1-122")</f>
        <v>0</v>
      </c>
      <c r="L6" s="472"/>
      <c r="M6" s="466"/>
      <c r="N6" s="467"/>
    </row>
    <row r="7" spans="1:14" ht="13.5" customHeight="1">
      <c r="A7" s="471" t="s">
        <v>438</v>
      </c>
      <c r="B7" s="468">
        <v>140</v>
      </c>
      <c r="C7" s="1936">
        <f>_xll.cw_map("BR","10-ED-&gt;1-130")+_xll.cw_map("BR","10-ED-&gt;1-131")+_xll.cw_map("BR","10-ED-&gt;1-132")+_xll.cw_map("BR","10-ED-&gt;1-133")+_xll.cw_map("BR","10-ED-&gt;1-134")</f>
        <v>0</v>
      </c>
      <c r="D7" s="1926">
        <f>+_xll.cw_map("BR","20-OM-&gt;1-130")+_xll.cw_map("BR","20-OM-&gt;1-131")+_xll.cw_map("BR","20-OM-&gt;1-132")+_xll.cw_map("BR","20-OM-&gt;1-133")+_xll.cw_map("BR","20-OM-&gt;1-134")</f>
        <v>0</v>
      </c>
      <c r="E7" s="1926">
        <f>+_xll.cw_map("BR","30-DS-&gt;1-130")+_xll.cw_map("BR","30-DS-&gt;1-131")+_xll.cw_map("BR","30-DS-&gt;1-132")+_xll.cw_map("BR","30-DS-&gt;1-133")+_xll.cw_map("BR","30-DS-&gt;1-134")</f>
        <v>0</v>
      </c>
      <c r="F7" s="1936">
        <f>+_xll.cw_map("BR","40-TRANS-&gt;1-130")+_xll.cw_map("BR","40-TRANS-&gt;1-131")+_xll.cw_map("BR","40-TRANS-&gt;1-132")+_xll.cw_map("BR","40-TRANS-&gt;1-133")+_xll.cw_map("BR","40-TRANS-&gt;1-134")</f>
        <v>0</v>
      </c>
      <c r="G7" s="1936">
        <f>+_xll.cw_map("BR","50-IMRF-&gt;1-130")+_xll.cw_map("BR","50-IMRF-&gt;1-131")+_xll.cw_map("BR","50-IMRF-&gt;1-132")+_xll.cw_map("BR","50-IMRF-&gt;1-133")+_xll.cw_map("BR","50-IMRF-&gt;1-134")</f>
        <v>0</v>
      </c>
      <c r="H7" s="1926">
        <f>+_xll.cw_map("BR","60-CP-&gt;1-130")++_xll.cw_map("BR","60-CP-&gt;1-131")+_xll.cw_map("BR","60-CP-&gt;1-132")+_xll.cw_map("BR","60-CP-&gt;1-133")+_xll.cw_map("BR","60-CP-&gt;1-134")</f>
        <v>0</v>
      </c>
      <c r="I7" s="1926">
        <f>+_xll.cw_map("BR","70-WC-&gt;1-130")+_xll.cw_map("BR","70-WC-&gt;1-131")+_xll.cw_map("BR","70-WC-&gt;1-132")+_xll.cw_map("BR","70-WC-&gt;1-133")+_xll.cw_map("BR","70-WC-&gt;1-134")</f>
        <v>0</v>
      </c>
      <c r="J7" s="1926">
        <f>+_xll.cw_map("BR","80-TORT-&gt;1-130")+_xll.cw_map("BR","80-TORT-&gt;1-131")+_xll.cw_map("BR","80-TORT-&gt;1-132")+_xll.cw_map("BR","80-TORT-&gt;1-133")+_xll.cw_map("BR","80-TORT-&gt;1-134")</f>
        <v>0</v>
      </c>
      <c r="K7" s="1926">
        <f>+_xll.cw_map("BR","90-FP-&gt;1-130")+_xll.cw_map("BR","90-FP-&gt;1-131")+_xll.cw_map("BR","90-FP-&gt;1-132")+_xll.cw_map("BR","90-FP-&gt;1-133")+_xll.cw_map("BR","90-FP-&gt;1-134")</f>
        <v>0</v>
      </c>
      <c r="L7" s="473"/>
      <c r="M7" s="466"/>
      <c r="N7" s="467"/>
    </row>
    <row r="8" spans="1:14" ht="13.5" customHeight="1">
      <c r="A8" s="471" t="s">
        <v>287</v>
      </c>
      <c r="B8" s="468">
        <v>150</v>
      </c>
      <c r="C8" s="1936">
        <f>_xll.cw_map("BR","10-ED-&gt;1-124")</f>
        <v>0</v>
      </c>
      <c r="D8" s="1926">
        <f>+_xll.cw_map("BR","20-OM-&gt;1-124")</f>
        <v>0</v>
      </c>
      <c r="E8" s="1926">
        <f>+_xll.cw_map("BR","30-DS-&gt;1-124")</f>
        <v>0</v>
      </c>
      <c r="F8" s="1936">
        <f>+_xll.cw_map("BR","40-TRANS-&gt;1-124")</f>
        <v>0</v>
      </c>
      <c r="G8" s="1936">
        <f>+_xll.cw_map("BR","50-IMRF-&gt;1-124")</f>
        <v>0</v>
      </c>
      <c r="H8" s="1926">
        <f>+_xll.cw_map("BR","60-CP-&gt;1-124")</f>
        <v>0</v>
      </c>
      <c r="I8" s="1930">
        <f>+_xll.cw_map("BR","70-WC-&gt;1-124")</f>
        <v>0</v>
      </c>
      <c r="J8" s="1930">
        <f>+_xll.cw_map("BR","80-TORT-&gt;1-124")</f>
        <v>0</v>
      </c>
      <c r="K8" s="1929">
        <f>+_xll.cw_map("BR","90-FP-&gt;1-124")</f>
        <v>0</v>
      </c>
      <c r="L8" s="476"/>
      <c r="M8" s="466"/>
      <c r="N8" s="467"/>
    </row>
    <row r="9" spans="1:14" ht="13.5" customHeight="1">
      <c r="A9" s="471" t="s">
        <v>288</v>
      </c>
      <c r="B9" s="468">
        <v>160</v>
      </c>
      <c r="C9" s="1936">
        <f>_xll.cw_map("BR","10-ED-&gt;1-120")+_xll.cw_map("BR","10-ED-&gt;1-123")+_xll.cw_map("BR","10-ED-&gt;1-125")+_xll.cw_map("BR","10-ED-&gt;1-126")</f>
        <v>0</v>
      </c>
      <c r="D9" s="1926">
        <f>_xll.cw_map("BR","20-OM-&gt;1-120")+_xll.cw_map("BR","20-OM-&gt;1-123")+_xll.cw_map("BR","20-OM-&gt;1-125")+_xll.cw_map("BR","20-OM-&gt;1-126")</f>
        <v>0</v>
      </c>
      <c r="E9" s="1926">
        <f>_xll.cw_map("BR","30-DS-&gt;1-120")+_xll.cw_map("BR","30-DS-&gt;1-123")+_xll.cw_map("BR","30-DS-&gt;1-125")+_xll.cw_map("BR","30-DS-&gt;1-126")</f>
        <v>0</v>
      </c>
      <c r="F9" s="1936">
        <f>_xll.cw_map("BR","40-TRANS-&gt;1-120")+_xll.cw_map("BR","40-TRANS-&gt;1-123")+_xll.cw_map("BR","40-TRANS-&gt;1-125")+_xll.cw_map("BR","40-TRANS-&gt;1-126")</f>
        <v>0</v>
      </c>
      <c r="G9" s="1936">
        <f>_xll.cw_map("BR","50-IMRF-&gt;1-120")+_xll.cw_map("BR","50-IMRF-&gt;1-123")+_xll.cw_map("BR","50-IMRF-&gt;1-125")+_xll.cw_map("BR","50-IMRF-&gt;1-126")</f>
        <v>0</v>
      </c>
      <c r="H9" s="1932">
        <f>_xll.cw_map("BR","60-CP-&gt;1-120")+_xll.cw_map("BR","60-CP-&gt;1-123")+_xll.cw_map("BR","60-CP-&gt;1-125")+_xll.cw_map("BR","60-CP-&gt;1-126")</f>
        <v>0</v>
      </c>
      <c r="I9" s="1926">
        <f>_xll.cw_map("BR","70-WC-&gt;1-120")+_xll.cw_map("BR","70-WC-&gt;1-123")+_xll.cw_map("BR","70-WC-&gt;1-125")+_xll.cw_map("BR","70-WC-&gt;1-126")</f>
        <v>0</v>
      </c>
      <c r="J9" s="1926">
        <f>_xll.cw_map("BR","80-TORT-&gt;1-120")+_xll.cw_map("BR","80-TORT-&gt;1-123")+_xll.cw_map("BR","80-TORT-&gt;1-125")+_xll.cw_map("BR","80-TORT-&gt;1-126")</f>
        <v>0</v>
      </c>
      <c r="K9" s="1926">
        <f>_xll.cw_map("BR","90-FP-&gt;1-120")+_xll.cw_map("BR","90-FP-&gt;1-123")+_xll.cw_map("BR","90-FP-&gt;1-125")+_xll.cw_map("BR","90-FP-&gt;1-126")</f>
        <v>0</v>
      </c>
      <c r="L9" s="465">
        <v>0</v>
      </c>
      <c r="M9" s="466"/>
      <c r="N9" s="467"/>
    </row>
    <row r="10" spans="1:14" ht="13.5" customHeight="1">
      <c r="A10" s="471" t="s">
        <v>1048</v>
      </c>
      <c r="B10" s="468">
        <v>170</v>
      </c>
      <c r="C10" s="1935">
        <f>_xll.cw_map("BR","10-ED-&gt;1-140")</f>
        <v>0</v>
      </c>
      <c r="D10" s="1927">
        <f>+_xll.cw_map("BR","20-OM-&gt;1-140")</f>
        <v>0</v>
      </c>
      <c r="E10" s="1926">
        <f>+_xll.cw_map("BR","30-DS-&gt;1-140")</f>
        <v>0</v>
      </c>
      <c r="F10" s="1935">
        <f>+_xll.cw_map("BR","40-TRANS-&gt;1-140")</f>
        <v>0</v>
      </c>
      <c r="G10" s="1935">
        <f>+_xll.cw_map("BR","50-IMRF-&gt;1-140")</f>
        <v>0</v>
      </c>
      <c r="H10" s="1928">
        <f>+_xll.cw_map("BR","60-CP-&gt;1-140")</f>
        <v>0</v>
      </c>
      <c r="I10" s="1926">
        <f>+_xll.cw_map("BR","70-WC-&gt;1-140")</f>
        <v>0</v>
      </c>
      <c r="J10" s="1926">
        <f>+_xll.cw_map("BR","80-TORT-&gt;1-140")</f>
        <v>0</v>
      </c>
      <c r="K10" s="1928">
        <f>+_xll.cw_map("BR","90-FP-&gt;1-140")</f>
        <v>0</v>
      </c>
      <c r="L10" s="477">
        <v>0</v>
      </c>
      <c r="M10" s="467"/>
      <c r="N10" s="467"/>
    </row>
    <row r="11" spans="1:14" ht="13.5" customHeight="1">
      <c r="A11" s="471" t="s">
        <v>289</v>
      </c>
      <c r="B11" s="468">
        <v>180</v>
      </c>
      <c r="C11" s="1936">
        <f>_xll.cw_map("BR","10-ED-&gt;1-141")</f>
        <v>0</v>
      </c>
      <c r="D11" s="1926">
        <f>+_xll.cw_map("BR","20-OM-&gt;1-141")</f>
        <v>0</v>
      </c>
      <c r="E11" s="1926">
        <f>+_xll.cw_map("BR","30-DS-&gt;1-141")</f>
        <v>0</v>
      </c>
      <c r="F11" s="1936">
        <f>+_xll.cw_map("BR","40-TRANS-&gt;1-141")</f>
        <v>0</v>
      </c>
      <c r="G11" s="1936">
        <f>+_xll.cw_map("BR","50-IMRF-&gt;1-141")</f>
        <v>0</v>
      </c>
      <c r="H11" s="1926">
        <f>+_xll.cw_map("BR","60-CP-&gt;1-141")</f>
        <v>0</v>
      </c>
      <c r="I11" s="1932">
        <f>+_xll.cw_map("BR","70-WC-&gt;1-141")</f>
        <v>0</v>
      </c>
      <c r="J11" s="1932">
        <f>+_xll.cw_map("BR","80-TORT-&gt;1-141")</f>
        <v>0</v>
      </c>
      <c r="K11" s="1926">
        <f>+_xll.cw_map("BR","90-FP-&gt;1-141")</f>
        <v>0</v>
      </c>
      <c r="L11" s="465">
        <v>0</v>
      </c>
      <c r="M11" s="467"/>
      <c r="N11" s="467"/>
    </row>
    <row r="12" spans="1:14" ht="13.5" customHeight="1">
      <c r="A12" s="471" t="s">
        <v>439</v>
      </c>
      <c r="B12" s="468">
        <v>190</v>
      </c>
      <c r="C12" s="1935">
        <f>+_xll.cw_map("BR","10-ED-&gt;1-142")+_xll.cw_map("BR","10-ED-&gt;1-143")</f>
        <v>0</v>
      </c>
      <c r="D12" s="1927">
        <f>+_xll.cw_map("BR","20-OM-&gt;1-142")+_xll.cw_map("BR","20-OM-&gt;1-143")</f>
        <v>0</v>
      </c>
      <c r="E12" s="1927">
        <f>+_xll.cw_map("BR","30-DS-&gt;1-142")+_xll.cw_map("BR","30-DS-&gt;1-143")</f>
        <v>0</v>
      </c>
      <c r="F12" s="1935">
        <f>+_xll.cw_map("BR","40-TRANS-&gt;1-142")+_xll.cw_map("BR","40-TRANS-&gt;1-143")</f>
        <v>0</v>
      </c>
      <c r="G12" s="1935">
        <f>+_xll.cw_map("BR","50-IMRF-&gt;1-142")+_xll.cw_map("BR","50-IMRF-&gt;1-143")</f>
        <v>0</v>
      </c>
      <c r="H12" s="1927">
        <f>+_xll.cw_map("BR","60-CP-&gt;1-142")+_xll.cw_map("BR","60-CP-&gt;1-143")</f>
        <v>0</v>
      </c>
      <c r="I12" s="1927">
        <f>+_xll.cw_map("BR","70-WC-&gt;1-142")+_xll.cw_map("BR","70-WC-&gt;1-143")</f>
        <v>0</v>
      </c>
      <c r="J12" s="1926">
        <f>+_xll.cw_map("BR","80-TORT-&gt;1-142")+_xll.cw_map("BR","80-TORT-&gt;1-143")</f>
        <v>0</v>
      </c>
      <c r="K12" s="1927">
        <f>+_xll.cw_map("BR","90-FP-&gt;1-142")+_xll.cw_map("BR","90-FP-&gt;1-143")</f>
        <v>0</v>
      </c>
      <c r="L12" s="464">
        <v>0</v>
      </c>
      <c r="M12" s="467"/>
      <c r="N12" s="467"/>
    </row>
    <row r="13" spans="1:14" ht="13.5" customHeight="1" thickBot="1">
      <c r="A13" s="1728" t="s">
        <v>665</v>
      </c>
      <c r="B13" s="1701"/>
      <c r="C13" s="1729">
        <f>SUM(C4:C12)</f>
        <v>21249725</v>
      </c>
      <c r="D13" s="1729">
        <f t="shared" ref="D13:L13" si="0">SUM(D4:D12)</f>
        <v>3684278</v>
      </c>
      <c r="E13" s="1729">
        <f t="shared" si="0"/>
        <v>3554796</v>
      </c>
      <c r="F13" s="1729">
        <f t="shared" si="0"/>
        <v>4201800</v>
      </c>
      <c r="G13" s="1729">
        <f t="shared" si="0"/>
        <v>347060</v>
      </c>
      <c r="H13" s="1729">
        <f t="shared" si="0"/>
        <v>2393735</v>
      </c>
      <c r="I13" s="1729">
        <f t="shared" si="0"/>
        <v>5280546</v>
      </c>
      <c r="J13" s="1729">
        <f t="shared" si="0"/>
        <v>2286096</v>
      </c>
      <c r="K13" s="1729">
        <f t="shared" si="0"/>
        <v>3211827</v>
      </c>
      <c r="L13" s="1729">
        <f t="shared" si="0"/>
        <v>352547</v>
      </c>
      <c r="M13" s="466"/>
      <c r="N13" s="467"/>
    </row>
    <row r="14" spans="1:14" ht="18" customHeight="1" thickTop="1">
      <c r="A14" s="2143" t="s">
        <v>149</v>
      </c>
      <c r="B14" s="2144"/>
      <c r="C14" s="1555"/>
      <c r="D14" s="1556"/>
      <c r="E14" s="1556"/>
      <c r="F14" s="1556"/>
      <c r="G14" s="1556"/>
      <c r="H14" s="1556"/>
      <c r="I14" s="1556"/>
      <c r="J14" s="1556"/>
      <c r="K14" s="1556"/>
      <c r="L14" s="1556"/>
      <c r="M14" s="1557"/>
      <c r="N14" s="1558"/>
    </row>
    <row r="15" spans="1:14" s="481" customFormat="1" ht="12.75" customHeight="1">
      <c r="A15" s="478" t="s">
        <v>1468</v>
      </c>
      <c r="B15" s="479">
        <v>210</v>
      </c>
      <c r="C15" s="473"/>
      <c r="D15" s="473"/>
      <c r="E15" s="473"/>
      <c r="F15" s="473"/>
      <c r="G15" s="473"/>
      <c r="H15" s="473"/>
      <c r="I15" s="473"/>
      <c r="J15" s="473"/>
      <c r="K15" s="473"/>
      <c r="L15" s="473"/>
      <c r="M15" s="474">
        <v>0</v>
      </c>
      <c r="N15" s="480"/>
    </row>
    <row r="16" spans="1:14" s="481" customFormat="1" ht="12.75" customHeight="1">
      <c r="A16" s="478" t="s">
        <v>1469</v>
      </c>
      <c r="B16" s="479">
        <v>220</v>
      </c>
      <c r="C16" s="473"/>
      <c r="D16" s="473"/>
      <c r="E16" s="473"/>
      <c r="F16" s="473"/>
      <c r="G16" s="473"/>
      <c r="H16" s="473"/>
      <c r="I16" s="473"/>
      <c r="J16" s="473"/>
      <c r="K16" s="473"/>
      <c r="L16" s="473"/>
      <c r="M16" s="465">
        <f>'Cap Outlay Deprec 26'!F5</f>
        <v>1334210</v>
      </c>
      <c r="N16" s="480"/>
    </row>
    <row r="17" spans="1:14" s="481" customFormat="1" ht="12.75" customHeight="1">
      <c r="A17" s="478" t="s">
        <v>1470</v>
      </c>
      <c r="B17" s="479">
        <v>230</v>
      </c>
      <c r="C17" s="473"/>
      <c r="D17" s="473"/>
      <c r="E17" s="473"/>
      <c r="F17" s="473"/>
      <c r="G17" s="473"/>
      <c r="H17" s="473"/>
      <c r="I17" s="473"/>
      <c r="J17" s="473"/>
      <c r="K17" s="473"/>
      <c r="L17" s="473"/>
      <c r="M17" s="465">
        <f>'Cap Outlay Deprec 26'!F8</f>
        <v>102398031</v>
      </c>
      <c r="N17" s="480"/>
    </row>
    <row r="18" spans="1:14" s="481" customFormat="1" ht="12.75" customHeight="1">
      <c r="A18" s="478" t="s">
        <v>1471</v>
      </c>
      <c r="B18" s="479">
        <v>240</v>
      </c>
      <c r="C18" s="473"/>
      <c r="D18" s="473"/>
      <c r="E18" s="473"/>
      <c r="F18" s="473"/>
      <c r="G18" s="473"/>
      <c r="H18" s="473"/>
      <c r="I18" s="473"/>
      <c r="J18" s="473"/>
      <c r="K18" s="473"/>
      <c r="L18" s="473"/>
      <c r="M18" s="465">
        <f>'Cap Outlay Deprec 26'!F10</f>
        <v>5190388</v>
      </c>
      <c r="N18" s="480"/>
    </row>
    <row r="19" spans="1:14" s="481" customFormat="1" ht="12.75" customHeight="1">
      <c r="A19" s="478" t="s">
        <v>1472</v>
      </c>
      <c r="B19" s="479">
        <v>250</v>
      </c>
      <c r="C19" s="473"/>
      <c r="D19" s="473"/>
      <c r="E19" s="473"/>
      <c r="F19" s="473"/>
      <c r="G19" s="473"/>
      <c r="H19" s="473"/>
      <c r="I19" s="473"/>
      <c r="J19" s="473"/>
      <c r="K19" s="473"/>
      <c r="L19" s="473"/>
      <c r="M19" s="465">
        <f>'Cap Outlay Deprec 26'!F12</f>
        <v>8679126</v>
      </c>
      <c r="N19" s="480"/>
    </row>
    <row r="20" spans="1:14" s="481" customFormat="1" ht="12.75" customHeight="1">
      <c r="A20" s="478" t="s">
        <v>1473</v>
      </c>
      <c r="B20" s="479">
        <v>260</v>
      </c>
      <c r="C20" s="473"/>
      <c r="D20" s="473"/>
      <c r="E20" s="473"/>
      <c r="F20" s="473"/>
      <c r="G20" s="473"/>
      <c r="H20" s="473"/>
      <c r="I20" s="473"/>
      <c r="J20" s="473"/>
      <c r="K20" s="473"/>
      <c r="L20" s="473"/>
      <c r="M20" s="465">
        <v>0</v>
      </c>
      <c r="N20" s="480"/>
    </row>
    <row r="21" spans="1:14" s="481" customFormat="1" ht="12.75" customHeight="1">
      <c r="A21" s="478" t="s">
        <v>1474</v>
      </c>
      <c r="B21" s="479">
        <v>340</v>
      </c>
      <c r="C21" s="473"/>
      <c r="D21" s="473"/>
      <c r="E21" s="473"/>
      <c r="F21" s="473"/>
      <c r="G21" s="473"/>
      <c r="H21" s="473"/>
      <c r="I21" s="473"/>
      <c r="J21" s="473"/>
      <c r="K21" s="473"/>
      <c r="L21" s="473"/>
      <c r="M21" s="482"/>
      <c r="N21" s="465">
        <f>+E38+E39</f>
        <v>3554796</v>
      </c>
    </row>
    <row r="22" spans="1:14" s="481" customFormat="1" ht="12.75" customHeight="1">
      <c r="A22" s="478" t="s">
        <v>1475</v>
      </c>
      <c r="B22" s="479">
        <v>350</v>
      </c>
      <c r="C22" s="473"/>
      <c r="D22" s="473"/>
      <c r="E22" s="473"/>
      <c r="F22" s="473"/>
      <c r="G22" s="473"/>
      <c r="H22" s="473"/>
      <c r="I22" s="473"/>
      <c r="J22" s="473"/>
      <c r="K22" s="473"/>
      <c r="L22" s="473"/>
      <c r="M22" s="482"/>
      <c r="N22" s="483">
        <f>'Short-Term Long-Term Debt 24'!J49</f>
        <v>25068437</v>
      </c>
    </row>
    <row r="23" spans="1:14" ht="13.5" customHeight="1" thickBot="1">
      <c r="A23" s="1728" t="s">
        <v>664</v>
      </c>
      <c r="B23" s="1733"/>
      <c r="C23" s="466"/>
      <c r="D23" s="466"/>
      <c r="E23" s="466"/>
      <c r="F23" s="466"/>
      <c r="G23" s="466"/>
      <c r="H23" s="466"/>
      <c r="I23" s="466"/>
      <c r="J23" s="466"/>
      <c r="K23" s="466"/>
      <c r="L23" s="466"/>
      <c r="M23" s="1680">
        <f>SUM(M15:M22)</f>
        <v>117601755</v>
      </c>
      <c r="N23" s="1680">
        <f>SUM(N21:N22)</f>
        <v>28623233</v>
      </c>
    </row>
    <row r="24" spans="1:14" ht="18" customHeight="1" thickTop="1">
      <c r="A24" s="2145" t="s">
        <v>619</v>
      </c>
      <c r="B24" s="2146"/>
      <c r="C24" s="1560"/>
      <c r="D24" s="1557"/>
      <c r="E24" s="1557"/>
      <c r="F24" s="1557"/>
      <c r="G24" s="1557"/>
      <c r="H24" s="1557"/>
      <c r="I24" s="1557"/>
      <c r="J24" s="1557"/>
      <c r="K24" s="1557"/>
      <c r="L24" s="1557"/>
      <c r="M24" s="1556"/>
      <c r="N24" s="1561"/>
    </row>
    <row r="25" spans="1:14">
      <c r="A25" s="471" t="s">
        <v>666</v>
      </c>
      <c r="B25" s="468">
        <v>410</v>
      </c>
      <c r="C25" s="1932">
        <f>-_xll.cw_map("BR","10-ED-&gt;1-215")-_xll.cw_map("BR","10-ED-&gt;1-216")-_xll.cw_map("BR","10-ED-&gt;1-217")-_xll.cw_map("BR","10-ED-&gt;1-218")-_xll.cw_map("BR","10-ED-&gt;1-219")</f>
        <v>0</v>
      </c>
      <c r="D25" s="1932">
        <f>-_xll.cw_map("BR","20-OM-&gt;1-215")-_xll.cw_map("BR","20-OM-&gt;1-216")-_xll.cw_map("BR","20-OM-&gt;1-217")-_xll.cw_map("BR","20-OM-&gt;1-218")-_xll.cw_map("BR","20-OM-&gt;1-219")</f>
        <v>0</v>
      </c>
      <c r="E25" s="1932">
        <f>-_xll.cw_map("BR","30-DS-&gt;1-216")-_xll.cw_map("BR","30-DS-&gt;1-217")-_xll.cw_map("BR","30-DS-&gt;1-218")-_xll.cw_map("BR","30-DS-&gt;1-219")</f>
        <v>0</v>
      </c>
      <c r="F25" s="1932">
        <f>-_xll.cw_map("BR","40-TRANS-&gt;1-216")-_xll.cw_map("BR","40-TRANS-&gt;1-217")-_xll.cw_map("BR","40-TRANS-&gt;1-218")-_xll.cw_map("BR","40-TRANS-&gt;1-219")</f>
        <v>0</v>
      </c>
      <c r="G25" s="1932">
        <f>-_xll.cw_map("BR","50-IMRF-&gt;1-215")-_xll.cw_map("BR","50-IMRF-&gt;1-216")-_xll.cw_map("BR","50-IMRF-&gt;1-217")-_xll.cw_map("BR","50-IMRF-&gt;1-218")-_xll.cw_map("BR","50-IMRF-&gt;1-219")</f>
        <v>0</v>
      </c>
      <c r="H25" s="1929">
        <f>-_xll.cw_map("BR","60-CP-&gt;1-215")-_xll.cw_map("BR","60-CP-&gt;1-216")-_xll.cw_map("BR","60-CP-&gt;1-217")-_xll.cw_map("BR","60-CP-&gt;1-218")-_xll.cw_map("BR","60-CP-&gt;1-219")</f>
        <v>0</v>
      </c>
      <c r="I25" s="466"/>
      <c r="J25" s="1932">
        <f>-_xll.cw_map("BR","80-TORT-&gt;1-215")-_xll.cw_map("BR","80-TORT-&gt;1-216")-_xll.cw_map("BR","80-TORT-&gt;1-217")-_xll.cw_map("BR","80-TORT-&gt;1-218")-_xll.cw_map("BR","80-TORT-&gt;1-219")</f>
        <v>0</v>
      </c>
      <c r="K25" s="1932">
        <f>-_xll.cw_map("BR","90-FP-&gt;1-215")-_xll.cw_map("BR","90-FP-&gt;1-216")-_xll.cw_map("BR","90-FP-&gt;1-217")-_xll.cw_map("BR","90-FP-&gt;1-218")-_xll.cw_map("BR","90-FP-&gt;1-219")</f>
        <v>0</v>
      </c>
      <c r="L25" s="466"/>
      <c r="M25" s="466"/>
      <c r="N25" s="466"/>
    </row>
    <row r="26" spans="1:14">
      <c r="A26" s="471" t="s">
        <v>667</v>
      </c>
      <c r="B26" s="468">
        <v>420</v>
      </c>
      <c r="C26" s="1926">
        <f>-_xll.cw_map("BR","10-ED-&gt;1-208")</f>
        <v>0</v>
      </c>
      <c r="D26" s="1926">
        <f>-_xll.cw_map("BR","20-OM-&gt;1-208")</f>
        <v>0</v>
      </c>
      <c r="E26" s="1926">
        <f>-_xll.cw_map("BR","30-DS-&gt;1-208")</f>
        <v>0</v>
      </c>
      <c r="F26" s="1926">
        <f>-_xll.cw_map("BR","40-TRANS-&gt;1-208")</f>
        <v>0</v>
      </c>
      <c r="G26" s="1926">
        <f>-_xll.cw_map("BR","50-IMRF-&gt;1-208")</f>
        <v>0</v>
      </c>
      <c r="H26" s="1926">
        <f>-_xll.cw_map("BR","60-CP-&gt;1-208")</f>
        <v>0</v>
      </c>
      <c r="I26" s="1926">
        <f>-_xll.cw_map("BR","70-WC-&gt;1-208")</f>
        <v>0</v>
      </c>
      <c r="J26" s="1930">
        <f>-_xll.cw_map("BR","80-TORT-&gt;1-208")</f>
        <v>0</v>
      </c>
      <c r="K26" s="1926">
        <f>-_xll.cw_map("BR","90-FP-&gt;1-208")</f>
        <v>0</v>
      </c>
      <c r="L26" s="466"/>
      <c r="M26" s="466"/>
      <c r="N26" s="466"/>
    </row>
    <row r="27" spans="1:14" ht="13.5" customHeight="1">
      <c r="A27" s="471" t="s">
        <v>668</v>
      </c>
      <c r="B27" s="468">
        <v>430</v>
      </c>
      <c r="C27" s="1926">
        <f>-_xll.cw_map("BR","10-ED-&gt;1-201")-_xll.cw_map("BR","10-ED-&gt;1-204")-_xll.cw_map("BR","10-ED-&gt;1-205")-_xll.cw_map("BR","10-ED-&gt;1-207")-_xll.cw_map("BR","10-ED-&gt;1-210")</f>
        <v>0</v>
      </c>
      <c r="D27" s="1926">
        <f>-_xll.cw_map("BR","20-OM-&gt;1-201")-_xll.cw_map("BR","20-OM-&gt;1-204")-_xll.cw_map("BR","20-OM-&gt;1-205")-_xll.cw_map("BR","20-OM-&gt;1-207")-_xll.cw_map("BR","20-OM-&gt;1-210")</f>
        <v>0</v>
      </c>
      <c r="E27" s="1926">
        <f>-_xll.cw_map("BR","30-DS-&gt;1-201")-_xll.cw_map("BR","30-DS-&gt;1-204")-_xll.cw_map("BR","30-DS-&gt;1-205")-_xll.cw_map("BR","30-DS-&gt;1-207")-_xll.cw_map("BR","30-DS-&gt;1-210")</f>
        <v>0</v>
      </c>
      <c r="F27" s="1926">
        <f>-_xll.cw_map("BR","40-TRANS-&gt;1-201")-_xll.cw_map("BR","40-TRANS-&gt;1-204")-_xll.cw_map("BR","40-TRANS-&gt;1-205")-_xll.cw_map("BR","40-TRANS-&gt;1-207")-_xll.cw_map("BR","40-TRANS-&gt;1-210")</f>
        <v>0</v>
      </c>
      <c r="G27" s="1926">
        <f>-_xll.cw_map("BR","50-IMRF-&gt;1-201")-_xll.cw_map("BR","50-IMRF-&gt;1-204")-_xll.cw_map("BR","50-IMRF-&gt;1-205")-_xll.cw_map("BR","50-IMRF-&gt;1-207")-_xll.cw_map("BR","50-IMRF-&gt;1-210")</f>
        <v>0</v>
      </c>
      <c r="H27" s="1926">
        <f>-_xll.cw_map("BR","60-CP-&gt;1-201")-_xll.cw_map("BR","60-CP-&gt;1-204")-_xll.cw_map("BR","60-CP-&gt;1-205")-_xll.cw_map("BR","60-CP-&gt;1-207")-_xll.cw_map("BR","60-CP-&gt;1-210")</f>
        <v>0</v>
      </c>
      <c r="I27" s="1926">
        <f>-_xll.cw_map("BR","70-WC-&gt;1-201")-_xll.cw_map("BR","70-WC-&gt;1-204")-_xll.cw_map("BR","70-WC-&gt;1-205")-_xll.cw_map("BR","70-WC-&gt;1-207")-_xll.cw_map("BR","70-WC-&gt;1-210")</f>
        <v>0</v>
      </c>
      <c r="J27" s="1926">
        <f>-_xll.cw_map("BR","80-TORT-&gt;1-201")-_xll.cw_map("BR","80-TORT-&gt;1-204")-_xll.cw_map("BR","80-TORT-&gt;1-205")-_xll.cw_map("BR","80-TORT-&gt;1-207")-_xll.cw_map("BR","80-TORT-&gt;1-210")</f>
        <v>0</v>
      </c>
      <c r="K27" s="1926">
        <f>-_xll.cw_map("BR","90-FP-&gt;1-201")-_xll.cw_map("BR","90-FP-&gt;1-204")-_xll.cw_map("BR","90-FP-&gt;1-205")-_xll.cw_map("BR","90-FP-&gt;1-207")-_xll.cw_map("BR","90-FP-&gt;1-210")</f>
        <v>0</v>
      </c>
      <c r="L27" s="466"/>
      <c r="M27" s="466"/>
      <c r="N27" s="466"/>
    </row>
    <row r="28" spans="1:14" ht="13.5" customHeight="1">
      <c r="A28" s="471" t="s">
        <v>669</v>
      </c>
      <c r="B28" s="468">
        <v>440</v>
      </c>
      <c r="C28" s="1926">
        <f>-_xll.cw_map("BR","10-ED-&gt;1-211")-_xll.cw_map("BR","10-ED-&gt;1-212")-_xll.cw_map("BR","10-ED-&gt;1-213")-_xll.cw_map("BR","10-ED-&gt;1-214")</f>
        <v>0</v>
      </c>
      <c r="D28" s="1926">
        <f>-_xll.cw_map("BR","20-OM-&gt;1-211")-_xll.cw_map("BR","20-OM-&gt;1-212")-_xll.cw_map("BR","20-OM-&gt;1-213")-_xll.cw_map("BR","20-OM-&gt;1-214")</f>
        <v>0</v>
      </c>
      <c r="E28" s="1930">
        <f>-_xll.cw_map("BR","30-DS-&gt;1-211")-_xll.cw_map("BR","30-DS-&gt;1-212")-_xll.cw_map("BR","30-DS-&gt;1-213")-_xll.cw_map("BR","30-DS-&gt;1-214")</f>
        <v>0</v>
      </c>
      <c r="F28" s="1926">
        <f>-_xll.cw_map("BR","40-TRANS-&gt;1-211")-_xll.cw_map("BR","40-TRANS-&gt;1-212")-_xll.cw_map("BR","40-TRANS-&gt;1-213")-_xll.cw_map("BR","40-TRANS-&gt;1-214")</f>
        <v>0</v>
      </c>
      <c r="G28" s="1930">
        <f>-_xll.cw_map("BR","50-IMRF-&gt;1-211")-_xll.cw_map("BR","50-IMRF-&gt;1-212")-_xll.cw_map("BR","50-IMRF-&gt;1-213")-_xll.cw_map("BR","50-IMRF-&gt;1-214")</f>
        <v>0</v>
      </c>
      <c r="H28" s="1930">
        <f>-_xll.cw_map("BR","60-CP-&gt;1-211")-_xll.cw_map("BR","60-CP-&gt;1-212")-_xll.cw_map("BR","60-CP-&gt;1-213")-_xll.cw_map("BR","60-CP-&gt;1-214")</f>
        <v>0</v>
      </c>
      <c r="I28" s="1926">
        <f>-_xll.cw_map("BR","70-WC-&gt;1-211")-_xll.cw_map("BR","70-WC-&gt;1-212")-_xll.cw_map("BR","70-WC-&gt;1-213")-_xll.cw_map("BR","70-WC-&gt;1-214")</f>
        <v>0</v>
      </c>
      <c r="J28" s="1926">
        <f>-_xll.cw_map("BR","80-TORT-&gt;1-211")-_xll.cw_map("BR","80-TORT-&gt;1-212")-_xll.cw_map("BR","80-TORT-&gt;1-213")-_xll.cw_map("BR","80-TORT-&gt;1-214")</f>
        <v>0</v>
      </c>
      <c r="K28" s="1929">
        <f>-_xll.cw_map("BR","90-FP-&gt;1-211")-_xll.cw_map("BR","90-FP-&gt;1-212")-_xll.cw_map("BR","90-FP-&gt;1-213")-_xll.cw_map("BR","90-FP-&gt;1-214")</f>
        <v>0</v>
      </c>
      <c r="L28" s="466"/>
      <c r="M28" s="466"/>
      <c r="N28" s="466"/>
    </row>
    <row r="29" spans="1:14" ht="13.5" customHeight="1">
      <c r="A29" s="471" t="s">
        <v>670</v>
      </c>
      <c r="B29" s="468">
        <v>460</v>
      </c>
      <c r="C29" s="1934">
        <v>0</v>
      </c>
      <c r="D29" s="1933">
        <v>0</v>
      </c>
      <c r="E29" s="1930">
        <v>0</v>
      </c>
      <c r="F29" s="1926">
        <v>0</v>
      </c>
      <c r="G29" s="1930">
        <v>0</v>
      </c>
      <c r="H29" s="1930">
        <v>0</v>
      </c>
      <c r="I29" s="1930">
        <v>0</v>
      </c>
      <c r="J29" s="1930">
        <v>0</v>
      </c>
      <c r="K29" s="1926">
        <v>0</v>
      </c>
      <c r="L29" s="466"/>
      <c r="M29" s="466"/>
      <c r="N29" s="466"/>
    </row>
    <row r="30" spans="1:14" ht="13.5" customHeight="1">
      <c r="A30" s="471" t="s">
        <v>671</v>
      </c>
      <c r="B30" s="468">
        <v>470</v>
      </c>
      <c r="C30" s="1926">
        <f>-_xll.cw_map("BR","10-ED-&gt;1-202")</f>
        <v>0</v>
      </c>
      <c r="D30" s="1930">
        <f>-_xll.cw_map("BR","20-OM-&gt;1-202")</f>
        <v>0</v>
      </c>
      <c r="E30" s="1926">
        <f>-_xll.cw_map("BR","30-DS-&gt;1-202")</f>
        <v>0</v>
      </c>
      <c r="F30" s="1926">
        <f>-_xll.cw_map("BR","40-TRANS-&gt;1-202")</f>
        <v>0</v>
      </c>
      <c r="G30" s="1926">
        <f>-_xll.cw_map("BR","50-IMRF-&gt;1-202")</f>
        <v>0</v>
      </c>
      <c r="H30" s="1926">
        <f>-_xll.cw_map("BR","60-CP-&gt;1-202")</f>
        <v>0</v>
      </c>
      <c r="I30" s="1926">
        <f>-_xll.cw_map("BR","70-WC-&gt;1-202")</f>
        <v>0</v>
      </c>
      <c r="J30" s="1926">
        <f>-_xll.cw_map("BR","80-TORT-&gt;1-202")</f>
        <v>0</v>
      </c>
      <c r="K30" s="1932">
        <f>-_xll.cw_map("BR","90-FP-&gt;1-202")</f>
        <v>0</v>
      </c>
      <c r="L30" s="466"/>
      <c r="M30" s="466"/>
      <c r="N30" s="466"/>
    </row>
    <row r="31" spans="1:14" ht="13.5" customHeight="1">
      <c r="A31" s="471" t="s">
        <v>672</v>
      </c>
      <c r="B31" s="468">
        <v>480</v>
      </c>
      <c r="C31" s="1927">
        <f>-_xll.cw_map("BR","10-ED-&gt;1-203")</f>
        <v>0</v>
      </c>
      <c r="D31" s="1926">
        <f>-_xll.cw_map("BR","20-OM-&gt;1-203")</f>
        <v>0</v>
      </c>
      <c r="E31" s="1926">
        <f>-_xll.cw_map("BR","30-DS-&gt;1-203")</f>
        <v>0</v>
      </c>
      <c r="F31" s="1927">
        <f>-_xll.cw_map("BR","40-TRANS-&gt;1-203")</f>
        <v>0</v>
      </c>
      <c r="G31" s="1926">
        <f>-_xll.cw_map("BR","50-IMRF-&gt;1-203")</f>
        <v>0</v>
      </c>
      <c r="H31" s="1926">
        <f>-_xll.cw_map("BR","60-CP-&gt;1-203")</f>
        <v>0</v>
      </c>
      <c r="I31" s="1926">
        <f>-_xll.cw_map("BR","70-WC-&gt;1-203")</f>
        <v>0</v>
      </c>
      <c r="J31" s="1926">
        <f>-_xll.cw_map("BR","80-TORT-&gt;1-203")</f>
        <v>0</v>
      </c>
      <c r="K31" s="1926">
        <f>-_xll.cw_map("BR","90-FP-&gt;1-203")</f>
        <v>0</v>
      </c>
      <c r="L31" s="466"/>
      <c r="M31" s="466"/>
      <c r="N31" s="466"/>
    </row>
    <row r="32" spans="1:14" ht="13.5" customHeight="1">
      <c r="A32" s="484" t="s">
        <v>673</v>
      </c>
      <c r="B32" s="485">
        <v>490</v>
      </c>
      <c r="C32" s="1931">
        <f>-_xll.cw_map("BR","10-ED-&gt;1-206")-_xll.cw_map("BR","10-ED-&gt;1-220")-_xll.cw_map("BR","10-ED-&gt;1-221")-_xll.cw_map("BR","10-ED-&gt;1-222")-_xll.cw_map("BR","10-ED-&gt;1-223")-_xll.cw_map("BR","10-ED-&gt;1-224")</f>
        <v>0</v>
      </c>
      <c r="D32" s="1931">
        <f>-_xll.cw_map("BR","20-OM-&gt;1-206")-_xll.cw_map("BR","20-OM-&gt;1-220")-_xll.cw_map("BR","20-OM-&gt;1-221")-_xll.cw_map("BR","20-OM-&gt;1-222")-_xll.cw_map("BR","20-OM-&gt;1-223")-_xll.cw_map("BR","20-OM-&gt;1-224")</f>
        <v>0</v>
      </c>
      <c r="E32" s="1930"/>
      <c r="F32" s="1930"/>
      <c r="G32" s="1930">
        <f>-_xll.cw_map("BR","50-IMRF-&gt;1-206")-_xll.cw_map("BR","50-IMRF-&gt;1-220")-_xll.cw_map("BR","50-IMRF-&gt;1-221")-_xll.cw_map("BR","50-IMRF-&gt;1-222")-_xll.cw_map("BR","50-IMRF-&gt;1-223")-_xll.cw_map("BR","50-IMRF-&gt;1-224")</f>
        <v>0</v>
      </c>
      <c r="H32" s="1930">
        <f>-_xll.cw_map("BR","60-CP-&gt;1-206")-_xll.cw_map("BR","60-CP-&gt;1-220")-_xll.cw_map("BR","60-CP-&gt;1-221")-_xll.cw_map("BR","60-CP-&gt;1-222")-_xll.cw_map("BR","60-CP-&gt;1-223")-_xll.cw_map("BR","60-CP-&gt;1-224")</f>
        <v>0</v>
      </c>
      <c r="I32" s="1930">
        <f>-_xll.cw_map("BR","70-WC-&gt;1-206")-_xll.cw_map("BR","70-WC-&gt;1-220")-_xll.cw_map("BR","70-WC-&gt;1-221")-_xll.cw_map("BR","70-WC-&gt;1-222")-_xll.cw_map("BR","70-WC-&gt;1-223")-_xll.cw_map("BR","70-WC-&gt;1-224")</f>
        <v>0</v>
      </c>
      <c r="J32" s="1930">
        <f>-_xll.cw_map("BR","80-TORT-&gt;1-206")-_xll.cw_map("BR","80-TORT-&gt;1-220")-_xll.cw_map("BR","80-TORT-&gt;1-221")-_xll.cw_map("BR","80-TORT-&gt;1-222")-_xll.cw_map("BR","80-TORT-&gt;1-223")-_xll.cw_map("BR","80-TORT-&gt;1-224")</f>
        <v>0</v>
      </c>
      <c r="K32" s="1929">
        <f>-_xll.cw_map("BR","90-FP-&gt;1-206")-_xll.cw_map("BR","90-FP-&gt;1-220")-_xll.cw_map("BR","90-FP-&gt;1-221")-_xll.cw_map("BR","90-FP-&gt;1-222")-_xll.cw_map("BR","90-FP-&gt;1-223")-_xll.cw_map("BR","90-FP-&gt;1-224")</f>
        <v>0</v>
      </c>
      <c r="L32" s="466"/>
      <c r="M32" s="466"/>
      <c r="N32" s="466"/>
    </row>
    <row r="33" spans="1:14" ht="13.5" customHeight="1">
      <c r="A33" s="486" t="s">
        <v>321</v>
      </c>
      <c r="B33" s="485">
        <v>493</v>
      </c>
      <c r="C33" s="1926">
        <v>0</v>
      </c>
      <c r="D33" s="1926">
        <v>0</v>
      </c>
      <c r="E33" s="1926">
        <v>0</v>
      </c>
      <c r="F33" s="1926">
        <v>0</v>
      </c>
      <c r="G33" s="1926">
        <v>0</v>
      </c>
      <c r="H33" s="1926">
        <v>0</v>
      </c>
      <c r="I33" s="1926">
        <v>0</v>
      </c>
      <c r="J33" s="1926">
        <v>0</v>
      </c>
      <c r="K33" s="1926">
        <v>0</v>
      </c>
      <c r="L33" s="465">
        <v>352547</v>
      </c>
      <c r="M33" s="466"/>
      <c r="N33" s="467"/>
    </row>
    <row r="34" spans="1:14" ht="13.5" customHeight="1" thickBot="1">
      <c r="A34" s="1730" t="s">
        <v>675</v>
      </c>
      <c r="B34" s="1731"/>
      <c r="C34" s="1732">
        <f>SUM(C25:C33)</f>
        <v>0</v>
      </c>
      <c r="D34" s="1732">
        <f t="shared" ref="D34:K34" si="1">SUM(D25:D33)</f>
        <v>0</v>
      </c>
      <c r="E34" s="1732">
        <f t="shared" si="1"/>
        <v>0</v>
      </c>
      <c r="F34" s="1732">
        <f t="shared" si="1"/>
        <v>0</v>
      </c>
      <c r="G34" s="1732">
        <f t="shared" si="1"/>
        <v>0</v>
      </c>
      <c r="H34" s="1732">
        <f t="shared" si="1"/>
        <v>0</v>
      </c>
      <c r="I34" s="1732">
        <f t="shared" si="1"/>
        <v>0</v>
      </c>
      <c r="J34" s="1732">
        <f t="shared" si="1"/>
        <v>0</v>
      </c>
      <c r="K34" s="1732">
        <f t="shared" si="1"/>
        <v>0</v>
      </c>
      <c r="L34" s="1713">
        <f>SUM(L33)</f>
        <v>352547</v>
      </c>
      <c r="M34" s="466"/>
      <c r="N34" s="476"/>
    </row>
    <row r="35" spans="1:14" ht="18" customHeight="1" thickTop="1">
      <c r="A35" s="2147" t="s">
        <v>550</v>
      </c>
      <c r="B35" s="2148"/>
      <c r="C35" s="1562"/>
      <c r="D35" s="1563"/>
      <c r="E35" s="1563"/>
      <c r="F35" s="1563"/>
      <c r="G35" s="1563"/>
      <c r="H35" s="1563"/>
      <c r="I35" s="1563"/>
      <c r="J35" s="1563"/>
      <c r="K35" s="1563"/>
      <c r="L35" s="1563"/>
      <c r="M35" s="1557"/>
      <c r="N35" s="1561"/>
    </row>
    <row r="36" spans="1:14">
      <c r="A36" s="487" t="s">
        <v>1</v>
      </c>
      <c r="B36" s="468">
        <v>511</v>
      </c>
      <c r="C36" s="473"/>
      <c r="D36" s="473"/>
      <c r="E36" s="473"/>
      <c r="F36" s="473"/>
      <c r="G36" s="473"/>
      <c r="H36" s="473"/>
      <c r="I36" s="473"/>
      <c r="J36" s="473"/>
      <c r="K36" s="473"/>
      <c r="L36" s="466"/>
      <c r="M36" s="466"/>
      <c r="N36" s="488">
        <f>'Short-Term Long-Term Debt 24'!I49</f>
        <v>28623233</v>
      </c>
    </row>
    <row r="37" spans="1:14" ht="13.5" thickBot="1">
      <c r="A37" s="1728" t="s">
        <v>674</v>
      </c>
      <c r="B37" s="1733"/>
      <c r="C37" s="473"/>
      <c r="D37" s="473"/>
      <c r="E37" s="473"/>
      <c r="F37" s="473"/>
      <c r="G37" s="473"/>
      <c r="H37" s="473"/>
      <c r="I37" s="473"/>
      <c r="J37" s="473"/>
      <c r="K37" s="473"/>
      <c r="L37" s="476"/>
      <c r="M37" s="466"/>
      <c r="N37" s="1680">
        <f>SUM(N36:N36)</f>
        <v>28623233</v>
      </c>
    </row>
    <row r="38" spans="1:14" s="328" customFormat="1" ht="13.5" customHeight="1" thickTop="1">
      <c r="A38" s="489" t="s">
        <v>440</v>
      </c>
      <c r="B38" s="479">
        <v>714</v>
      </c>
      <c r="C38" s="1927">
        <f t="shared" ref="C38:K38" si="2">C10+C11</f>
        <v>0</v>
      </c>
      <c r="D38" s="1927">
        <f t="shared" si="2"/>
        <v>0</v>
      </c>
      <c r="E38" s="1927">
        <f t="shared" si="2"/>
        <v>0</v>
      </c>
      <c r="F38" s="1927">
        <f t="shared" si="2"/>
        <v>0</v>
      </c>
      <c r="G38" s="1927">
        <f t="shared" si="2"/>
        <v>0</v>
      </c>
      <c r="H38" s="1927">
        <f t="shared" si="2"/>
        <v>0</v>
      </c>
      <c r="I38" s="1927">
        <f t="shared" si="2"/>
        <v>0</v>
      </c>
      <c r="J38" s="1926">
        <f t="shared" si="2"/>
        <v>0</v>
      </c>
      <c r="K38" s="1927">
        <f t="shared" si="2"/>
        <v>0</v>
      </c>
      <c r="L38" s="1928">
        <v>0</v>
      </c>
      <c r="M38" s="490"/>
      <c r="N38" s="490"/>
    </row>
    <row r="39" spans="1:14" s="328" customFormat="1" ht="13.5" customHeight="1">
      <c r="A39" s="489" t="s">
        <v>360</v>
      </c>
      <c r="B39" s="479">
        <v>730</v>
      </c>
      <c r="C39" s="1927">
        <f>-_xll.cw_map("BR","10-ED-&gt;1-300")-C38</f>
        <v>21249725</v>
      </c>
      <c r="D39" s="1927">
        <f>-_xll.cw_map("BR","20-OM-&gt;1-300")-D38</f>
        <v>3684278</v>
      </c>
      <c r="E39" s="1927">
        <f>-_xll.cw_map("BR","30-DS-&gt;1-300")-E38</f>
        <v>3554796</v>
      </c>
      <c r="F39" s="1927">
        <f>-_xll.cw_map("BR","40-TRANS-&gt;1-300")-F38</f>
        <v>4201800</v>
      </c>
      <c r="G39" s="1927">
        <f>-_xll.cw_map("BR","50-IMRF-&gt;1-300")-G38</f>
        <v>347060</v>
      </c>
      <c r="H39" s="1927">
        <f>-_xll.cw_map("BR","60-CP-&gt;1-300")-H38</f>
        <v>2393735</v>
      </c>
      <c r="I39" s="1927">
        <f>-_xll.cw_map("BR","70-WC-&gt;1-300")-I38</f>
        <v>5280546</v>
      </c>
      <c r="J39" s="1926">
        <f>-_xll.cw_map("BR","80-TORT-&gt;1-300")-J38</f>
        <v>2286096</v>
      </c>
      <c r="K39" s="1927">
        <f>-_xll.cw_map("BR","90-FP-&gt;1-300")-K38</f>
        <v>3211827</v>
      </c>
      <c r="L39" s="1927">
        <v>0</v>
      </c>
      <c r="M39" s="490"/>
      <c r="N39" s="490"/>
    </row>
    <row r="40" spans="1:14" s="328" customFormat="1" ht="13.5" customHeight="1">
      <c r="A40" s="491" t="s">
        <v>150</v>
      </c>
      <c r="B40" s="492"/>
      <c r="C40" s="493"/>
      <c r="D40" s="493"/>
      <c r="E40" s="493"/>
      <c r="F40" s="493"/>
      <c r="G40" s="493"/>
      <c r="H40" s="493"/>
      <c r="I40" s="493"/>
      <c r="J40" s="493"/>
      <c r="K40" s="493"/>
      <c r="L40" s="493"/>
      <c r="M40" s="465">
        <f>M23</f>
        <v>117601755</v>
      </c>
      <c r="N40" s="490"/>
    </row>
    <row r="41" spans="1:14" ht="13.5" customHeight="1" thickBot="1">
      <c r="A41" s="1728" t="s">
        <v>676</v>
      </c>
      <c r="B41" s="1698"/>
      <c r="C41" s="1680">
        <f>(SUM(C34,C37,C38,C39))</f>
        <v>21249725</v>
      </c>
      <c r="D41" s="1680">
        <f t="shared" ref="D41:L41" si="3">SUM(D34,D37,D38:D39)</f>
        <v>3684278</v>
      </c>
      <c r="E41" s="1680">
        <f t="shared" si="3"/>
        <v>3554796</v>
      </c>
      <c r="F41" s="1680">
        <f t="shared" si="3"/>
        <v>4201800</v>
      </c>
      <c r="G41" s="1680">
        <f t="shared" si="3"/>
        <v>347060</v>
      </c>
      <c r="H41" s="1680">
        <f t="shared" si="3"/>
        <v>2393735</v>
      </c>
      <c r="I41" s="1680">
        <f t="shared" si="3"/>
        <v>5280546</v>
      </c>
      <c r="J41" s="1680">
        <f t="shared" si="3"/>
        <v>2286096</v>
      </c>
      <c r="K41" s="1680">
        <f t="shared" si="3"/>
        <v>3211827</v>
      </c>
      <c r="L41" s="1680">
        <f t="shared" si="3"/>
        <v>352547</v>
      </c>
      <c r="M41" s="1680">
        <f>SUM(M40)</f>
        <v>117601755</v>
      </c>
      <c r="N41" s="1680">
        <f>SUM(N37)</f>
        <v>28623233</v>
      </c>
    </row>
    <row r="42" spans="1:14" ht="13.5" thickTop="1"/>
    <row r="43" spans="1:14">
      <c r="A43" s="246"/>
      <c r="C43" s="496"/>
    </row>
    <row r="44" spans="1:14">
      <c r="A44" s="246"/>
      <c r="C44" s="4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110" zoomScaleNormal="110" zoomScaleSheetLayoutView="110" workbookViewId="0">
      <pane ySplit="2" topLeftCell="A66" activePane="bottomLeft" state="frozenSplit"/>
      <selection activeCell="M97" activeCellId="1" sqref="A1 M97"/>
      <selection pane="bottomLeft" activeCell="G70" sqref="G70"/>
    </sheetView>
  </sheetViews>
  <sheetFormatPr defaultColWidth="9.140625" defaultRowHeight="12.75"/>
  <cols>
    <col min="1" max="1" width="55.85546875" style="494" customWidth="1"/>
    <col min="2" max="2" width="4.7109375" style="495" customWidth="1"/>
    <col min="3" max="11" width="13.7109375" style="456" customWidth="1"/>
    <col min="12" max="12" width="2" style="456" customWidth="1"/>
    <col min="13" max="16384" width="9.140625" style="456"/>
  </cols>
  <sheetData>
    <row r="1" spans="1:13" ht="12.75" customHeight="1">
      <c r="A1" s="2157" t="s">
        <v>1751</v>
      </c>
      <c r="B1" s="451"/>
      <c r="C1" s="497" t="s">
        <v>445</v>
      </c>
      <c r="D1" s="497" t="s">
        <v>446</v>
      </c>
      <c r="E1" s="497" t="s">
        <v>447</v>
      </c>
      <c r="F1" s="497" t="s">
        <v>448</v>
      </c>
      <c r="G1" s="497" t="s">
        <v>449</v>
      </c>
      <c r="H1" s="497" t="s">
        <v>450</v>
      </c>
      <c r="I1" s="497" t="s">
        <v>451</v>
      </c>
      <c r="J1" s="497" t="s">
        <v>452</v>
      </c>
      <c r="K1" s="497" t="s">
        <v>780</v>
      </c>
      <c r="L1" s="494"/>
    </row>
    <row r="2" spans="1:13" s="498" customFormat="1" ht="37.5" customHeight="1">
      <c r="A2" s="2158"/>
      <c r="B2" s="457" t="s">
        <v>396</v>
      </c>
      <c r="C2" s="458" t="s">
        <v>1217</v>
      </c>
      <c r="D2" s="458" t="s">
        <v>925</v>
      </c>
      <c r="E2" s="458" t="s">
        <v>458</v>
      </c>
      <c r="F2" s="458" t="s">
        <v>157</v>
      </c>
      <c r="G2" s="458" t="s">
        <v>1046</v>
      </c>
      <c r="H2" s="458" t="s">
        <v>457</v>
      </c>
      <c r="I2" s="458" t="s">
        <v>427</v>
      </c>
      <c r="J2" s="458" t="s">
        <v>456</v>
      </c>
      <c r="K2" s="458" t="s">
        <v>159</v>
      </c>
      <c r="L2" s="495"/>
    </row>
    <row r="3" spans="1:13" s="500" customFormat="1" ht="16.7" customHeight="1">
      <c r="A3" s="2169" t="s">
        <v>1237</v>
      </c>
      <c r="B3" s="2170"/>
      <c r="C3" s="1565"/>
      <c r="D3" s="1566"/>
      <c r="E3" s="1566"/>
      <c r="F3" s="1566"/>
      <c r="G3" s="1566"/>
      <c r="H3" s="1566"/>
      <c r="I3" s="1566"/>
      <c r="J3" s="1566"/>
      <c r="K3" s="1567"/>
      <c r="L3" s="499"/>
    </row>
    <row r="4" spans="1:13" ht="15.75" customHeight="1">
      <c r="A4" s="1924" t="s">
        <v>1579</v>
      </c>
      <c r="B4" s="1925">
        <v>1000</v>
      </c>
      <c r="C4" s="1734">
        <f>'Revenues 9-14'!C109</f>
        <v>37558499</v>
      </c>
      <c r="D4" s="1734">
        <f>'Revenues 9-14'!D109</f>
        <v>4579510</v>
      </c>
      <c r="E4" s="1734">
        <f>'Revenues 9-14'!E109</f>
        <v>4319168</v>
      </c>
      <c r="F4" s="1734">
        <f>'Revenues 9-14'!F109</f>
        <v>3242841</v>
      </c>
      <c r="G4" s="1734">
        <f>'Revenues 9-14'!G109</f>
        <v>1057526</v>
      </c>
      <c r="H4" s="1734">
        <f>'Revenues 9-14'!H109</f>
        <v>36023</v>
      </c>
      <c r="I4" s="1734">
        <f>'Revenues 9-14'!I109</f>
        <v>394918</v>
      </c>
      <c r="J4" s="1734">
        <f>'Revenues 9-14'!J109</f>
        <v>1989247</v>
      </c>
      <c r="K4" s="1734">
        <f>'Revenues 9-14'!K109</f>
        <v>412073</v>
      </c>
      <c r="L4" s="346"/>
    </row>
    <row r="5" spans="1:13" ht="15.75" customHeight="1">
      <c r="A5" s="1568" t="s">
        <v>1580</v>
      </c>
      <c r="B5" s="1569">
        <v>2000</v>
      </c>
      <c r="C5" s="1735">
        <f>'Revenues 9-14'!C114</f>
        <v>0</v>
      </c>
      <c r="D5" s="1735">
        <f>'Revenues 9-14'!D114</f>
        <v>0</v>
      </c>
      <c r="E5" s="501"/>
      <c r="F5" s="1735">
        <f>'Revenues 9-14'!F114</f>
        <v>0</v>
      </c>
      <c r="G5" s="1735">
        <f>'Revenues 9-14'!G114</f>
        <v>0</v>
      </c>
      <c r="H5" s="502" t="s">
        <v>1231</v>
      </c>
      <c r="I5" s="503" t="s">
        <v>1231</v>
      </c>
      <c r="J5" s="504" t="s">
        <v>1231</v>
      </c>
      <c r="K5" s="505" t="s">
        <v>1231</v>
      </c>
      <c r="L5" s="346"/>
    </row>
    <row r="6" spans="1:13" ht="15.75" customHeight="1">
      <c r="A6" s="1568" t="s">
        <v>1581</v>
      </c>
      <c r="B6" s="1570">
        <v>3000</v>
      </c>
      <c r="C6" s="1735">
        <f>'Revenues 9-14'!C173</f>
        <v>7927640</v>
      </c>
      <c r="D6" s="1735">
        <f>'Revenues 9-14'!D173</f>
        <v>0</v>
      </c>
      <c r="E6" s="1735">
        <f>'Revenues 9-14'!E173</f>
        <v>0</v>
      </c>
      <c r="F6" s="1735">
        <f>'Revenues 9-14'!F173</f>
        <v>3274857</v>
      </c>
      <c r="G6" s="1735">
        <f>'Revenues 9-14'!G173</f>
        <v>0</v>
      </c>
      <c r="H6" s="1735">
        <f>'Revenues 9-14'!H173</f>
        <v>0</v>
      </c>
      <c r="I6" s="1735">
        <f>'Revenues 9-14'!I173</f>
        <v>0</v>
      </c>
      <c r="J6" s="1735">
        <f>'Revenues 9-14'!J173</f>
        <v>0</v>
      </c>
      <c r="K6" s="1735">
        <f>'Revenues 9-14'!K173</f>
        <v>0</v>
      </c>
      <c r="L6" s="346"/>
      <c r="M6" s="506"/>
    </row>
    <row r="7" spans="1:13" ht="15.75" customHeight="1">
      <c r="A7" s="1568" t="s">
        <v>1582</v>
      </c>
      <c r="B7" s="1570">
        <v>4000</v>
      </c>
      <c r="C7" s="1735">
        <f>'Revenues 9-14'!C274</f>
        <v>3181895</v>
      </c>
      <c r="D7" s="1735">
        <f>'Revenues 9-14'!D274</f>
        <v>0</v>
      </c>
      <c r="E7" s="1735">
        <f>'Revenues 9-14'!E274</f>
        <v>0</v>
      </c>
      <c r="F7" s="1735">
        <f>'Revenues 9-14'!F274</f>
        <v>0</v>
      </c>
      <c r="G7" s="1735">
        <f>'Revenues 9-14'!G274</f>
        <v>0</v>
      </c>
      <c r="H7" s="1735">
        <f>'Revenues 9-14'!H274</f>
        <v>0</v>
      </c>
      <c r="I7" s="1735">
        <f>'Revenues 9-14'!I274</f>
        <v>0</v>
      </c>
      <c r="J7" s="1735">
        <f>'Revenues 9-14'!J274</f>
        <v>0</v>
      </c>
      <c r="K7" s="1735">
        <f>'Revenues 9-14'!K274</f>
        <v>0</v>
      </c>
      <c r="L7" s="346"/>
      <c r="M7" s="506"/>
    </row>
    <row r="8" spans="1:13" ht="13.5" thickBot="1">
      <c r="A8" s="1728" t="s">
        <v>1234</v>
      </c>
      <c r="B8" s="1701"/>
      <c r="C8" s="1680">
        <f>SUM(C4:C7)</f>
        <v>48668034</v>
      </c>
      <c r="D8" s="1680">
        <f t="shared" ref="D8:K8" si="0">SUM(D4:D7)</f>
        <v>4579510</v>
      </c>
      <c r="E8" s="1680">
        <f t="shared" si="0"/>
        <v>4319168</v>
      </c>
      <c r="F8" s="1680">
        <f t="shared" si="0"/>
        <v>6517698</v>
      </c>
      <c r="G8" s="1680">
        <f t="shared" si="0"/>
        <v>1057526</v>
      </c>
      <c r="H8" s="1680">
        <f t="shared" si="0"/>
        <v>36023</v>
      </c>
      <c r="I8" s="1680">
        <f t="shared" si="0"/>
        <v>394918</v>
      </c>
      <c r="J8" s="1680">
        <f t="shared" si="0"/>
        <v>1989247</v>
      </c>
      <c r="K8" s="1680">
        <f t="shared" si="0"/>
        <v>412073</v>
      </c>
      <c r="L8" s="346"/>
    </row>
    <row r="9" spans="1:13" ht="15.75" thickTop="1">
      <c r="A9" s="507" t="s">
        <v>1752</v>
      </c>
      <c r="B9" s="508">
        <v>3998</v>
      </c>
      <c r="C9" s="477">
        <v>18153578</v>
      </c>
      <c r="D9" s="509"/>
      <c r="E9" s="477"/>
      <c r="F9" s="477"/>
      <c r="G9" s="510"/>
      <c r="H9" s="477"/>
      <c r="I9" s="502" t="s">
        <v>1231</v>
      </c>
      <c r="J9" s="474"/>
      <c r="K9" s="477"/>
      <c r="L9" s="346"/>
    </row>
    <row r="10" spans="1:13" s="512" customFormat="1" ht="13.5" thickBot="1">
      <c r="A10" s="1728" t="s">
        <v>1235</v>
      </c>
      <c r="B10" s="1701"/>
      <c r="C10" s="1680">
        <f>SUM(C8:C9)</f>
        <v>66821612</v>
      </c>
      <c r="D10" s="1680">
        <f t="shared" ref="D10:K10" si="1">SUM(D8:D9)</f>
        <v>4579510</v>
      </c>
      <c r="E10" s="1680">
        <f t="shared" si="1"/>
        <v>4319168</v>
      </c>
      <c r="F10" s="1680">
        <f t="shared" si="1"/>
        <v>6517698</v>
      </c>
      <c r="G10" s="1680">
        <f t="shared" si="1"/>
        <v>1057526</v>
      </c>
      <c r="H10" s="1680">
        <f t="shared" si="1"/>
        <v>36023</v>
      </c>
      <c r="I10" s="1680">
        <f t="shared" si="1"/>
        <v>394918</v>
      </c>
      <c r="J10" s="1680">
        <f t="shared" si="1"/>
        <v>1989247</v>
      </c>
      <c r="K10" s="1680">
        <f t="shared" si="1"/>
        <v>412073</v>
      </c>
      <c r="L10" s="511"/>
    </row>
    <row r="11" spans="1:13" s="512" customFormat="1" ht="16.7" customHeight="1" thickTop="1">
      <c r="A11" s="2143" t="s">
        <v>1238</v>
      </c>
      <c r="B11" s="2144"/>
      <c r="C11" s="1562"/>
      <c r="D11" s="1563"/>
      <c r="E11" s="1563"/>
      <c r="F11" s="1563"/>
      <c r="G11" s="1563"/>
      <c r="H11" s="1563"/>
      <c r="I11" s="1563"/>
      <c r="J11" s="1563"/>
      <c r="K11" s="1564"/>
      <c r="L11" s="511"/>
    </row>
    <row r="12" spans="1:13" ht="15.75" customHeight="1">
      <c r="A12" s="1568" t="s">
        <v>476</v>
      </c>
      <c r="B12" s="1570">
        <v>1000</v>
      </c>
      <c r="C12" s="1734">
        <f>'Expenditures 15-22'!K33</f>
        <v>30701530</v>
      </c>
      <c r="D12" s="513" t="s">
        <v>1231</v>
      </c>
      <c r="E12" s="466" t="s">
        <v>1231</v>
      </c>
      <c r="F12" s="466" t="s">
        <v>1231</v>
      </c>
      <c r="G12" s="1734">
        <f>'Expenditures 15-22'!K229</f>
        <v>664555</v>
      </c>
      <c r="H12" s="514"/>
      <c r="I12" s="466" t="s">
        <v>1231</v>
      </c>
      <c r="J12" s="466" t="s">
        <v>1231</v>
      </c>
      <c r="K12" s="514" t="s">
        <v>1231</v>
      </c>
      <c r="L12" s="346"/>
    </row>
    <row r="13" spans="1:13" ht="15.75" customHeight="1">
      <c r="A13" s="1568" t="s">
        <v>477</v>
      </c>
      <c r="B13" s="1570">
        <v>2000</v>
      </c>
      <c r="C13" s="1735">
        <f>'Expenditures 15-22'!K74</f>
        <v>14686362</v>
      </c>
      <c r="D13" s="1735">
        <f>'Expenditures 15-22'!K129</f>
        <v>4973630</v>
      </c>
      <c r="E13" s="467" t="s">
        <v>1231</v>
      </c>
      <c r="F13" s="1735">
        <f>'Expenditures 15-22'!K184</f>
        <v>4823291</v>
      </c>
      <c r="G13" s="1735">
        <f>'Expenditures 15-22'!K279</f>
        <v>1272910</v>
      </c>
      <c r="H13" s="1735">
        <f>'Expenditures 15-22'!K303</f>
        <v>2636</v>
      </c>
      <c r="I13" s="466" t="s">
        <v>1231</v>
      </c>
      <c r="J13" s="1735">
        <f>'Expenditures 15-22'!K330</f>
        <v>1932061</v>
      </c>
      <c r="K13" s="1739">
        <f>'Expenditures 15-22'!K352</f>
        <v>0</v>
      </c>
      <c r="L13" s="346"/>
    </row>
    <row r="14" spans="1:13" ht="15.75" customHeight="1">
      <c r="A14" s="1568" t="s">
        <v>469</v>
      </c>
      <c r="B14" s="1570">
        <v>3000</v>
      </c>
      <c r="C14" s="1735">
        <f>'Expenditures 15-22'!K75</f>
        <v>36278</v>
      </c>
      <c r="D14" s="1735">
        <f>'Expenditures 15-22'!K130</f>
        <v>0</v>
      </c>
      <c r="E14" s="513" t="s">
        <v>1231</v>
      </c>
      <c r="F14" s="1735">
        <f>'Expenditures 15-22'!K185</f>
        <v>0</v>
      </c>
      <c r="G14" s="1735">
        <f>'Expenditures 15-22'!K280</f>
        <v>0</v>
      </c>
      <c r="H14" s="505"/>
      <c r="I14" s="466" t="s">
        <v>1231</v>
      </c>
      <c r="J14" s="466" t="s">
        <v>1231</v>
      </c>
      <c r="K14" s="505" t="s">
        <v>1231</v>
      </c>
      <c r="L14" s="346"/>
    </row>
    <row r="15" spans="1:13" ht="15.75" customHeight="1">
      <c r="A15" s="1568" t="s">
        <v>109</v>
      </c>
      <c r="B15" s="1570">
        <v>4000</v>
      </c>
      <c r="C15" s="1735">
        <f>'Expenditures 15-22'!K102</f>
        <v>1914893</v>
      </c>
      <c r="D15" s="1735">
        <f>'Expenditures 15-22'!K139</f>
        <v>0</v>
      </c>
      <c r="E15" s="1735">
        <f>'Expenditures 15-22'!K160</f>
        <v>0</v>
      </c>
      <c r="F15" s="1735">
        <f>'Expenditures 15-22'!K196</f>
        <v>0</v>
      </c>
      <c r="G15" s="1735">
        <f>'Expenditures 15-22'!K285</f>
        <v>0</v>
      </c>
      <c r="H15" s="1735">
        <f>'Expenditures 15-22'!K310</f>
        <v>0</v>
      </c>
      <c r="I15" s="466" t="s">
        <v>1231</v>
      </c>
      <c r="J15" s="1828">
        <f>'Expenditures 15-22'!K334</f>
        <v>0</v>
      </c>
      <c r="K15" s="1735">
        <f>'Expenditures 15-22'!K357</f>
        <v>0</v>
      </c>
      <c r="L15" s="346"/>
    </row>
    <row r="16" spans="1:13" ht="15.75" customHeight="1">
      <c r="A16" s="1568" t="s">
        <v>470</v>
      </c>
      <c r="B16" s="1570">
        <v>5000</v>
      </c>
      <c r="C16" s="1735">
        <f>'Expenditures 15-22'!K112</f>
        <v>0</v>
      </c>
      <c r="D16" s="1735">
        <f>'Expenditures 15-22'!K149</f>
        <v>0</v>
      </c>
      <c r="E16" s="1735">
        <f>'Expenditures 15-22'!K172</f>
        <v>5133817</v>
      </c>
      <c r="F16" s="1735">
        <f>'Expenditures 15-22'!K208</f>
        <v>0</v>
      </c>
      <c r="G16" s="1735">
        <f>'Expenditures 15-22'!K293</f>
        <v>0</v>
      </c>
      <c r="H16" s="516"/>
      <c r="I16" s="466" t="s">
        <v>1231</v>
      </c>
      <c r="J16" s="1740">
        <f>'Expenditures 15-22'!K340</f>
        <v>0</v>
      </c>
      <c r="K16" s="1735">
        <f>'Expenditures 15-22'!K365</f>
        <v>0</v>
      </c>
      <c r="L16" s="346"/>
    </row>
    <row r="17" spans="1:12" ht="13.5" thickBot="1">
      <c r="A17" s="1700" t="s">
        <v>50</v>
      </c>
      <c r="B17" s="1701"/>
      <c r="C17" s="1680">
        <f t="shared" ref="C17:H17" si="2">SUM(C12:C16)</f>
        <v>47339063</v>
      </c>
      <c r="D17" s="1680">
        <f t="shared" si="2"/>
        <v>4973630</v>
      </c>
      <c r="E17" s="1680">
        <f t="shared" si="2"/>
        <v>5133817</v>
      </c>
      <c r="F17" s="1680">
        <f t="shared" si="2"/>
        <v>4823291</v>
      </c>
      <c r="G17" s="1680">
        <f t="shared" si="2"/>
        <v>1937465</v>
      </c>
      <c r="H17" s="1680">
        <f t="shared" si="2"/>
        <v>2636</v>
      </c>
      <c r="I17" s="466"/>
      <c r="J17" s="1680">
        <f>SUM(J12:J16)</f>
        <v>1932061</v>
      </c>
      <c r="K17" s="1680">
        <f>SUM(K12:K16)</f>
        <v>0</v>
      </c>
      <c r="L17" s="346"/>
    </row>
    <row r="18" spans="1:12" ht="15" customHeight="1" thickTop="1">
      <c r="A18" s="1736" t="s">
        <v>1753</v>
      </c>
      <c r="B18" s="1737">
        <v>4180</v>
      </c>
      <c r="C18" s="1734">
        <f t="shared" ref="C18:H18" si="3">C9</f>
        <v>18153578</v>
      </c>
      <c r="D18" s="1734">
        <f t="shared" si="3"/>
        <v>0</v>
      </c>
      <c r="E18" s="1734">
        <f t="shared" si="3"/>
        <v>0</v>
      </c>
      <c r="F18" s="1734">
        <f t="shared" si="3"/>
        <v>0</v>
      </c>
      <c r="G18" s="1734">
        <f t="shared" si="3"/>
        <v>0</v>
      </c>
      <c r="H18" s="1734">
        <f t="shared" si="3"/>
        <v>0</v>
      </c>
      <c r="I18" s="466"/>
      <c r="J18" s="1734">
        <f>J9</f>
        <v>0</v>
      </c>
      <c r="K18" s="1734">
        <f>K9</f>
        <v>0</v>
      </c>
      <c r="L18" s="346"/>
    </row>
    <row r="19" spans="1:12" ht="13.5" thickBot="1">
      <c r="A19" s="1700" t="s">
        <v>526</v>
      </c>
      <c r="B19" s="1701"/>
      <c r="C19" s="1680">
        <f t="shared" ref="C19:H19" si="4">SUM(C17:C18)</f>
        <v>65492641</v>
      </c>
      <c r="D19" s="1680">
        <f t="shared" si="4"/>
        <v>4973630</v>
      </c>
      <c r="E19" s="1680">
        <f t="shared" si="4"/>
        <v>5133817</v>
      </c>
      <c r="F19" s="1680">
        <f t="shared" si="4"/>
        <v>4823291</v>
      </c>
      <c r="G19" s="1680">
        <f t="shared" si="4"/>
        <v>1937465</v>
      </c>
      <c r="H19" s="1680">
        <f t="shared" si="4"/>
        <v>2636</v>
      </c>
      <c r="I19" s="466"/>
      <c r="J19" s="1680">
        <f>SUM(J17:J18)</f>
        <v>1932061</v>
      </c>
      <c r="K19" s="1680">
        <f>SUM(K17:K18)</f>
        <v>0</v>
      </c>
      <c r="L19" s="346"/>
    </row>
    <row r="20" spans="1:12" ht="16.5" thickTop="1" thickBot="1">
      <c r="A20" s="2159" t="s">
        <v>1754</v>
      </c>
      <c r="B20" s="2160"/>
      <c r="C20" s="1738">
        <f>C8-C17</f>
        <v>1328971</v>
      </c>
      <c r="D20" s="1738">
        <f t="shared" ref="D20:K20" si="5">D8-D17</f>
        <v>-394120</v>
      </c>
      <c r="E20" s="1738">
        <f t="shared" si="5"/>
        <v>-814649</v>
      </c>
      <c r="F20" s="1738">
        <f t="shared" si="5"/>
        <v>1694407</v>
      </c>
      <c r="G20" s="1738">
        <f t="shared" si="5"/>
        <v>-879939</v>
      </c>
      <c r="H20" s="1738">
        <f t="shared" si="5"/>
        <v>33387</v>
      </c>
      <c r="I20" s="1738">
        <f t="shared" si="5"/>
        <v>394918</v>
      </c>
      <c r="J20" s="1738">
        <f t="shared" si="5"/>
        <v>57186</v>
      </c>
      <c r="K20" s="1738">
        <f t="shared" si="5"/>
        <v>412073</v>
      </c>
      <c r="L20" s="346"/>
    </row>
    <row r="21" spans="1:12" ht="16.7" customHeight="1" thickTop="1">
      <c r="A21" s="2171" t="s">
        <v>616</v>
      </c>
      <c r="B21" s="2172"/>
      <c r="C21" s="1562"/>
      <c r="D21" s="1563"/>
      <c r="E21" s="1563"/>
      <c r="F21" s="1563"/>
      <c r="G21" s="1563"/>
      <c r="H21" s="1563"/>
      <c r="I21" s="1563"/>
      <c r="J21" s="1563"/>
      <c r="K21" s="1564"/>
      <c r="L21" s="517"/>
    </row>
    <row r="22" spans="1:12" ht="15.75" customHeight="1" collapsed="1">
      <c r="A22" s="2167" t="s">
        <v>617</v>
      </c>
      <c r="B22" s="2168"/>
      <c r="C22" s="473"/>
      <c r="D22" s="473"/>
      <c r="E22" s="473"/>
      <c r="F22" s="473"/>
      <c r="G22" s="473"/>
      <c r="H22" s="473"/>
      <c r="I22" s="473"/>
      <c r="J22" s="473"/>
      <c r="K22" s="473"/>
      <c r="L22" s="346"/>
    </row>
    <row r="23" spans="1:12" s="481" customFormat="1" ht="15.75" customHeight="1">
      <c r="A23" s="2163" t="s">
        <v>311</v>
      </c>
      <c r="B23" s="2164"/>
      <c r="C23" s="476"/>
      <c r="D23" s="473"/>
      <c r="E23" s="473"/>
      <c r="F23" s="473"/>
      <c r="G23" s="473"/>
      <c r="H23" s="473"/>
      <c r="I23" s="473"/>
      <c r="J23" s="473"/>
      <c r="K23" s="473"/>
      <c r="L23" s="517"/>
    </row>
    <row r="24" spans="1:12" s="481" customFormat="1" ht="13.5" customHeight="1">
      <c r="A24" s="1481" t="s">
        <v>1755</v>
      </c>
      <c r="B24" s="518">
        <v>7110</v>
      </c>
      <c r="C24" s="1926">
        <f>-_xll.cw_map("BR","10-ED-&gt;4-7110")</f>
        <v>0</v>
      </c>
      <c r="D24" s="473"/>
      <c r="E24" s="473"/>
      <c r="F24" s="473"/>
      <c r="G24" s="473"/>
      <c r="H24" s="473"/>
      <c r="I24" s="473"/>
      <c r="J24" s="473"/>
      <c r="K24" s="473"/>
      <c r="L24" s="517"/>
    </row>
    <row r="25" spans="1:12" s="481" customFormat="1" ht="13.5" customHeight="1">
      <c r="A25" s="1481" t="s">
        <v>1756</v>
      </c>
      <c r="B25" s="518">
        <v>7110</v>
      </c>
      <c r="C25" s="1926">
        <f>-_xll.cw_map("BR","10-ED-&gt;4-7110")</f>
        <v>0</v>
      </c>
      <c r="D25" s="1926">
        <f>-_xll.cw_map("BR","20-OM-&gt;4-7110")</f>
        <v>0</v>
      </c>
      <c r="E25" s="1926">
        <f>-_xll.cw_map("BR","30-DS-&gt;4-7110")</f>
        <v>0</v>
      </c>
      <c r="F25" s="1926">
        <f>-_xll.cw_map("BR","40-TRANS-&gt;4-7110")</f>
        <v>0</v>
      </c>
      <c r="G25" s="1926">
        <f>-_xll.cw_map("BR","50-IMRF-&gt;4-7110")</f>
        <v>0</v>
      </c>
      <c r="H25" s="1926">
        <f>-_xll.cw_map("BR","60-CP-&gt;4-7110")</f>
        <v>0</v>
      </c>
      <c r="I25" s="473"/>
      <c r="J25" s="1926">
        <f>-_xll.cw_map("BR","80-TORT-&gt;4-7110")</f>
        <v>0</v>
      </c>
      <c r="K25" s="1926">
        <f>-_xll.cw_map("BR","90-FP-&gt;4-7110")</f>
        <v>0</v>
      </c>
      <c r="L25" s="517"/>
    </row>
    <row r="26" spans="1:12" s="481" customFormat="1" ht="13.5" customHeight="1">
      <c r="A26" s="1481" t="s">
        <v>193</v>
      </c>
      <c r="B26" s="479">
        <v>7120</v>
      </c>
      <c r="C26" s="1926">
        <f>-_xll.cw_map("BR","10-ED-&gt;4-7120")</f>
        <v>0</v>
      </c>
      <c r="D26" s="1926">
        <f>-_xll.cw_map("BR","20-OM-&gt;4-7120")</f>
        <v>0</v>
      </c>
      <c r="E26" s="1926">
        <f>-_xll.cw_map("BR","30-DS-&gt;4-7120")</f>
        <v>0</v>
      </c>
      <c r="F26" s="1926">
        <f>-_xll.cw_map("BR","40-TRANS-&gt;4-7120")</f>
        <v>0</v>
      </c>
      <c r="G26" s="1926">
        <f>-_xll.cw_map("BR","50-IMRF-&gt;4-7120")</f>
        <v>0</v>
      </c>
      <c r="H26" s="1926">
        <f>-_xll.cw_map("BR","60-CP-&gt;4-7120")</f>
        <v>0</v>
      </c>
      <c r="I26" s="473"/>
      <c r="J26" s="1926">
        <f>-_xll.cw_map("BR","80-TORT-&gt;4-7120")</f>
        <v>0</v>
      </c>
      <c r="K26" s="1926">
        <f>-_xll.cw_map("BR","90-FP-&gt;4-7120")</f>
        <v>0</v>
      </c>
      <c r="L26" s="517"/>
    </row>
    <row r="27" spans="1:12" s="481" customFormat="1" ht="13.5" customHeight="1">
      <c r="A27" s="1481" t="s">
        <v>194</v>
      </c>
      <c r="B27" s="479">
        <v>7130</v>
      </c>
      <c r="C27" s="1926">
        <f>-_xll.cw_map("BR","10-ED-&gt;4-7130")</f>
        <v>3000000</v>
      </c>
      <c r="D27" s="1926">
        <f>-_xll.cw_map("BR","20-OM-&gt;4-7130")</f>
        <v>0</v>
      </c>
      <c r="E27" s="519"/>
      <c r="F27" s="1926">
        <f>-_xll.cw_map("BR","40-TRANS-&gt;4-7130")</f>
        <v>0</v>
      </c>
      <c r="G27" s="476"/>
      <c r="H27" s="476"/>
      <c r="I27" s="476"/>
      <c r="J27" s="476"/>
      <c r="K27" s="476"/>
      <c r="L27" s="517"/>
    </row>
    <row r="28" spans="1:12" s="481" customFormat="1" ht="13.5" customHeight="1">
      <c r="A28" s="1481" t="s">
        <v>1465</v>
      </c>
      <c r="B28" s="479">
        <v>7140</v>
      </c>
      <c r="C28" s="1926">
        <f>-_xll.cw_map("BR","10-ED-&gt;4-7140")</f>
        <v>0</v>
      </c>
      <c r="D28" s="1926">
        <f>-_xll.cw_map("BR","20-OM-&gt;4-7140")</f>
        <v>0</v>
      </c>
      <c r="E28" s="1926"/>
      <c r="F28" s="1926">
        <f>-_xll.cw_map("BR","40-TRANS-&gt;4-7140")</f>
        <v>0</v>
      </c>
      <c r="G28" s="1926">
        <f>-_xll.cw_map("BR","50-IMRF-&gt;4-7140")</f>
        <v>0</v>
      </c>
      <c r="H28" s="1926">
        <f>-_xll.cw_map("BR","60-CP-&gt;4-7140")</f>
        <v>0</v>
      </c>
      <c r="I28" s="1926">
        <f>-_xll.cw_map("BR","70-WC-&gt;4-7140")</f>
        <v>0</v>
      </c>
      <c r="J28" s="1926">
        <f>-_xll.cw_map("BR","80-TORT-&gt;4-7140")</f>
        <v>0</v>
      </c>
      <c r="K28" s="1926">
        <f>-_xll.cw_map("BR","90-FP-&gt;4-7140")</f>
        <v>0</v>
      </c>
      <c r="L28" s="517"/>
    </row>
    <row r="29" spans="1:12" s="481" customFormat="1" ht="13.5" customHeight="1">
      <c r="A29" s="1481" t="s">
        <v>312</v>
      </c>
      <c r="B29" s="479">
        <v>7150</v>
      </c>
      <c r="C29" s="472"/>
      <c r="D29" s="1926">
        <f>-_xll.cw_map("BR","20-OM-&gt;4-7150")</f>
        <v>0</v>
      </c>
      <c r="E29" s="472"/>
      <c r="F29" s="472"/>
      <c r="G29" s="472"/>
      <c r="H29" s="472"/>
      <c r="I29" s="472"/>
      <c r="J29" s="472"/>
      <c r="K29" s="472"/>
      <c r="L29" s="517"/>
    </row>
    <row r="30" spans="1:12" s="481" customFormat="1" ht="26.25">
      <c r="A30" s="1481" t="s">
        <v>1895</v>
      </c>
      <c r="B30" s="520">
        <v>7160</v>
      </c>
      <c r="C30" s="473"/>
      <c r="D30" s="1926">
        <f>-_xll.cw_map("BR","20-OM-&gt;4-7160")</f>
        <v>0</v>
      </c>
      <c r="E30" s="473"/>
      <c r="F30" s="473"/>
      <c r="G30" s="473"/>
      <c r="H30" s="473"/>
      <c r="I30" s="473"/>
      <c r="J30" s="473"/>
      <c r="K30" s="473"/>
      <c r="L30" s="517"/>
    </row>
    <row r="31" spans="1:12" s="481" customFormat="1" ht="26.25">
      <c r="A31" s="1481" t="s">
        <v>1899</v>
      </c>
      <c r="B31" s="520">
        <v>7170</v>
      </c>
      <c r="C31" s="473"/>
      <c r="D31" s="473"/>
      <c r="E31" s="1930">
        <f>-_xll.cw_map("BR","30-DS-&gt;4-7170")</f>
        <v>0</v>
      </c>
      <c r="F31" s="473"/>
      <c r="G31" s="473"/>
      <c r="H31" s="473"/>
      <c r="I31" s="473"/>
      <c r="J31" s="473"/>
      <c r="K31" s="473"/>
      <c r="L31" s="517"/>
    </row>
    <row r="32" spans="1:12" s="481" customFormat="1" ht="15.75" customHeight="1">
      <c r="A32" s="2165" t="s">
        <v>1038</v>
      </c>
      <c r="B32" s="2166"/>
      <c r="C32" s="473"/>
      <c r="D32" s="473"/>
      <c r="E32" s="472"/>
      <c r="F32" s="473"/>
      <c r="G32" s="473"/>
      <c r="H32" s="473"/>
      <c r="I32" s="473"/>
      <c r="J32" s="473"/>
      <c r="K32" s="473"/>
      <c r="L32" s="517"/>
    </row>
    <row r="33" spans="1:12" s="481" customFormat="1">
      <c r="A33" s="1481" t="s">
        <v>432</v>
      </c>
      <c r="B33" s="518">
        <v>7210</v>
      </c>
      <c r="C33" s="1926">
        <f>-_xll.cw_map("BR","10-ED-&gt;4-7210")</f>
        <v>0</v>
      </c>
      <c r="D33" s="1926">
        <f>-_xll.cw_map("BR","20-OM-&gt;4-7210")</f>
        <v>0</v>
      </c>
      <c r="E33" s="1926">
        <f>-_xll.cw_map("BR","30-DS-&gt;4-7210")</f>
        <v>0</v>
      </c>
      <c r="F33" s="1926">
        <f>-_xll.cw_map("BR","40-TRANS-&gt;4-7210")</f>
        <v>0</v>
      </c>
      <c r="G33" s="473"/>
      <c r="H33" s="1926">
        <f>-_xll.cw_map("BR","60-CP-&gt;4-7210")</f>
        <v>0</v>
      </c>
      <c r="I33" s="1926">
        <f>-_xll.cw_map("BR","70-WC-&gt;4-7210")</f>
        <v>0</v>
      </c>
      <c r="J33" s="1926">
        <f>-_xll.cw_map("BR","80-TORT-&gt;4-7210")</f>
        <v>0</v>
      </c>
      <c r="K33" s="1926">
        <f>-_xll.cw_map("BR","90-FP-&gt;4-7210")</f>
        <v>0</v>
      </c>
      <c r="L33" s="517"/>
    </row>
    <row r="34" spans="1:12" s="481" customFormat="1">
      <c r="A34" s="1481" t="s">
        <v>1058</v>
      </c>
      <c r="B34" s="518">
        <v>7220</v>
      </c>
      <c r="C34" s="1926">
        <f>-_xll.cw_map("BR","10-ED-&gt;4-7220")</f>
        <v>0</v>
      </c>
      <c r="D34" s="1926">
        <f>-_xll.cw_map("BR","20-OM-&gt;4-7220")</f>
        <v>0</v>
      </c>
      <c r="E34" s="1926">
        <f>-_xll.cw_map("BR","30-DS-&gt;4-7220")</f>
        <v>0</v>
      </c>
      <c r="F34" s="1926">
        <f>-_xll.cw_map("BR","40-TRANS-&gt;4-7220")</f>
        <v>0</v>
      </c>
      <c r="G34" s="473"/>
      <c r="H34" s="1926">
        <f>-_xll.cw_map("BR","60-CP-&gt;4-7220")</f>
        <v>0</v>
      </c>
      <c r="I34" s="1932">
        <f>-_xll.cw_map("BR","70-WC-&gt;4-7220")</f>
        <v>0</v>
      </c>
      <c r="J34" s="1932">
        <f>-_xll.cw_map("BR","80-TORT-&gt;4-7220")</f>
        <v>0</v>
      </c>
      <c r="K34" s="1932">
        <f>-_xll.cw_map("BR","90-FP-&gt;4-7220")</f>
        <v>0</v>
      </c>
      <c r="L34" s="517"/>
    </row>
    <row r="35" spans="1:12" s="481" customFormat="1">
      <c r="A35" s="1481" t="s">
        <v>1047</v>
      </c>
      <c r="B35" s="518">
        <v>7230</v>
      </c>
      <c r="C35" s="1926">
        <f>-_xll.cw_map("BR","10-ED-&gt;4-7230")</f>
        <v>0</v>
      </c>
      <c r="D35" s="1926">
        <f>-_xll.cw_map("BR","20-OM-&gt;4-7230")</f>
        <v>0</v>
      </c>
      <c r="E35" s="1926">
        <f>-_xll.cw_map("BR","30-DS-&gt;4-7230")</f>
        <v>0</v>
      </c>
      <c r="F35" s="1926">
        <f>-_xll.cw_map("BR","40-TRANS-&gt;4-7230")</f>
        <v>0</v>
      </c>
      <c r="G35" s="476"/>
      <c r="H35" s="1926">
        <f>-_xll.cw_map("BR","60-CP-&gt;4-7230")</f>
        <v>0</v>
      </c>
      <c r="I35" s="1926">
        <f>-_xll.cw_map("BR","70-WC-&gt;4-7230")</f>
        <v>0</v>
      </c>
      <c r="J35" s="1926">
        <f>-_xll.cw_map("BR","80-TORT-&gt;4-7230")</f>
        <v>0</v>
      </c>
      <c r="K35" s="1926">
        <f>-_xll.cw_map("BR","90-FP-&gt;4-7230")</f>
        <v>0</v>
      </c>
      <c r="L35" s="517"/>
    </row>
    <row r="36" spans="1:12" s="481" customFormat="1" ht="15">
      <c r="A36" s="1481" t="s">
        <v>1757</v>
      </c>
      <c r="B36" s="518">
        <v>7300</v>
      </c>
      <c r="C36" s="1926">
        <f>-_xll.cw_map("BR","10-ED-&gt;4-7300")</f>
        <v>0</v>
      </c>
      <c r="D36" s="1926">
        <f>-_xll.cw_map("BR","20-OM-&gt;4-7300")</f>
        <v>0</v>
      </c>
      <c r="E36" s="1926">
        <f>-_xll.cw_map("BR","30-DS-&gt;4-7300")</f>
        <v>0</v>
      </c>
      <c r="F36" s="1926">
        <f>-_xll.cw_map("BR","40-TRANS-&gt;4-7300")</f>
        <v>0</v>
      </c>
      <c r="G36" s="1926">
        <f>-_xll.cw_map("BR","50-IMRF-&gt;4-7300")</f>
        <v>0</v>
      </c>
      <c r="H36" s="1926">
        <f>-_xll.cw_map("BR","60-CP-&gt;4-7300")</f>
        <v>0</v>
      </c>
      <c r="I36" s="472"/>
      <c r="J36" s="1926">
        <f>-_xll.cw_map("BR","80-TORT-&gt;4-7300")</f>
        <v>0</v>
      </c>
      <c r="K36" s="1926">
        <f>-_xll.cw_map("BR","90-FP-&gt;4-7300")</f>
        <v>0</v>
      </c>
      <c r="L36" s="517"/>
    </row>
    <row r="37" spans="1:12" s="481" customFormat="1">
      <c r="A37" s="1481" t="s">
        <v>461</v>
      </c>
      <c r="B37" s="518">
        <v>7400</v>
      </c>
      <c r="C37" s="472"/>
      <c r="D37" s="472"/>
      <c r="E37" s="1735">
        <f>SUM(C54:D57,H54:H57)</f>
        <v>159700</v>
      </c>
      <c r="F37" s="472"/>
      <c r="G37" s="472"/>
      <c r="H37" s="472"/>
      <c r="I37" s="473"/>
      <c r="J37" s="472"/>
      <c r="K37" s="472"/>
      <c r="L37" s="517"/>
    </row>
    <row r="38" spans="1:12" s="481" customFormat="1">
      <c r="A38" s="1481" t="s">
        <v>462</v>
      </c>
      <c r="B38" s="518">
        <v>7500</v>
      </c>
      <c r="C38" s="473"/>
      <c r="D38" s="473"/>
      <c r="E38" s="1735">
        <f>SUM(C58:D61,H58:H61)</f>
        <v>19614</v>
      </c>
      <c r="F38" s="473"/>
      <c r="G38" s="473"/>
      <c r="H38" s="473"/>
      <c r="I38" s="473"/>
      <c r="J38" s="473"/>
      <c r="K38" s="473"/>
      <c r="L38" s="517"/>
    </row>
    <row r="39" spans="1:12" s="481" customFormat="1">
      <c r="A39" s="1481" t="s">
        <v>463</v>
      </c>
      <c r="B39" s="518">
        <v>7600</v>
      </c>
      <c r="C39" s="473"/>
      <c r="D39" s="473"/>
      <c r="E39" s="1735">
        <f>SUM(C62:D65)</f>
        <v>175000</v>
      </c>
      <c r="F39" s="473"/>
      <c r="G39" s="473"/>
      <c r="H39" s="473"/>
      <c r="I39" s="473"/>
      <c r="J39" s="473"/>
      <c r="K39" s="473"/>
      <c r="L39" s="517"/>
    </row>
    <row r="40" spans="1:12" s="481" customFormat="1" ht="13.5" customHeight="1">
      <c r="A40" s="1481" t="s">
        <v>663</v>
      </c>
      <c r="B40" s="479">
        <v>7700</v>
      </c>
      <c r="C40" s="473"/>
      <c r="D40" s="473"/>
      <c r="E40" s="1735">
        <f>SUM(C66:D69)</f>
        <v>137136</v>
      </c>
      <c r="F40" s="473"/>
      <c r="G40" s="473"/>
      <c r="H40" s="476"/>
      <c r="I40" s="473"/>
      <c r="J40" s="473"/>
      <c r="K40" s="473"/>
      <c r="L40" s="517"/>
    </row>
    <row r="41" spans="1:12" s="481" customFormat="1" ht="13.5" customHeight="1">
      <c r="A41" s="1481" t="s">
        <v>661</v>
      </c>
      <c r="B41" s="479">
        <v>7800</v>
      </c>
      <c r="C41" s="476"/>
      <c r="D41" s="476"/>
      <c r="E41" s="519"/>
      <c r="F41" s="476"/>
      <c r="G41" s="476"/>
      <c r="H41" s="1735">
        <f>SUM(C70:D73)</f>
        <v>0</v>
      </c>
      <c r="I41" s="473"/>
      <c r="J41" s="473"/>
      <c r="K41" s="476"/>
      <c r="L41" s="517"/>
    </row>
    <row r="42" spans="1:12" s="481" customFormat="1" ht="13.5" customHeight="1">
      <c r="A42" s="1481" t="s">
        <v>662</v>
      </c>
      <c r="B42" s="479">
        <v>7900</v>
      </c>
      <c r="C42" s="1926">
        <f>-_xll.cw_map("BR","10-ED-&gt;4-7900")</f>
        <v>0</v>
      </c>
      <c r="D42" s="1926">
        <f>-_xll.cw_map("BR","20-OM-&gt;4-7900")</f>
        <v>0</v>
      </c>
      <c r="E42" s="1926">
        <f>-_xll.cw_map("BR","30-DS-&gt;4-7900")</f>
        <v>0</v>
      </c>
      <c r="F42" s="1926">
        <f>-_xll.cw_map("BR","40-TRANS-&gt;4-7900")</f>
        <v>0</v>
      </c>
      <c r="G42" s="1926">
        <f>-_xll.cw_map("BR","50-IMRF-&gt;4-7900")</f>
        <v>0</v>
      </c>
      <c r="H42" s="1926">
        <f>-_xll.cw_map("BR","60-CP-&gt;4-7900")</f>
        <v>0</v>
      </c>
      <c r="I42" s="476"/>
      <c r="J42" s="476"/>
      <c r="K42" s="1926">
        <f>-_xll.cw_map("BR","90-FP-&gt;4-7900")</f>
        <v>0</v>
      </c>
      <c r="L42" s="517"/>
    </row>
    <row r="43" spans="1:12" s="481" customFormat="1" ht="13.5" customHeight="1">
      <c r="A43" s="1481" t="s">
        <v>391</v>
      </c>
      <c r="B43" s="479">
        <v>7990</v>
      </c>
      <c r="C43" s="1926">
        <f>-_xll.cw_map("BR","10-ED-&gt;4-7990")</f>
        <v>0</v>
      </c>
      <c r="D43" s="1926">
        <f>-_xll.cw_map("BR","20-OM-&gt;4-7990")</f>
        <v>0</v>
      </c>
      <c r="E43" s="1926"/>
      <c r="F43" s="1926">
        <f>-_xll.cw_map("BR","40-TRANS-&gt;4-7990")</f>
        <v>0</v>
      </c>
      <c r="G43" s="1926">
        <f>-_xll.cw_map("BR","50-IMRF-&gt;4-7990")</f>
        <v>0</v>
      </c>
      <c r="H43" s="1926">
        <f>-_xll.cw_map("BR","60-CP-&gt;4-7990")</f>
        <v>0</v>
      </c>
      <c r="I43" s="1926">
        <f>-_xll.cw_map("BR","70-WC-&gt;4-7990")</f>
        <v>0</v>
      </c>
      <c r="J43" s="1926">
        <f>-_xll.cw_map("BR","80-TORT-&gt;4-7990")</f>
        <v>0</v>
      </c>
      <c r="K43" s="1926">
        <f>-_xll.cw_map("BR","90-FP-&gt;4-7990")</f>
        <v>0</v>
      </c>
      <c r="L43" s="517"/>
    </row>
    <row r="44" spans="1:12" s="481" customFormat="1" ht="13.5" customHeight="1" thickBot="1">
      <c r="A44" s="2173" t="s">
        <v>392</v>
      </c>
      <c r="B44" s="2174"/>
      <c r="C44" s="1695">
        <f>SUM(C24:C43)</f>
        <v>3000000</v>
      </c>
      <c r="D44" s="1695">
        <f t="shared" ref="D44:K44" si="6">SUM(D24:D43)</f>
        <v>0</v>
      </c>
      <c r="E44" s="1695">
        <f t="shared" si="6"/>
        <v>491450</v>
      </c>
      <c r="F44" s="1695">
        <f t="shared" si="6"/>
        <v>0</v>
      </c>
      <c r="G44" s="1695">
        <f t="shared" si="6"/>
        <v>0</v>
      </c>
      <c r="H44" s="1695">
        <f t="shared" si="6"/>
        <v>0</v>
      </c>
      <c r="I44" s="1695">
        <f t="shared" si="6"/>
        <v>0</v>
      </c>
      <c r="J44" s="1695">
        <f t="shared" si="6"/>
        <v>0</v>
      </c>
      <c r="K44" s="1695">
        <f t="shared" si="6"/>
        <v>0</v>
      </c>
      <c r="L44" s="517"/>
    </row>
    <row r="45" spans="1:12" ht="15.75" customHeight="1" thickTop="1">
      <c r="A45" s="2167" t="s">
        <v>110</v>
      </c>
      <c r="B45" s="2168"/>
      <c r="C45" s="521"/>
      <c r="D45" s="521"/>
      <c r="E45" s="521"/>
      <c r="F45" s="521"/>
      <c r="G45" s="521"/>
      <c r="H45" s="521"/>
      <c r="I45" s="521"/>
      <c r="J45" s="521"/>
      <c r="K45" s="521"/>
      <c r="L45" s="346"/>
    </row>
    <row r="46" spans="1:12" s="481" customFormat="1" ht="15.75" customHeight="1">
      <c r="A46" s="2175" t="s">
        <v>111</v>
      </c>
      <c r="B46" s="2176"/>
      <c r="C46" s="473"/>
      <c r="D46" s="473"/>
      <c r="E46" s="473"/>
      <c r="F46" s="473"/>
      <c r="G46" s="473"/>
      <c r="H46" s="473"/>
      <c r="I46" s="476"/>
      <c r="J46" s="473"/>
      <c r="K46" s="473"/>
      <c r="L46" s="522"/>
    </row>
    <row r="47" spans="1:12" s="481" customFormat="1" ht="15">
      <c r="A47" s="1482" t="s">
        <v>1758</v>
      </c>
      <c r="B47" s="479">
        <v>8110</v>
      </c>
      <c r="C47" s="473"/>
      <c r="D47" s="473"/>
      <c r="E47" s="473"/>
      <c r="F47" s="473"/>
      <c r="G47" s="473"/>
      <c r="H47" s="473"/>
      <c r="I47" s="1735">
        <f>SUM(C24,C25:H25,J25:K25)</f>
        <v>0</v>
      </c>
      <c r="J47" s="473"/>
      <c r="K47" s="473"/>
      <c r="L47" s="522"/>
    </row>
    <row r="48" spans="1:12" s="481" customFormat="1" ht="15">
      <c r="A48" s="1482" t="s">
        <v>1759</v>
      </c>
      <c r="B48" s="479">
        <v>8120</v>
      </c>
      <c r="C48" s="476"/>
      <c r="D48" s="476"/>
      <c r="E48" s="473"/>
      <c r="F48" s="476"/>
      <c r="G48" s="473"/>
      <c r="H48" s="473"/>
      <c r="I48" s="1735">
        <f>SUM(C26:H26,J26,K26)</f>
        <v>0</v>
      </c>
      <c r="J48" s="473"/>
      <c r="K48" s="473"/>
      <c r="L48" s="522"/>
    </row>
    <row r="49" spans="1:12" s="481" customFormat="1">
      <c r="A49" s="1482" t="s">
        <v>194</v>
      </c>
      <c r="B49" s="479">
        <v>8130</v>
      </c>
      <c r="C49" s="1926">
        <f>_xll.cw_map("BR","10-ED-&gt;4-8130")</f>
        <v>0</v>
      </c>
      <c r="D49" s="1926">
        <f>_xll.cw_map("BR","20-OM-&gt;4-8130")</f>
        <v>0</v>
      </c>
      <c r="E49" s="476"/>
      <c r="F49" s="465">
        <v>3000000</v>
      </c>
      <c r="G49" s="476"/>
      <c r="H49" s="476"/>
      <c r="I49" s="473"/>
      <c r="J49" s="476"/>
      <c r="K49" s="473"/>
      <c r="L49" s="517"/>
    </row>
    <row r="50" spans="1:12" s="481" customFormat="1">
      <c r="A50" s="1482" t="s">
        <v>1465</v>
      </c>
      <c r="B50" s="479">
        <v>8140</v>
      </c>
      <c r="C50" s="1926">
        <f>_xll.cw_map("BR","10-ED-&gt;4-8140")</f>
        <v>0</v>
      </c>
      <c r="D50" s="1926">
        <f>_xll.cw_map("BR","20-OM-&gt;4-8140")</f>
        <v>0</v>
      </c>
      <c r="E50" s="1926">
        <f>_xll.cw_map("BR","30-DS-&gt;4-8140")</f>
        <v>0</v>
      </c>
      <c r="F50" s="1926">
        <f>_xll.cw_map("BR","40-TRANS-&gt;4-8500")+_xll.cw_map("BR","40-TRANS-&gt;4-8400")</f>
        <v>0</v>
      </c>
      <c r="G50" s="1926">
        <f>_xll.cw_map("BR","50-IMRF-&gt;4-8140")</f>
        <v>0</v>
      </c>
      <c r="H50" s="1926">
        <f>_xll.cw_map("BR","60-CP-&gt;4-8140")</f>
        <v>0</v>
      </c>
      <c r="I50" s="473"/>
      <c r="J50" s="1926">
        <f>_xll.cw_map("BR","80-TORT-&gt;4-8140")</f>
        <v>0</v>
      </c>
      <c r="K50" s="473"/>
      <c r="L50" s="517"/>
    </row>
    <row r="51" spans="1:12" s="481" customFormat="1">
      <c r="A51" s="1482" t="s">
        <v>312</v>
      </c>
      <c r="B51" s="479">
        <v>8150</v>
      </c>
      <c r="C51" s="472"/>
      <c r="D51" s="472"/>
      <c r="E51" s="472"/>
      <c r="F51" s="472"/>
      <c r="G51" s="472"/>
      <c r="H51" s="1735">
        <f>SUM(D29)</f>
        <v>0</v>
      </c>
      <c r="I51" s="473"/>
      <c r="J51" s="472"/>
      <c r="K51" s="476"/>
      <c r="L51" s="517"/>
    </row>
    <row r="52" spans="1:12" s="481" customFormat="1" ht="26.25">
      <c r="A52" s="1482" t="s">
        <v>1898</v>
      </c>
      <c r="B52" s="479">
        <v>8160</v>
      </c>
      <c r="C52" s="473"/>
      <c r="D52" s="473"/>
      <c r="E52" s="473"/>
      <c r="F52" s="473"/>
      <c r="G52" s="473"/>
      <c r="H52" s="473"/>
      <c r="I52" s="473"/>
      <c r="J52" s="473"/>
      <c r="K52" s="1735">
        <f>D30</f>
        <v>0</v>
      </c>
      <c r="L52" s="517"/>
    </row>
    <row r="53" spans="1:12" s="481" customFormat="1" ht="26.25">
      <c r="A53" s="1482" t="s">
        <v>1897</v>
      </c>
      <c r="B53" s="479">
        <v>8170</v>
      </c>
      <c r="C53" s="476"/>
      <c r="D53" s="476"/>
      <c r="E53" s="473"/>
      <c r="F53" s="473"/>
      <c r="G53" s="473"/>
      <c r="H53" s="476"/>
      <c r="I53" s="473"/>
      <c r="J53" s="473"/>
      <c r="K53" s="1735">
        <f>E31</f>
        <v>0</v>
      </c>
      <c r="L53" s="517"/>
    </row>
    <row r="54" spans="1:12" s="481" customFormat="1" ht="13.5" thickBot="1">
      <c r="A54" s="1482" t="s">
        <v>716</v>
      </c>
      <c r="B54" s="479">
        <v>8410</v>
      </c>
      <c r="C54" s="1941">
        <v>0</v>
      </c>
      <c r="D54" s="1941">
        <v>0</v>
      </c>
      <c r="E54" s="473"/>
      <c r="F54" s="473"/>
      <c r="G54" s="473"/>
      <c r="H54" s="1941">
        <v>0</v>
      </c>
      <c r="I54" s="473"/>
      <c r="J54" s="473"/>
      <c r="K54" s="472"/>
      <c r="L54" s="517"/>
    </row>
    <row r="55" spans="1:12" s="481" customFormat="1" ht="14.25" thickTop="1" thickBot="1">
      <c r="A55" s="1483" t="s">
        <v>717</v>
      </c>
      <c r="B55" s="479">
        <v>8420</v>
      </c>
      <c r="C55" s="1941">
        <v>0</v>
      </c>
      <c r="D55" s="1941">
        <v>0</v>
      </c>
      <c r="E55" s="473"/>
      <c r="F55" s="473"/>
      <c r="G55" s="473"/>
      <c r="H55" s="1941">
        <v>0</v>
      </c>
      <c r="I55" s="473"/>
      <c r="J55" s="473"/>
      <c r="K55" s="473"/>
      <c r="L55" s="517"/>
    </row>
    <row r="56" spans="1:12" s="481" customFormat="1" ht="14.25" thickTop="1" thickBot="1">
      <c r="A56" s="1482" t="s">
        <v>602</v>
      </c>
      <c r="B56" s="479">
        <v>8430</v>
      </c>
      <c r="C56" s="1941">
        <v>0</v>
      </c>
      <c r="D56" s="1941">
        <v>0</v>
      </c>
      <c r="E56" s="473"/>
      <c r="F56" s="473"/>
      <c r="G56" s="473"/>
      <c r="H56" s="1941">
        <v>0</v>
      </c>
      <c r="I56" s="473"/>
      <c r="J56" s="473"/>
      <c r="K56" s="473"/>
      <c r="L56" s="517"/>
    </row>
    <row r="57" spans="1:12" s="481" customFormat="1" ht="14.25" thickTop="1" thickBot="1">
      <c r="A57" s="1483" t="s">
        <v>599</v>
      </c>
      <c r="B57" s="479">
        <v>8440</v>
      </c>
      <c r="C57" s="1941">
        <f>_xll.cw_map("BR","10-ED-&gt;4-8400")</f>
        <v>159700</v>
      </c>
      <c r="D57" s="1941">
        <f>_xll.cw_map("BR","20-OM-&gt;4-8400")</f>
        <v>0</v>
      </c>
      <c r="E57" s="473"/>
      <c r="F57" s="473"/>
      <c r="G57" s="473"/>
      <c r="H57" s="1941">
        <f>_xll.cw_map("BR","60-CP-&gt;4-8400")</f>
        <v>0</v>
      </c>
      <c r="I57" s="473"/>
      <c r="J57" s="473"/>
      <c r="K57" s="473"/>
      <c r="L57" s="517"/>
    </row>
    <row r="58" spans="1:12" s="481" customFormat="1" ht="14.25" thickTop="1" thickBot="1">
      <c r="A58" s="1482" t="s">
        <v>600</v>
      </c>
      <c r="B58" s="479">
        <v>8510</v>
      </c>
      <c r="C58" s="1942">
        <v>0</v>
      </c>
      <c r="D58" s="1942">
        <v>0</v>
      </c>
      <c r="E58" s="473"/>
      <c r="F58" s="473"/>
      <c r="G58" s="473"/>
      <c r="H58" s="1941">
        <v>0</v>
      </c>
      <c r="I58" s="473"/>
      <c r="J58" s="473"/>
      <c r="K58" s="473"/>
      <c r="L58" s="517"/>
    </row>
    <row r="59" spans="1:12" s="481" customFormat="1" ht="14.25" thickTop="1" thickBot="1">
      <c r="A59" s="1484" t="s">
        <v>718</v>
      </c>
      <c r="B59" s="479">
        <v>8520</v>
      </c>
      <c r="C59" s="1941">
        <v>0</v>
      </c>
      <c r="D59" s="1941">
        <v>0</v>
      </c>
      <c r="E59" s="473"/>
      <c r="F59" s="473"/>
      <c r="G59" s="473"/>
      <c r="H59" s="1941">
        <v>0</v>
      </c>
      <c r="I59" s="473"/>
      <c r="J59" s="473"/>
      <c r="K59" s="473"/>
      <c r="L59" s="517"/>
    </row>
    <row r="60" spans="1:12" s="481" customFormat="1" ht="14.25" thickTop="1" thickBot="1">
      <c r="A60" s="1482" t="s">
        <v>601</v>
      </c>
      <c r="B60" s="479">
        <v>8530</v>
      </c>
      <c r="C60" s="1941">
        <v>0</v>
      </c>
      <c r="D60" s="1941">
        <v>0</v>
      </c>
      <c r="E60" s="473"/>
      <c r="F60" s="473"/>
      <c r="G60" s="473"/>
      <c r="H60" s="1941">
        <v>0</v>
      </c>
      <c r="I60" s="473"/>
      <c r="J60" s="473"/>
      <c r="K60" s="473"/>
      <c r="L60" s="517"/>
    </row>
    <row r="61" spans="1:12" s="481" customFormat="1" ht="14.25" thickTop="1" thickBot="1">
      <c r="A61" s="1483" t="s">
        <v>767</v>
      </c>
      <c r="B61" s="479">
        <v>8540</v>
      </c>
      <c r="C61" s="1942">
        <f>_xll.cw_map("BR","10-ED-&gt;4-8500")</f>
        <v>19614</v>
      </c>
      <c r="D61" s="1942">
        <f>_xll.cw_map("BR","20-OM-&gt;4-8500")</f>
        <v>0</v>
      </c>
      <c r="E61" s="473"/>
      <c r="F61" s="473"/>
      <c r="G61" s="473"/>
      <c r="H61" s="1941">
        <f>_xll.cw_map("BR","60-CP-&gt;4-8500")</f>
        <v>0</v>
      </c>
      <c r="I61" s="473"/>
      <c r="J61" s="473"/>
      <c r="K61" s="473"/>
      <c r="L61" s="517"/>
    </row>
    <row r="62" spans="1:12" s="481" customFormat="1" ht="13.5" customHeight="1" thickTop="1" thickBot="1">
      <c r="A62" s="1482" t="s">
        <v>768</v>
      </c>
      <c r="B62" s="479">
        <v>8610</v>
      </c>
      <c r="C62" s="1942">
        <v>0</v>
      </c>
      <c r="D62" s="1942">
        <v>0</v>
      </c>
      <c r="E62" s="473"/>
      <c r="F62" s="473"/>
      <c r="G62" s="473"/>
      <c r="H62" s="473"/>
      <c r="I62" s="473"/>
      <c r="J62" s="473"/>
      <c r="K62" s="473"/>
      <c r="L62" s="517"/>
    </row>
    <row r="63" spans="1:12" s="481" customFormat="1" ht="14.25" thickTop="1" thickBot="1">
      <c r="A63" s="1483" t="s">
        <v>719</v>
      </c>
      <c r="B63" s="479">
        <v>8620</v>
      </c>
      <c r="C63" s="1941">
        <v>0</v>
      </c>
      <c r="D63" s="1941">
        <v>0</v>
      </c>
      <c r="E63" s="473"/>
      <c r="F63" s="473"/>
      <c r="G63" s="473"/>
      <c r="H63" s="473"/>
      <c r="I63" s="473"/>
      <c r="J63" s="473"/>
      <c r="K63" s="473"/>
      <c r="L63" s="517"/>
    </row>
    <row r="64" spans="1:12" s="481" customFormat="1" ht="13.5" customHeight="1" thickTop="1" thickBot="1">
      <c r="A64" s="1482" t="s">
        <v>769</v>
      </c>
      <c r="B64" s="479">
        <v>8630</v>
      </c>
      <c r="C64" s="1941">
        <v>0</v>
      </c>
      <c r="D64" s="1941">
        <v>0</v>
      </c>
      <c r="E64" s="473"/>
      <c r="F64" s="473"/>
      <c r="G64" s="473"/>
      <c r="H64" s="473"/>
      <c r="I64" s="473"/>
      <c r="J64" s="473"/>
      <c r="K64" s="473"/>
      <c r="L64" s="517"/>
    </row>
    <row r="65" spans="1:12" s="481" customFormat="1" ht="14.25" thickTop="1" thickBot="1">
      <c r="A65" s="1483" t="s">
        <v>770</v>
      </c>
      <c r="B65" s="479">
        <v>8640</v>
      </c>
      <c r="C65" s="1942">
        <f>_xll.cw_map("BR","10-ED-&gt;4-8600")</f>
        <v>0</v>
      </c>
      <c r="D65" s="1942">
        <f>_xll.cw_map("BR","20-OM-&gt;4-8600")</f>
        <v>175000</v>
      </c>
      <c r="E65" s="473"/>
      <c r="F65" s="473"/>
      <c r="G65" s="473"/>
      <c r="H65" s="473"/>
      <c r="I65" s="473"/>
      <c r="J65" s="473"/>
      <c r="K65" s="473"/>
      <c r="L65" s="517"/>
    </row>
    <row r="66" spans="1:12" s="481" customFormat="1" ht="14.25" thickTop="1" thickBot="1">
      <c r="A66" s="1482" t="s">
        <v>771</v>
      </c>
      <c r="B66" s="479">
        <v>8710</v>
      </c>
      <c r="C66" s="1942">
        <v>0</v>
      </c>
      <c r="D66" s="1942">
        <v>0</v>
      </c>
      <c r="E66" s="473"/>
      <c r="F66" s="473"/>
      <c r="G66" s="473"/>
      <c r="H66" s="473"/>
      <c r="I66" s="473"/>
      <c r="J66" s="473"/>
      <c r="K66" s="473"/>
      <c r="L66" s="517"/>
    </row>
    <row r="67" spans="1:12" s="481" customFormat="1" ht="14.25" thickTop="1" thickBot="1">
      <c r="A67" s="1483" t="s">
        <v>720</v>
      </c>
      <c r="B67" s="479">
        <v>8720</v>
      </c>
      <c r="C67" s="1941">
        <v>0</v>
      </c>
      <c r="D67" s="1941">
        <v>0</v>
      </c>
      <c r="E67" s="473"/>
      <c r="F67" s="473"/>
      <c r="G67" s="473"/>
      <c r="H67" s="473"/>
      <c r="I67" s="473"/>
      <c r="J67" s="473"/>
      <c r="K67" s="473"/>
      <c r="L67" s="517"/>
    </row>
    <row r="68" spans="1:12" s="481" customFormat="1" ht="14.25" thickTop="1" thickBot="1">
      <c r="A68" s="1484" t="s">
        <v>772</v>
      </c>
      <c r="B68" s="479">
        <v>8730</v>
      </c>
      <c r="C68" s="1941">
        <v>0</v>
      </c>
      <c r="D68" s="1941">
        <v>0</v>
      </c>
      <c r="E68" s="473"/>
      <c r="F68" s="473"/>
      <c r="G68" s="473"/>
      <c r="H68" s="473"/>
      <c r="I68" s="473"/>
      <c r="J68" s="473"/>
      <c r="K68" s="473"/>
      <c r="L68" s="517"/>
    </row>
    <row r="69" spans="1:12" s="481" customFormat="1" ht="14.25" thickTop="1" thickBot="1">
      <c r="A69" s="1483" t="s">
        <v>773</v>
      </c>
      <c r="B69" s="479">
        <v>8740</v>
      </c>
      <c r="C69" s="1942">
        <f>_xll.cw_map("BR","10-ED-&gt;4-8700")</f>
        <v>0</v>
      </c>
      <c r="D69" s="1942">
        <f>_xll.cw_map("BR","20-OM-&gt;4-8700")</f>
        <v>137136</v>
      </c>
      <c r="E69" s="473"/>
      <c r="F69" s="473"/>
      <c r="G69" s="473"/>
      <c r="H69" s="473"/>
      <c r="I69" s="473"/>
      <c r="J69" s="473"/>
      <c r="K69" s="473"/>
      <c r="L69" s="517"/>
    </row>
    <row r="70" spans="1:12" s="481" customFormat="1" ht="14.25" thickTop="1" thickBot="1">
      <c r="A70" s="1482" t="s">
        <v>774</v>
      </c>
      <c r="B70" s="479">
        <v>8810</v>
      </c>
      <c r="C70" s="1942">
        <v>0</v>
      </c>
      <c r="D70" s="1942">
        <v>0</v>
      </c>
      <c r="E70" s="473"/>
      <c r="F70" s="473"/>
      <c r="G70" s="473"/>
      <c r="H70" s="473"/>
      <c r="I70" s="473"/>
      <c r="J70" s="473"/>
      <c r="K70" s="473"/>
      <c r="L70" s="517"/>
    </row>
    <row r="71" spans="1:12" s="481" customFormat="1" ht="14.25" thickTop="1" thickBot="1">
      <c r="A71" s="1482" t="s">
        <v>778</v>
      </c>
      <c r="B71" s="479">
        <v>8820</v>
      </c>
      <c r="C71" s="1942">
        <v>0</v>
      </c>
      <c r="D71" s="1942">
        <v>0</v>
      </c>
      <c r="E71" s="473"/>
      <c r="F71" s="473"/>
      <c r="G71" s="473"/>
      <c r="H71" s="473"/>
      <c r="I71" s="473"/>
      <c r="J71" s="473"/>
      <c r="K71" s="473"/>
      <c r="L71" s="517"/>
    </row>
    <row r="72" spans="1:12" s="481" customFormat="1" ht="14.25" thickTop="1" thickBot="1">
      <c r="A72" s="1482" t="s">
        <v>775</v>
      </c>
      <c r="B72" s="479">
        <v>8830</v>
      </c>
      <c r="C72" s="1942">
        <v>0</v>
      </c>
      <c r="D72" s="1942">
        <v>0</v>
      </c>
      <c r="E72" s="473"/>
      <c r="F72" s="473"/>
      <c r="G72" s="473"/>
      <c r="H72" s="473"/>
      <c r="I72" s="473"/>
      <c r="J72" s="473"/>
      <c r="K72" s="473"/>
      <c r="L72" s="517"/>
    </row>
    <row r="73" spans="1:12" s="481" customFormat="1" ht="14.25" thickTop="1" thickBot="1">
      <c r="A73" s="1482" t="s">
        <v>776</v>
      </c>
      <c r="B73" s="479">
        <v>8840</v>
      </c>
      <c r="C73" s="1942">
        <f>_xll.cw_map("BR","10-ED-&gt;4-8800")</f>
        <v>0</v>
      </c>
      <c r="D73" s="1942">
        <f>_xll.cw_map("BR","20-OM-&gt;4-8800")</f>
        <v>0</v>
      </c>
      <c r="E73" s="473"/>
      <c r="F73" s="473"/>
      <c r="G73" s="473"/>
      <c r="H73" s="473"/>
      <c r="I73" s="473"/>
      <c r="J73" s="473"/>
      <c r="K73" s="476"/>
      <c r="L73" s="517"/>
    </row>
    <row r="74" spans="1:12" s="481" customFormat="1" ht="14.25" thickTop="1" thickBot="1">
      <c r="A74" s="1482" t="s">
        <v>393</v>
      </c>
      <c r="B74" s="479">
        <v>8910</v>
      </c>
      <c r="C74" s="1942">
        <f>_xll.cw_map("BR","10-ED-&gt;4-8910")</f>
        <v>0</v>
      </c>
      <c r="D74" s="1942">
        <f>_xll.cw_map("BR","20-OM-&gt;4-8910")</f>
        <v>0</v>
      </c>
      <c r="E74" s="476"/>
      <c r="F74" s="1941">
        <f>_xll.cw_map("BR","40-TRANS-&gt;4-8910")</f>
        <v>0</v>
      </c>
      <c r="G74" s="1941">
        <f>_xll.cw_map("BR","50-IMRF-&gt;4-8910")</f>
        <v>0</v>
      </c>
      <c r="H74" s="1941">
        <f>_xll.cw_map("BR","60-CP-&gt;4-8910")</f>
        <v>0</v>
      </c>
      <c r="I74" s="476"/>
      <c r="J74" s="476"/>
      <c r="K74" s="1941">
        <f>_xll.cw_map("BR","90-FP-&gt;4-8910")</f>
        <v>0</v>
      </c>
      <c r="L74" s="517"/>
    </row>
    <row r="75" spans="1:12" s="481" customFormat="1" ht="14.25" thickTop="1" thickBot="1">
      <c r="A75" s="1485" t="s">
        <v>459</v>
      </c>
      <c r="B75" s="479">
        <v>8990</v>
      </c>
      <c r="C75" s="1942">
        <f>_xll.cw_map("BR","10-ED-&gt;4-8990")</f>
        <v>0</v>
      </c>
      <c r="D75" s="1942">
        <f>_xll.cw_map("BR","20-OM-&gt;4-8990")</f>
        <v>0</v>
      </c>
      <c r="E75" s="1941">
        <f>_xll.cw_map("BR","30-DS-&gt;4-8990")</f>
        <v>0</v>
      </c>
      <c r="F75" s="1940">
        <f>_xll.cw_map("BR","40-TRANS-&gt;4-8990")</f>
        <v>0</v>
      </c>
      <c r="G75" s="1940">
        <f>_xll.cw_map("BR","50-IMRF-&gt;4-8990")</f>
        <v>0</v>
      </c>
      <c r="H75" s="1940">
        <f>_xll.cw_map("BR","60-CP-&gt;4-8990")</f>
        <v>0</v>
      </c>
      <c r="I75" s="1941">
        <f>_xll.cw_map("BR","70-WC-&gt;4-8990")</f>
        <v>0</v>
      </c>
      <c r="J75" s="1941">
        <f>_xll.cw_map("BR","80-TORT-&gt;4-8990")</f>
        <v>0</v>
      </c>
      <c r="K75" s="1940">
        <f>_xll.cw_map("BR","90-FP-&gt;4-8990")</f>
        <v>0</v>
      </c>
      <c r="L75" s="517"/>
    </row>
    <row r="76" spans="1:12" s="481" customFormat="1" ht="14.25" thickTop="1" thickBot="1">
      <c r="A76" s="2149" t="s">
        <v>460</v>
      </c>
      <c r="B76" s="2150"/>
      <c r="C76" s="1695">
        <f t="shared" ref="C76:K76" si="7">SUM(C47:C75)</f>
        <v>179314</v>
      </c>
      <c r="D76" s="1695">
        <f t="shared" si="7"/>
        <v>312136</v>
      </c>
      <c r="E76" s="1695">
        <f t="shared" si="7"/>
        <v>0</v>
      </c>
      <c r="F76" s="1695">
        <f t="shared" si="7"/>
        <v>3000000</v>
      </c>
      <c r="G76" s="1695">
        <f t="shared" si="7"/>
        <v>0</v>
      </c>
      <c r="H76" s="1695">
        <f t="shared" si="7"/>
        <v>0</v>
      </c>
      <c r="I76" s="1695">
        <f t="shared" si="7"/>
        <v>0</v>
      </c>
      <c r="J76" s="1695">
        <f t="shared" si="7"/>
        <v>0</v>
      </c>
      <c r="K76" s="1695">
        <f t="shared" si="7"/>
        <v>0</v>
      </c>
      <c r="L76" s="517"/>
    </row>
    <row r="77" spans="1:12" ht="14.25" thickTop="1" thickBot="1">
      <c r="A77" s="2151" t="s">
        <v>1239</v>
      </c>
      <c r="B77" s="2152"/>
      <c r="C77" s="1695">
        <f t="shared" ref="C77:K77" si="8">C44-C76</f>
        <v>2820686</v>
      </c>
      <c r="D77" s="1695">
        <f t="shared" si="8"/>
        <v>-312136</v>
      </c>
      <c r="E77" s="1695">
        <f t="shared" si="8"/>
        <v>491450</v>
      </c>
      <c r="F77" s="1695">
        <f t="shared" si="8"/>
        <v>-3000000</v>
      </c>
      <c r="G77" s="1695">
        <f t="shared" si="8"/>
        <v>0</v>
      </c>
      <c r="H77" s="1695">
        <f t="shared" si="8"/>
        <v>0</v>
      </c>
      <c r="I77" s="1695">
        <f t="shared" si="8"/>
        <v>0</v>
      </c>
      <c r="J77" s="1695">
        <f t="shared" si="8"/>
        <v>0</v>
      </c>
      <c r="K77" s="1695">
        <f t="shared" si="8"/>
        <v>0</v>
      </c>
      <c r="L77" s="346"/>
    </row>
    <row r="78" spans="1:12" ht="21.75" customHeight="1" thickTop="1" thickBot="1">
      <c r="A78" s="2155" t="s">
        <v>618</v>
      </c>
      <c r="B78" s="2156"/>
      <c r="C78" s="1694">
        <f t="shared" ref="C78:K78" si="9">C20+C77</f>
        <v>4149657</v>
      </c>
      <c r="D78" s="1694">
        <f t="shared" si="9"/>
        <v>-706256</v>
      </c>
      <c r="E78" s="1694">
        <f t="shared" si="9"/>
        <v>-323199</v>
      </c>
      <c r="F78" s="1694">
        <f t="shared" si="9"/>
        <v>-1305593</v>
      </c>
      <c r="G78" s="1694">
        <f t="shared" si="9"/>
        <v>-879939</v>
      </c>
      <c r="H78" s="1694">
        <f t="shared" si="9"/>
        <v>33387</v>
      </c>
      <c r="I78" s="1694">
        <f t="shared" si="9"/>
        <v>394918</v>
      </c>
      <c r="J78" s="1694">
        <f t="shared" si="9"/>
        <v>57186</v>
      </c>
      <c r="K78" s="1694">
        <f t="shared" si="9"/>
        <v>412073</v>
      </c>
      <c r="L78" s="523"/>
    </row>
    <row r="79" spans="1:12" ht="13.5" thickTop="1">
      <c r="A79" s="1486" t="s">
        <v>2071</v>
      </c>
      <c r="B79" s="524"/>
      <c r="C79" s="1932">
        <v>17100068</v>
      </c>
      <c r="D79" s="1938">
        <v>4390534</v>
      </c>
      <c r="E79" s="1938">
        <v>3877995</v>
      </c>
      <c r="F79" s="1938">
        <v>5507393</v>
      </c>
      <c r="G79" s="1938">
        <v>1226999</v>
      </c>
      <c r="H79" s="1939">
        <v>2360348</v>
      </c>
      <c r="I79" s="1939">
        <v>4885628</v>
      </c>
      <c r="J79" s="1938">
        <v>2228910</v>
      </c>
      <c r="K79" s="1938">
        <v>2799754</v>
      </c>
      <c r="L79" s="346"/>
    </row>
    <row r="80" spans="1:12">
      <c r="A80" s="2161" t="s">
        <v>1896</v>
      </c>
      <c r="B80" s="2162"/>
      <c r="C80" s="1926">
        <v>0</v>
      </c>
      <c r="D80" s="1926">
        <v>0</v>
      </c>
      <c r="E80" s="1926">
        <v>0</v>
      </c>
      <c r="F80" s="1926">
        <v>0</v>
      </c>
      <c r="G80" s="1926">
        <v>0</v>
      </c>
      <c r="H80" s="1926">
        <v>0</v>
      </c>
      <c r="I80" s="1926">
        <v>0</v>
      </c>
      <c r="J80" s="1926">
        <v>0</v>
      </c>
      <c r="K80" s="1926">
        <v>0</v>
      </c>
      <c r="L80" s="346"/>
    </row>
    <row r="81" spans="1:12" ht="13.5" thickBot="1">
      <c r="A81" s="2153" t="s">
        <v>2072</v>
      </c>
      <c r="B81" s="2154"/>
      <c r="C81" s="1680">
        <f>(SUM(C78:C80))</f>
        <v>21249725</v>
      </c>
      <c r="D81" s="1680">
        <f>SUM(D78:D80)</f>
        <v>3684278</v>
      </c>
      <c r="E81" s="1680">
        <f t="shared" ref="E81:K81" si="10">SUM(E78:E80)</f>
        <v>3554796</v>
      </c>
      <c r="F81" s="1680">
        <f t="shared" si="10"/>
        <v>4201800</v>
      </c>
      <c r="G81" s="1680">
        <f t="shared" si="10"/>
        <v>347060</v>
      </c>
      <c r="H81" s="1680">
        <f t="shared" si="10"/>
        <v>2393735</v>
      </c>
      <c r="I81" s="1680">
        <f t="shared" si="10"/>
        <v>5280546</v>
      </c>
      <c r="J81" s="1680">
        <f t="shared" si="10"/>
        <v>2286096</v>
      </c>
      <c r="K81" s="1680">
        <f t="shared" si="10"/>
        <v>3211827</v>
      </c>
      <c r="L81" s="346"/>
    </row>
    <row r="82" spans="1:12" ht="0.75" customHeight="1" thickTop="1" thickBot="1">
      <c r="A82" s="525" t="s">
        <v>361</v>
      </c>
      <c r="B82" s="526"/>
      <c r="C82" s="527">
        <f>(C81-C79)</f>
        <v>4149657</v>
      </c>
      <c r="D82" s="527">
        <f t="shared" ref="D82:K82" si="11">(D81-D79)</f>
        <v>-706256</v>
      </c>
      <c r="E82" s="527">
        <f t="shared" si="11"/>
        <v>-323199</v>
      </c>
      <c r="F82" s="527">
        <f t="shared" si="11"/>
        <v>-1305593</v>
      </c>
      <c r="G82" s="527">
        <f t="shared" si="11"/>
        <v>-879939</v>
      </c>
      <c r="H82" s="527">
        <f t="shared" si="11"/>
        <v>33387</v>
      </c>
      <c r="I82" s="527">
        <f t="shared" si="11"/>
        <v>394918</v>
      </c>
      <c r="J82" s="527">
        <f t="shared" si="11"/>
        <v>57186</v>
      </c>
      <c r="K82" s="527">
        <f t="shared" si="11"/>
        <v>412073</v>
      </c>
    </row>
    <row r="83" spans="1:12" ht="14.25" hidden="1" thickTop="1" thickBot="1">
      <c r="A83" s="528" t="s">
        <v>362</v>
      </c>
      <c r="B83" s="463"/>
      <c r="C83" s="529">
        <f>C82/C81</f>
        <v>0.19528050363004698</v>
      </c>
      <c r="D83" s="529">
        <f t="shared" ref="D83:K83" si="12">D82/D81</f>
        <v>-0.19169454639416461</v>
      </c>
      <c r="E83" s="529">
        <f t="shared" si="12"/>
        <v>-9.0919141351571225E-2</v>
      </c>
      <c r="F83" s="529">
        <f t="shared" si="12"/>
        <v>-0.31072230948641061</v>
      </c>
      <c r="G83" s="529">
        <f t="shared" si="12"/>
        <v>-2.5354088630208031</v>
      </c>
      <c r="H83" s="529">
        <f t="shared" si="12"/>
        <v>1.3947659202041997E-2</v>
      </c>
      <c r="I83" s="529">
        <f t="shared" si="12"/>
        <v>7.4787342066521156E-2</v>
      </c>
      <c r="J83" s="529">
        <f t="shared" si="12"/>
        <v>2.50146975455099E-2</v>
      </c>
      <c r="K83" s="529">
        <f t="shared" si="12"/>
        <v>0.12829862878666878</v>
      </c>
    </row>
    <row r="84" spans="1:12" ht="13.5" thickTop="1"/>
    <row r="86" spans="1:12">
      <c r="C86" s="496"/>
      <c r="D86" s="496"/>
      <c r="E86" s="496"/>
      <c r="F86" s="496"/>
      <c r="G86" s="496"/>
      <c r="H86" s="496"/>
      <c r="I86" s="496"/>
      <c r="J86" s="496"/>
    </row>
    <row r="87" spans="1:12">
      <c r="C87" s="4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Normal="110" zoomScaleSheetLayoutView="100" workbookViewId="0">
      <pane ySplit="2" topLeftCell="A3" activePane="bottomLeft" state="frozen"/>
      <selection activeCell="M97" activeCellId="1" sqref="A1 M97"/>
      <selection pane="bottomLeft" activeCell="C7" sqref="C7"/>
    </sheetView>
  </sheetViews>
  <sheetFormatPr defaultColWidth="9.140625" defaultRowHeight="12.75"/>
  <cols>
    <col min="1" max="1" width="54.140625" style="569" customWidth="1"/>
    <col min="2" max="2" width="4.7109375" style="570" customWidth="1"/>
    <col min="3" max="11" width="13.7109375" style="383" customWidth="1"/>
    <col min="12" max="16384" width="9.140625" style="383"/>
  </cols>
  <sheetData>
    <row r="1" spans="1:12">
      <c r="A1" s="2157" t="s">
        <v>1903</v>
      </c>
      <c r="B1" s="451"/>
      <c r="C1" s="452" t="s">
        <v>445</v>
      </c>
      <c r="D1" s="452" t="s">
        <v>446</v>
      </c>
      <c r="E1" s="452" t="s">
        <v>447</v>
      </c>
      <c r="F1" s="452" t="s">
        <v>448</v>
      </c>
      <c r="G1" s="452" t="s">
        <v>449</v>
      </c>
      <c r="H1" s="452" t="s">
        <v>450</v>
      </c>
      <c r="I1" s="452" t="s">
        <v>451</v>
      </c>
      <c r="J1" s="452" t="s">
        <v>452</v>
      </c>
      <c r="K1" s="452" t="s">
        <v>780</v>
      </c>
    </row>
    <row r="2" spans="1:12" ht="36">
      <c r="A2" s="2158"/>
      <c r="B2" s="530" t="s">
        <v>396</v>
      </c>
      <c r="C2" s="531" t="s">
        <v>1217</v>
      </c>
      <c r="D2" s="531" t="s">
        <v>925</v>
      </c>
      <c r="E2" s="531" t="s">
        <v>458</v>
      </c>
      <c r="F2" s="531" t="s">
        <v>157</v>
      </c>
      <c r="G2" s="531" t="s">
        <v>1046</v>
      </c>
      <c r="H2" s="531" t="s">
        <v>457</v>
      </c>
      <c r="I2" s="531" t="s">
        <v>427</v>
      </c>
      <c r="J2" s="531" t="s">
        <v>456</v>
      </c>
      <c r="K2" s="531" t="s">
        <v>159</v>
      </c>
    </row>
    <row r="3" spans="1:12" ht="16.7" customHeight="1">
      <c r="A3" s="1571" t="s">
        <v>115</v>
      </c>
      <c r="B3" s="1572"/>
      <c r="C3" s="1573"/>
      <c r="D3" s="1573"/>
      <c r="E3" s="1573"/>
      <c r="F3" s="1574"/>
      <c r="G3" s="1575"/>
      <c r="H3" s="1574"/>
      <c r="I3" s="1574"/>
      <c r="J3" s="1574"/>
      <c r="K3" s="1576"/>
    </row>
    <row r="4" spans="1:12" ht="15.75" customHeight="1">
      <c r="A4" s="1582" t="s">
        <v>397</v>
      </c>
      <c r="B4" s="1583">
        <v>1100</v>
      </c>
      <c r="C4" s="532"/>
      <c r="D4" s="532"/>
      <c r="E4" s="532"/>
      <c r="F4" s="533"/>
      <c r="G4" s="534"/>
      <c r="H4" s="535"/>
      <c r="I4" s="535"/>
      <c r="J4" s="535"/>
      <c r="K4" s="535"/>
    </row>
    <row r="5" spans="1:12" ht="15">
      <c r="A5" s="486" t="s">
        <v>1760</v>
      </c>
      <c r="B5" s="536"/>
      <c r="C5" s="1963">
        <v>31605552</v>
      </c>
      <c r="D5" s="1963">
        <v>4344147</v>
      </c>
      <c r="E5" s="1960">
        <v>4319168</v>
      </c>
      <c r="F5" s="1962">
        <v>3203586</v>
      </c>
      <c r="G5" s="1960">
        <v>458482</v>
      </c>
      <c r="H5" s="1960">
        <v>0</v>
      </c>
      <c r="I5" s="1960">
        <v>394918</v>
      </c>
      <c r="J5" s="1961">
        <v>1955476</v>
      </c>
      <c r="K5" s="1960">
        <v>362400</v>
      </c>
    </row>
    <row r="6" spans="1:12" ht="15">
      <c r="A6" s="462" t="s">
        <v>1761</v>
      </c>
      <c r="B6" s="468">
        <v>1130</v>
      </c>
      <c r="C6" s="1927">
        <v>0</v>
      </c>
      <c r="D6" s="1927">
        <v>152769</v>
      </c>
      <c r="E6" s="472"/>
      <c r="F6" s="472"/>
      <c r="G6" s="466"/>
      <c r="H6" s="466"/>
      <c r="I6" s="466"/>
      <c r="J6" s="466"/>
      <c r="K6" s="466"/>
    </row>
    <row r="7" spans="1:12">
      <c r="A7" s="462" t="s">
        <v>112</v>
      </c>
      <c r="B7" s="537">
        <v>1140</v>
      </c>
      <c r="C7" s="1927">
        <v>3175665</v>
      </c>
      <c r="D7" s="1927">
        <v>0</v>
      </c>
      <c r="E7" s="466"/>
      <c r="F7" s="1926">
        <v>0</v>
      </c>
      <c r="G7" s="1926">
        <v>0</v>
      </c>
      <c r="H7" s="1926">
        <v>0</v>
      </c>
      <c r="I7" s="466"/>
      <c r="J7" s="466"/>
      <c r="K7" s="466"/>
    </row>
    <row r="8" spans="1:12">
      <c r="A8" s="462" t="s">
        <v>433</v>
      </c>
      <c r="B8" s="468">
        <v>1150</v>
      </c>
      <c r="C8" s="472"/>
      <c r="D8" s="472"/>
      <c r="E8" s="473"/>
      <c r="F8" s="473"/>
      <c r="G8" s="1928">
        <v>537389</v>
      </c>
      <c r="H8" s="466"/>
      <c r="I8" s="466"/>
      <c r="J8" s="466"/>
      <c r="K8" s="466"/>
    </row>
    <row r="9" spans="1:12">
      <c r="A9" s="471" t="s">
        <v>113</v>
      </c>
      <c r="B9" s="468">
        <v>1160</v>
      </c>
      <c r="C9" s="466"/>
      <c r="D9" s="1926">
        <v>0</v>
      </c>
      <c r="E9" s="1926">
        <v>0</v>
      </c>
      <c r="F9" s="467"/>
      <c r="G9" s="472"/>
      <c r="H9" s="1926">
        <v>0</v>
      </c>
      <c r="I9" s="466"/>
      <c r="J9" s="466"/>
      <c r="K9" s="466"/>
    </row>
    <row r="10" spans="1:12">
      <c r="A10" s="471" t="s">
        <v>114</v>
      </c>
      <c r="B10" s="468">
        <v>1170</v>
      </c>
      <c r="C10" s="1926">
        <v>0</v>
      </c>
      <c r="D10" s="519"/>
      <c r="E10" s="519"/>
      <c r="F10" s="467"/>
      <c r="G10" s="466"/>
      <c r="H10" s="466"/>
      <c r="I10" s="466"/>
      <c r="J10" s="466"/>
      <c r="K10" s="466"/>
    </row>
    <row r="11" spans="1:12">
      <c r="A11" s="471" t="s">
        <v>434</v>
      </c>
      <c r="B11" s="538">
        <v>1190</v>
      </c>
      <c r="C11" s="1951">
        <v>0</v>
      </c>
      <c r="D11" s="1927">
        <v>0</v>
      </c>
      <c r="E11" s="1927">
        <v>0</v>
      </c>
      <c r="F11" s="1927">
        <v>0</v>
      </c>
      <c r="G11" s="1927">
        <v>0</v>
      </c>
      <c r="H11" s="1927">
        <v>0</v>
      </c>
      <c r="I11" s="1927">
        <v>0</v>
      </c>
      <c r="J11" s="1926">
        <v>0</v>
      </c>
      <c r="K11" s="1927">
        <v>0</v>
      </c>
      <c r="L11" s="539"/>
    </row>
    <row r="12" spans="1:12" ht="12.75" customHeight="1" thickBot="1">
      <c r="A12" s="1697" t="s">
        <v>29</v>
      </c>
      <c r="B12" s="1698"/>
      <c r="C12" s="1699">
        <v>34781217</v>
      </c>
      <c r="D12" s="1699">
        <v>4496916</v>
      </c>
      <c r="E12" s="1699">
        <v>4319168</v>
      </c>
      <c r="F12" s="1699">
        <v>3203586</v>
      </c>
      <c r="G12" s="1699">
        <v>995871</v>
      </c>
      <c r="H12" s="1699">
        <v>0</v>
      </c>
      <c r="I12" s="1699">
        <v>394918</v>
      </c>
      <c r="J12" s="1699">
        <v>1955476</v>
      </c>
      <c r="K12" s="1680">
        <v>362400</v>
      </c>
    </row>
    <row r="13" spans="1:12" ht="15.75" customHeight="1" thickTop="1">
      <c r="A13" s="1584" t="s">
        <v>471</v>
      </c>
      <c r="B13" s="1585">
        <v>1200</v>
      </c>
      <c r="C13" s="540"/>
      <c r="D13" s="540"/>
      <c r="E13" s="540"/>
      <c r="F13" s="540"/>
      <c r="G13" s="540"/>
      <c r="H13" s="540"/>
      <c r="I13" s="540"/>
      <c r="J13" s="540"/>
      <c r="K13" s="466"/>
    </row>
    <row r="14" spans="1:12">
      <c r="A14" s="462" t="s">
        <v>3</v>
      </c>
      <c r="B14" s="468">
        <v>1210</v>
      </c>
      <c r="C14" s="1951">
        <v>0</v>
      </c>
      <c r="D14" s="1927">
        <v>0</v>
      </c>
      <c r="E14" s="1927">
        <v>0</v>
      </c>
      <c r="F14" s="1927">
        <v>0</v>
      </c>
      <c r="G14" s="1927">
        <v>0</v>
      </c>
      <c r="H14" s="1927">
        <v>0</v>
      </c>
      <c r="I14" s="1927">
        <v>0</v>
      </c>
      <c r="J14" s="1926">
        <v>0</v>
      </c>
      <c r="K14" s="1927">
        <v>0</v>
      </c>
    </row>
    <row r="15" spans="1:12" ht="12.75" customHeight="1">
      <c r="A15" s="462" t="s">
        <v>97</v>
      </c>
      <c r="B15" s="468">
        <v>1220</v>
      </c>
      <c r="C15" s="1951">
        <v>0</v>
      </c>
      <c r="D15" s="1927">
        <v>0</v>
      </c>
      <c r="E15" s="1927">
        <v>0</v>
      </c>
      <c r="F15" s="1927">
        <v>0</v>
      </c>
      <c r="G15" s="1927">
        <v>0</v>
      </c>
      <c r="H15" s="1927">
        <v>0</v>
      </c>
      <c r="I15" s="1927">
        <v>0</v>
      </c>
      <c r="J15" s="1926">
        <v>0</v>
      </c>
      <c r="K15" s="1927">
        <v>0</v>
      </c>
    </row>
    <row r="16" spans="1:12" ht="15" customHeight="1">
      <c r="A16" s="462" t="s">
        <v>1762</v>
      </c>
      <c r="B16" s="537">
        <v>1230</v>
      </c>
      <c r="C16" s="1951">
        <v>1202876</v>
      </c>
      <c r="D16" s="1927">
        <v>0</v>
      </c>
      <c r="E16" s="1927">
        <v>0</v>
      </c>
      <c r="F16" s="1927">
        <v>0</v>
      </c>
      <c r="G16" s="1927">
        <v>49875</v>
      </c>
      <c r="H16" s="1927">
        <v>0</v>
      </c>
      <c r="I16" s="1927">
        <v>0</v>
      </c>
      <c r="J16" s="1926">
        <v>0</v>
      </c>
      <c r="K16" s="1927">
        <v>0</v>
      </c>
    </row>
    <row r="17" spans="1:11" ht="12.75" customHeight="1">
      <c r="A17" s="462" t="s">
        <v>840</v>
      </c>
      <c r="B17" s="468">
        <v>1290</v>
      </c>
      <c r="C17" s="1951">
        <v>0</v>
      </c>
      <c r="D17" s="1927">
        <v>0</v>
      </c>
      <c r="E17" s="1927">
        <v>0</v>
      </c>
      <c r="F17" s="1927">
        <v>0</v>
      </c>
      <c r="G17" s="1927">
        <v>0</v>
      </c>
      <c r="H17" s="1927">
        <v>0</v>
      </c>
      <c r="I17" s="1927">
        <v>0</v>
      </c>
      <c r="J17" s="1926">
        <v>0</v>
      </c>
      <c r="K17" s="1927">
        <v>0</v>
      </c>
    </row>
    <row r="18" spans="1:11" ht="12.75" customHeight="1" thickBot="1">
      <c r="A18" s="1700" t="s">
        <v>558</v>
      </c>
      <c r="B18" s="1701"/>
      <c r="C18" s="1702">
        <v>1202876</v>
      </c>
      <c r="D18" s="1702">
        <v>0</v>
      </c>
      <c r="E18" s="1702">
        <v>0</v>
      </c>
      <c r="F18" s="1702">
        <v>0</v>
      </c>
      <c r="G18" s="1702">
        <v>49875</v>
      </c>
      <c r="H18" s="1702">
        <v>0</v>
      </c>
      <c r="I18" s="1702">
        <v>0</v>
      </c>
      <c r="J18" s="1702">
        <v>0</v>
      </c>
      <c r="K18" s="1703">
        <v>0</v>
      </c>
    </row>
    <row r="19" spans="1:11" ht="15.75" customHeight="1" thickTop="1">
      <c r="A19" s="1584" t="s">
        <v>472</v>
      </c>
      <c r="B19" s="1585">
        <v>1300</v>
      </c>
      <c r="C19" s="541"/>
      <c r="D19" s="541"/>
      <c r="E19" s="541"/>
      <c r="F19" s="541"/>
      <c r="G19" s="540"/>
      <c r="H19" s="541"/>
      <c r="I19" s="541"/>
      <c r="J19" s="541"/>
      <c r="K19" s="542"/>
    </row>
    <row r="20" spans="1:11">
      <c r="A20" s="462" t="s">
        <v>1133</v>
      </c>
      <c r="B20" s="468">
        <v>1311</v>
      </c>
      <c r="C20" s="1927">
        <v>181812</v>
      </c>
      <c r="D20" s="466"/>
      <c r="E20" s="466"/>
      <c r="F20" s="466"/>
      <c r="G20" s="466"/>
      <c r="H20" s="466"/>
      <c r="I20" s="466"/>
      <c r="J20" s="466"/>
      <c r="K20" s="466"/>
    </row>
    <row r="21" spans="1:11" ht="12.75" customHeight="1">
      <c r="A21" s="462" t="s">
        <v>887</v>
      </c>
      <c r="B21" s="468">
        <v>1312</v>
      </c>
      <c r="C21" s="1951">
        <v>0</v>
      </c>
      <c r="D21" s="466"/>
      <c r="E21" s="466"/>
      <c r="F21" s="466"/>
      <c r="G21" s="466"/>
      <c r="H21" s="466"/>
      <c r="I21" s="466"/>
      <c r="J21" s="466"/>
      <c r="K21" s="466"/>
    </row>
    <row r="22" spans="1:11" ht="12.75" customHeight="1">
      <c r="A22" s="462" t="s">
        <v>1134</v>
      </c>
      <c r="B22" s="468">
        <v>1313</v>
      </c>
      <c r="C22" s="1951">
        <v>0</v>
      </c>
      <c r="D22" s="466"/>
      <c r="E22" s="466"/>
      <c r="F22" s="466"/>
      <c r="G22" s="466"/>
      <c r="H22" s="466"/>
      <c r="I22" s="466"/>
      <c r="J22" s="466"/>
      <c r="K22" s="466"/>
    </row>
    <row r="23" spans="1:11" ht="12.75" customHeight="1">
      <c r="A23" s="462" t="s">
        <v>1135</v>
      </c>
      <c r="B23" s="468">
        <v>1314</v>
      </c>
      <c r="C23" s="1933">
        <v>0</v>
      </c>
      <c r="D23" s="466"/>
      <c r="E23" s="466"/>
      <c r="F23" s="466"/>
      <c r="G23" s="466"/>
      <c r="H23" s="466"/>
      <c r="I23" s="466"/>
      <c r="J23" s="466"/>
      <c r="K23" s="466"/>
    </row>
    <row r="24" spans="1:11" ht="12.75" customHeight="1">
      <c r="A24" s="462" t="s">
        <v>1085</v>
      </c>
      <c r="B24" s="468">
        <v>1321</v>
      </c>
      <c r="C24" s="1951">
        <v>6446</v>
      </c>
      <c r="D24" s="466"/>
      <c r="E24" s="466"/>
      <c r="F24" s="466"/>
      <c r="G24" s="466"/>
      <c r="H24" s="466"/>
      <c r="I24" s="466"/>
      <c r="J24" s="466"/>
      <c r="K24" s="466"/>
    </row>
    <row r="25" spans="1:11" ht="12.75" customHeight="1">
      <c r="A25" s="462" t="s">
        <v>888</v>
      </c>
      <c r="B25" s="468">
        <v>1322</v>
      </c>
      <c r="C25" s="1951">
        <v>0</v>
      </c>
      <c r="D25" s="466"/>
      <c r="E25" s="466"/>
      <c r="F25" s="466"/>
      <c r="G25" s="466"/>
      <c r="H25" s="466"/>
      <c r="I25" s="466"/>
      <c r="J25" s="466"/>
      <c r="K25" s="466"/>
    </row>
    <row r="26" spans="1:11" ht="12.75" customHeight="1">
      <c r="A26" s="462" t="s">
        <v>1163</v>
      </c>
      <c r="B26" s="468">
        <v>1323</v>
      </c>
      <c r="C26" s="1951">
        <v>0</v>
      </c>
      <c r="D26" s="466"/>
      <c r="E26" s="466"/>
      <c r="F26" s="466"/>
      <c r="G26" s="466"/>
      <c r="H26" s="466"/>
      <c r="I26" s="466"/>
      <c r="J26" s="466"/>
      <c r="K26" s="466"/>
    </row>
    <row r="27" spans="1:11" ht="12.75" customHeight="1">
      <c r="A27" s="462" t="s">
        <v>1081</v>
      </c>
      <c r="B27" s="468">
        <v>1324</v>
      </c>
      <c r="C27" s="1933">
        <v>0</v>
      </c>
      <c r="D27" s="466"/>
      <c r="E27" s="466"/>
      <c r="F27" s="466"/>
      <c r="G27" s="466"/>
      <c r="H27" s="466"/>
      <c r="I27" s="466"/>
      <c r="J27" s="466"/>
      <c r="K27" s="466"/>
    </row>
    <row r="28" spans="1:11" ht="12.75" customHeight="1">
      <c r="A28" s="462" t="s">
        <v>1082</v>
      </c>
      <c r="B28" s="468">
        <v>1331</v>
      </c>
      <c r="C28" s="1951">
        <v>0</v>
      </c>
      <c r="D28" s="466"/>
      <c r="E28" s="466"/>
      <c r="F28" s="466"/>
      <c r="G28" s="466"/>
      <c r="H28" s="466"/>
      <c r="I28" s="466"/>
      <c r="J28" s="466"/>
      <c r="K28" s="466"/>
    </row>
    <row r="29" spans="1:11" ht="12.75" customHeight="1">
      <c r="A29" s="462" t="s">
        <v>889</v>
      </c>
      <c r="B29" s="468">
        <v>1332</v>
      </c>
      <c r="C29" s="1951">
        <v>0</v>
      </c>
      <c r="D29" s="466"/>
      <c r="E29" s="466"/>
      <c r="F29" s="466"/>
      <c r="G29" s="466"/>
      <c r="H29" s="466"/>
      <c r="I29" s="466"/>
      <c r="J29" s="466"/>
      <c r="K29" s="466"/>
    </row>
    <row r="30" spans="1:11" ht="12.75" customHeight="1">
      <c r="A30" s="462" t="s">
        <v>1084</v>
      </c>
      <c r="B30" s="468">
        <v>1333</v>
      </c>
      <c r="C30" s="1951">
        <v>0</v>
      </c>
      <c r="D30" s="466"/>
      <c r="E30" s="466"/>
      <c r="F30" s="466"/>
      <c r="G30" s="466"/>
      <c r="H30" s="466"/>
      <c r="I30" s="466"/>
      <c r="J30" s="466"/>
      <c r="K30" s="466"/>
    </row>
    <row r="31" spans="1:11" ht="12.75" customHeight="1">
      <c r="A31" s="462" t="s">
        <v>1083</v>
      </c>
      <c r="B31" s="468">
        <v>1334</v>
      </c>
      <c r="C31" s="1933">
        <v>0</v>
      </c>
      <c r="D31" s="466"/>
      <c r="E31" s="466"/>
      <c r="F31" s="466"/>
      <c r="G31" s="466"/>
      <c r="H31" s="466"/>
      <c r="I31" s="466"/>
      <c r="J31" s="466"/>
      <c r="K31" s="466"/>
    </row>
    <row r="32" spans="1:11" ht="12.75" customHeight="1">
      <c r="A32" s="462" t="s">
        <v>515</v>
      </c>
      <c r="B32" s="468">
        <v>1341</v>
      </c>
      <c r="C32" s="1951">
        <v>0</v>
      </c>
      <c r="D32" s="466"/>
      <c r="E32" s="466"/>
      <c r="F32" s="466"/>
      <c r="G32" s="466"/>
      <c r="H32" s="466"/>
      <c r="I32" s="466"/>
      <c r="J32" s="466"/>
      <c r="K32" s="466"/>
    </row>
    <row r="33" spans="1:11" ht="12.75" customHeight="1">
      <c r="A33" s="462" t="s">
        <v>890</v>
      </c>
      <c r="B33" s="468">
        <v>1342</v>
      </c>
      <c r="C33" s="1951">
        <v>0</v>
      </c>
      <c r="D33" s="466"/>
      <c r="E33" s="466"/>
      <c r="F33" s="466"/>
      <c r="G33" s="466"/>
      <c r="H33" s="466"/>
      <c r="I33" s="466"/>
      <c r="J33" s="466"/>
      <c r="K33" s="466"/>
    </row>
    <row r="34" spans="1:11" ht="12.75" customHeight="1">
      <c r="A34" s="462" t="s">
        <v>516</v>
      </c>
      <c r="B34" s="468">
        <v>1343</v>
      </c>
      <c r="C34" s="1951">
        <v>0</v>
      </c>
      <c r="D34" s="466"/>
      <c r="E34" s="466"/>
      <c r="F34" s="466"/>
      <c r="G34" s="466"/>
      <c r="H34" s="466"/>
      <c r="I34" s="466"/>
      <c r="J34" s="466"/>
      <c r="K34" s="466"/>
    </row>
    <row r="35" spans="1:11" ht="12.75" customHeight="1">
      <c r="A35" s="462" t="s">
        <v>514</v>
      </c>
      <c r="B35" s="468">
        <v>1344</v>
      </c>
      <c r="C35" s="1933">
        <v>0</v>
      </c>
      <c r="D35" s="466"/>
      <c r="E35" s="466"/>
      <c r="F35" s="466"/>
      <c r="G35" s="466"/>
      <c r="H35" s="466"/>
      <c r="I35" s="466"/>
      <c r="J35" s="466"/>
      <c r="K35" s="466"/>
    </row>
    <row r="36" spans="1:11" ht="12.75" customHeight="1">
      <c r="A36" s="462" t="s">
        <v>886</v>
      </c>
      <c r="B36" s="468">
        <v>1351</v>
      </c>
      <c r="C36" s="1951">
        <v>0</v>
      </c>
      <c r="D36" s="466"/>
      <c r="E36" s="466"/>
      <c r="F36" s="466"/>
      <c r="G36" s="466"/>
      <c r="H36" s="466"/>
      <c r="I36" s="466"/>
      <c r="J36" s="466"/>
      <c r="K36" s="466"/>
    </row>
    <row r="37" spans="1:11" ht="12.75" customHeight="1">
      <c r="A37" s="462" t="s">
        <v>891</v>
      </c>
      <c r="B37" s="468">
        <v>1352</v>
      </c>
      <c r="C37" s="1951">
        <v>0</v>
      </c>
      <c r="D37" s="466"/>
      <c r="E37" s="466"/>
      <c r="F37" s="466"/>
      <c r="G37" s="466"/>
      <c r="H37" s="466"/>
      <c r="I37" s="466"/>
      <c r="J37" s="466"/>
      <c r="K37" s="466"/>
    </row>
    <row r="38" spans="1:11" ht="12.75" customHeight="1">
      <c r="A38" s="462" t="s">
        <v>614</v>
      </c>
      <c r="B38" s="468">
        <v>1353</v>
      </c>
      <c r="C38" s="1951">
        <v>0</v>
      </c>
      <c r="D38" s="466"/>
      <c r="E38" s="466"/>
      <c r="F38" s="466"/>
      <c r="G38" s="466"/>
      <c r="H38" s="466"/>
      <c r="I38" s="466"/>
      <c r="J38" s="466"/>
      <c r="K38" s="466"/>
    </row>
    <row r="39" spans="1:11" ht="12.75" customHeight="1">
      <c r="A39" s="1487" t="s">
        <v>615</v>
      </c>
      <c r="B39" s="543">
        <v>1354</v>
      </c>
      <c r="C39" s="1933">
        <v>0</v>
      </c>
      <c r="D39" s="466"/>
      <c r="E39" s="466"/>
      <c r="F39" s="466"/>
      <c r="G39" s="466"/>
      <c r="H39" s="466"/>
      <c r="I39" s="466"/>
      <c r="J39" s="466"/>
      <c r="K39" s="466"/>
    </row>
    <row r="40" spans="1:11" ht="12.75" customHeight="1" thickBot="1">
      <c r="A40" s="1700" t="s">
        <v>559</v>
      </c>
      <c r="B40" s="1701"/>
      <c r="C40" s="1680">
        <v>188258</v>
      </c>
      <c r="D40" s="466"/>
      <c r="E40" s="466"/>
      <c r="F40" s="466"/>
      <c r="G40" s="466"/>
      <c r="H40" s="466"/>
      <c r="I40" s="466"/>
      <c r="J40" s="466"/>
      <c r="K40" s="466"/>
    </row>
    <row r="41" spans="1:11" ht="15.75" customHeight="1" thickTop="1">
      <c r="A41" s="1584" t="s">
        <v>292</v>
      </c>
      <c r="B41" s="1585">
        <v>1400</v>
      </c>
      <c r="C41" s="466"/>
      <c r="D41" s="466"/>
      <c r="E41" s="466"/>
      <c r="F41" s="514"/>
      <c r="G41" s="466"/>
      <c r="H41" s="466"/>
      <c r="I41" s="466"/>
      <c r="J41" s="466"/>
      <c r="K41" s="466"/>
    </row>
    <row r="42" spans="1:11" ht="12.75" customHeight="1">
      <c r="A42" s="462" t="s">
        <v>1136</v>
      </c>
      <c r="B42" s="468">
        <v>1411</v>
      </c>
      <c r="C42" s="466"/>
      <c r="D42" s="466"/>
      <c r="E42" s="466"/>
      <c r="F42" s="1928">
        <v>0</v>
      </c>
      <c r="G42" s="466"/>
      <c r="H42" s="466"/>
      <c r="I42" s="466"/>
      <c r="J42" s="466"/>
      <c r="K42" s="466"/>
    </row>
    <row r="43" spans="1:11" ht="12.75" customHeight="1">
      <c r="A43" s="462" t="s">
        <v>892</v>
      </c>
      <c r="B43" s="468">
        <v>1412</v>
      </c>
      <c r="C43" s="466"/>
      <c r="D43" s="466"/>
      <c r="E43" s="466"/>
      <c r="F43" s="1927">
        <v>39255</v>
      </c>
      <c r="G43" s="466"/>
      <c r="H43" s="466"/>
      <c r="I43" s="466"/>
      <c r="J43" s="466"/>
      <c r="K43" s="466"/>
    </row>
    <row r="44" spans="1:11" ht="12.75" customHeight="1">
      <c r="A44" s="462" t="s">
        <v>402</v>
      </c>
      <c r="B44" s="468">
        <v>1413</v>
      </c>
      <c r="C44" s="466"/>
      <c r="D44" s="466"/>
      <c r="E44" s="466"/>
      <c r="F44" s="1927">
        <v>0</v>
      </c>
      <c r="G44" s="466"/>
      <c r="H44" s="466"/>
      <c r="I44" s="466"/>
      <c r="J44" s="466"/>
      <c r="K44" s="466"/>
    </row>
    <row r="45" spans="1:11" ht="12.75" customHeight="1">
      <c r="A45" s="462" t="s">
        <v>258</v>
      </c>
      <c r="B45" s="468">
        <v>1415</v>
      </c>
      <c r="C45" s="466"/>
      <c r="D45" s="466"/>
      <c r="E45" s="466"/>
      <c r="F45" s="1927">
        <v>0</v>
      </c>
      <c r="G45" s="466"/>
      <c r="H45" s="466"/>
      <c r="I45" s="466"/>
      <c r="J45" s="466"/>
      <c r="K45" s="466"/>
    </row>
    <row r="46" spans="1:11" ht="12.75" customHeight="1">
      <c r="A46" s="462" t="s">
        <v>1236</v>
      </c>
      <c r="B46" s="468">
        <v>1416</v>
      </c>
      <c r="C46" s="466"/>
      <c r="D46" s="466"/>
      <c r="E46" s="466"/>
      <c r="F46" s="1926">
        <v>0</v>
      </c>
      <c r="G46" s="466"/>
      <c r="H46" s="466"/>
      <c r="I46" s="466"/>
      <c r="J46" s="466"/>
      <c r="K46" s="466"/>
    </row>
    <row r="47" spans="1:11" ht="12.75" customHeight="1">
      <c r="A47" s="462" t="s">
        <v>59</v>
      </c>
      <c r="B47" s="468">
        <v>1421</v>
      </c>
      <c r="C47" s="466"/>
      <c r="D47" s="466"/>
      <c r="E47" s="466"/>
      <c r="F47" s="1927">
        <v>0</v>
      </c>
      <c r="G47" s="466"/>
      <c r="H47" s="466"/>
      <c r="I47" s="466"/>
      <c r="J47" s="466"/>
      <c r="K47" s="466"/>
    </row>
    <row r="48" spans="1:11" ht="12.75" customHeight="1">
      <c r="A48" s="462" t="s">
        <v>893</v>
      </c>
      <c r="B48" s="468">
        <v>1422</v>
      </c>
      <c r="C48" s="466"/>
      <c r="D48" s="466"/>
      <c r="E48" s="466"/>
      <c r="F48" s="1927">
        <v>0</v>
      </c>
      <c r="G48" s="466"/>
      <c r="H48" s="466"/>
      <c r="I48" s="466"/>
      <c r="J48" s="466"/>
      <c r="K48" s="466"/>
    </row>
    <row r="49" spans="1:11" ht="12.75" customHeight="1">
      <c r="A49" s="462" t="s">
        <v>60</v>
      </c>
      <c r="B49" s="468">
        <v>1423</v>
      </c>
      <c r="C49" s="466"/>
      <c r="D49" s="466"/>
      <c r="E49" s="466"/>
      <c r="F49" s="1927">
        <v>0</v>
      </c>
      <c r="G49" s="466"/>
      <c r="H49" s="466"/>
      <c r="I49" s="466"/>
      <c r="J49" s="466"/>
      <c r="K49" s="466"/>
    </row>
    <row r="50" spans="1:11" ht="12.75" customHeight="1">
      <c r="A50" s="462" t="s">
        <v>61</v>
      </c>
      <c r="B50" s="468">
        <v>1424</v>
      </c>
      <c r="C50" s="466"/>
      <c r="D50" s="466"/>
      <c r="E50" s="466"/>
      <c r="F50" s="1926">
        <v>0</v>
      </c>
      <c r="G50" s="466"/>
      <c r="H50" s="466"/>
      <c r="I50" s="466"/>
      <c r="J50" s="466"/>
      <c r="K50" s="466"/>
    </row>
    <row r="51" spans="1:11" ht="12.75" customHeight="1">
      <c r="A51" s="1488" t="s">
        <v>62</v>
      </c>
      <c r="B51" s="544">
        <v>1431</v>
      </c>
      <c r="C51" s="466"/>
      <c r="D51" s="466"/>
      <c r="E51" s="466"/>
      <c r="F51" s="1927">
        <v>0</v>
      </c>
      <c r="G51" s="466"/>
      <c r="H51" s="466"/>
      <c r="I51" s="466"/>
      <c r="J51" s="466"/>
      <c r="K51" s="466"/>
    </row>
    <row r="52" spans="1:11" ht="12.75" customHeight="1">
      <c r="A52" s="1488" t="s">
        <v>1168</v>
      </c>
      <c r="B52" s="544">
        <v>1432</v>
      </c>
      <c r="C52" s="466"/>
      <c r="D52" s="466"/>
      <c r="E52" s="466"/>
      <c r="F52" s="1927">
        <v>0</v>
      </c>
      <c r="G52" s="466"/>
      <c r="H52" s="466"/>
      <c r="I52" s="466"/>
      <c r="J52" s="466"/>
      <c r="K52" s="466"/>
    </row>
    <row r="53" spans="1:11" ht="12.75" customHeight="1">
      <c r="A53" s="1488" t="s">
        <v>63</v>
      </c>
      <c r="B53" s="544">
        <v>1433</v>
      </c>
      <c r="C53" s="466"/>
      <c r="D53" s="466"/>
      <c r="E53" s="466"/>
      <c r="F53" s="1927">
        <v>0</v>
      </c>
      <c r="G53" s="466"/>
      <c r="H53" s="466"/>
      <c r="I53" s="466"/>
      <c r="J53" s="466"/>
      <c r="K53" s="466"/>
    </row>
    <row r="54" spans="1:11" ht="12.75" customHeight="1">
      <c r="A54" s="1488" t="s">
        <v>64</v>
      </c>
      <c r="B54" s="544">
        <v>1434</v>
      </c>
      <c r="C54" s="466"/>
      <c r="D54" s="466"/>
      <c r="E54" s="466"/>
      <c r="F54" s="1926">
        <v>0</v>
      </c>
      <c r="G54" s="466"/>
      <c r="H54" s="466"/>
      <c r="I54" s="466"/>
      <c r="J54" s="466"/>
      <c r="K54" s="466"/>
    </row>
    <row r="55" spans="1:11" ht="12.75" customHeight="1">
      <c r="A55" s="1488" t="s">
        <v>65</v>
      </c>
      <c r="B55" s="544">
        <v>1441</v>
      </c>
      <c r="C55" s="466"/>
      <c r="D55" s="466"/>
      <c r="E55" s="466"/>
      <c r="F55" s="1927">
        <v>0</v>
      </c>
      <c r="G55" s="466"/>
      <c r="H55" s="466"/>
      <c r="I55" s="466"/>
      <c r="J55" s="466"/>
      <c r="K55" s="466"/>
    </row>
    <row r="56" spans="1:11" ht="12.75" customHeight="1">
      <c r="A56" s="1488" t="s">
        <v>1169</v>
      </c>
      <c r="B56" s="544">
        <v>1442</v>
      </c>
      <c r="C56" s="466"/>
      <c r="D56" s="466"/>
      <c r="E56" s="466"/>
      <c r="F56" s="1927">
        <v>0</v>
      </c>
      <c r="G56" s="466"/>
      <c r="H56" s="466"/>
      <c r="I56" s="466"/>
      <c r="J56" s="466"/>
      <c r="K56" s="466"/>
    </row>
    <row r="57" spans="1:11" ht="12.75" customHeight="1">
      <c r="A57" s="1488" t="s">
        <v>510</v>
      </c>
      <c r="B57" s="544">
        <v>1443</v>
      </c>
      <c r="C57" s="466"/>
      <c r="D57" s="466"/>
      <c r="E57" s="466"/>
      <c r="F57" s="1927">
        <v>0</v>
      </c>
      <c r="G57" s="466"/>
      <c r="H57" s="466"/>
      <c r="I57" s="466"/>
      <c r="J57" s="466"/>
      <c r="K57" s="466"/>
    </row>
    <row r="58" spans="1:11" ht="12.75" customHeight="1">
      <c r="A58" s="1488" t="s">
        <v>67</v>
      </c>
      <c r="B58" s="544">
        <v>1444</v>
      </c>
      <c r="C58" s="466"/>
      <c r="D58" s="466"/>
      <c r="E58" s="466"/>
      <c r="F58" s="1927">
        <v>0</v>
      </c>
      <c r="G58" s="466"/>
      <c r="H58" s="466"/>
      <c r="I58" s="466"/>
      <c r="J58" s="466"/>
      <c r="K58" s="466"/>
    </row>
    <row r="59" spans="1:11" ht="12.75" customHeight="1">
      <c r="A59" s="1488" t="s">
        <v>933</v>
      </c>
      <c r="B59" s="544">
        <v>1451</v>
      </c>
      <c r="C59" s="466"/>
      <c r="D59" s="466"/>
      <c r="E59" s="466"/>
      <c r="F59" s="1927">
        <v>0</v>
      </c>
      <c r="G59" s="466"/>
      <c r="H59" s="466"/>
      <c r="I59" s="466"/>
      <c r="J59" s="466"/>
      <c r="K59" s="466"/>
    </row>
    <row r="60" spans="1:11" ht="12.75" customHeight="1">
      <c r="A60" s="1488" t="s">
        <v>1170</v>
      </c>
      <c r="B60" s="544">
        <v>1452</v>
      </c>
      <c r="C60" s="466"/>
      <c r="D60" s="466"/>
      <c r="E60" s="466"/>
      <c r="F60" s="1927">
        <v>0</v>
      </c>
      <c r="G60" s="466"/>
      <c r="H60" s="466"/>
      <c r="I60" s="466"/>
      <c r="J60" s="466"/>
      <c r="K60" s="466"/>
    </row>
    <row r="61" spans="1:11" ht="12.75" customHeight="1">
      <c r="A61" s="549" t="s">
        <v>934</v>
      </c>
      <c r="B61" s="544">
        <v>1453</v>
      </c>
      <c r="C61" s="466"/>
      <c r="D61" s="466"/>
      <c r="E61" s="466"/>
      <c r="F61" s="1927">
        <v>0</v>
      </c>
      <c r="G61" s="466"/>
      <c r="H61" s="466"/>
      <c r="I61" s="466"/>
      <c r="J61" s="466"/>
      <c r="K61" s="466"/>
    </row>
    <row r="62" spans="1:11" ht="12.75" customHeight="1">
      <c r="A62" s="1489" t="s">
        <v>935</v>
      </c>
      <c r="B62" s="545">
        <v>1454</v>
      </c>
      <c r="C62" s="466"/>
      <c r="D62" s="466"/>
      <c r="E62" s="466"/>
      <c r="F62" s="1926">
        <v>0</v>
      </c>
      <c r="G62" s="466"/>
      <c r="H62" s="466"/>
      <c r="I62" s="466"/>
      <c r="J62" s="466"/>
      <c r="K62" s="466"/>
    </row>
    <row r="63" spans="1:11" ht="12.75" customHeight="1" thickBot="1">
      <c r="A63" s="1700" t="s">
        <v>506</v>
      </c>
      <c r="B63" s="1701"/>
      <c r="C63" s="466"/>
      <c r="D63" s="466"/>
      <c r="E63" s="466"/>
      <c r="F63" s="1680">
        <v>39255</v>
      </c>
      <c r="G63" s="466"/>
      <c r="H63" s="466"/>
      <c r="I63" s="466"/>
      <c r="J63" s="466"/>
      <c r="K63" s="466"/>
    </row>
    <row r="64" spans="1:11" ht="15.75" customHeight="1" thickTop="1">
      <c r="A64" s="1584" t="s">
        <v>474</v>
      </c>
      <c r="B64" s="1585">
        <v>1500</v>
      </c>
      <c r="C64" s="466"/>
      <c r="D64" s="466"/>
      <c r="E64" s="466"/>
      <c r="F64" s="466"/>
      <c r="G64" s="466"/>
      <c r="H64" s="466"/>
      <c r="I64" s="466"/>
      <c r="J64" s="466"/>
      <c r="K64" s="466"/>
    </row>
    <row r="65" spans="1:11" ht="12.75" customHeight="1">
      <c r="A65" s="462" t="s">
        <v>568</v>
      </c>
      <c r="B65" s="468">
        <v>1510</v>
      </c>
      <c r="C65" s="1927">
        <v>677711</v>
      </c>
      <c r="D65" s="1927">
        <v>0</v>
      </c>
      <c r="E65" s="1927">
        <v>0</v>
      </c>
      <c r="F65" s="1926">
        <v>0</v>
      </c>
      <c r="G65" s="1927">
        <v>11780</v>
      </c>
      <c r="H65" s="1927">
        <v>36023</v>
      </c>
      <c r="I65" s="1927">
        <v>0</v>
      </c>
      <c r="J65" s="1926">
        <v>33771</v>
      </c>
      <c r="K65" s="1927">
        <v>49673</v>
      </c>
    </row>
    <row r="66" spans="1:11" ht="12.75" customHeight="1">
      <c r="A66" s="462" t="s">
        <v>700</v>
      </c>
      <c r="B66" s="468">
        <v>1520</v>
      </c>
      <c r="C66" s="1927">
        <v>0</v>
      </c>
      <c r="D66" s="1927">
        <v>0</v>
      </c>
      <c r="E66" s="1927">
        <v>0</v>
      </c>
      <c r="F66" s="1927">
        <v>0</v>
      </c>
      <c r="G66" s="1927">
        <v>0</v>
      </c>
      <c r="H66" s="1927">
        <v>0</v>
      </c>
      <c r="I66" s="1927">
        <v>0</v>
      </c>
      <c r="J66" s="1926">
        <v>0</v>
      </c>
      <c r="K66" s="1927">
        <v>0</v>
      </c>
    </row>
    <row r="67" spans="1:11" ht="12.75" customHeight="1" thickBot="1">
      <c r="A67" s="1700" t="s">
        <v>507</v>
      </c>
      <c r="B67" s="1701"/>
      <c r="C67" s="1680">
        <v>677711</v>
      </c>
      <c r="D67" s="1680">
        <v>0</v>
      </c>
      <c r="E67" s="1680">
        <v>0</v>
      </c>
      <c r="F67" s="1680">
        <v>0</v>
      </c>
      <c r="G67" s="1680">
        <v>11780</v>
      </c>
      <c r="H67" s="1680">
        <v>36023</v>
      </c>
      <c r="I67" s="1680">
        <v>0</v>
      </c>
      <c r="J67" s="1680">
        <v>33771</v>
      </c>
      <c r="K67" s="1680">
        <v>49673</v>
      </c>
    </row>
    <row r="68" spans="1:11" ht="15.75" customHeight="1" thickTop="1">
      <c r="A68" s="1584" t="s">
        <v>475</v>
      </c>
      <c r="B68" s="1586">
        <v>1600</v>
      </c>
      <c r="C68" s="540"/>
      <c r="D68" s="466"/>
      <c r="E68" s="466"/>
      <c r="F68" s="466"/>
      <c r="G68" s="466"/>
      <c r="H68" s="466"/>
      <c r="I68" s="466"/>
      <c r="J68" s="466"/>
      <c r="K68" s="466"/>
    </row>
    <row r="69" spans="1:11" ht="12.75" customHeight="1">
      <c r="A69" s="462" t="s">
        <v>687</v>
      </c>
      <c r="B69" s="468">
        <v>1611</v>
      </c>
      <c r="C69" s="1927">
        <v>118590</v>
      </c>
      <c r="D69" s="466"/>
      <c r="E69" s="466"/>
      <c r="F69" s="466"/>
      <c r="G69" s="466"/>
      <c r="H69" s="466"/>
      <c r="I69" s="466"/>
      <c r="J69" s="466"/>
      <c r="K69" s="466"/>
    </row>
    <row r="70" spans="1:11" ht="12.75" customHeight="1">
      <c r="A70" s="462" t="s">
        <v>1054</v>
      </c>
      <c r="B70" s="468">
        <v>1612</v>
      </c>
      <c r="C70" s="1951">
        <v>19096</v>
      </c>
      <c r="D70" s="466"/>
      <c r="E70" s="466"/>
      <c r="F70" s="466"/>
      <c r="G70" s="466"/>
      <c r="H70" s="466"/>
      <c r="I70" s="466"/>
      <c r="J70" s="466"/>
      <c r="K70" s="466"/>
    </row>
    <row r="71" spans="1:11" ht="12.75" customHeight="1">
      <c r="A71" s="462" t="s">
        <v>291</v>
      </c>
      <c r="B71" s="468">
        <v>1613</v>
      </c>
      <c r="C71" s="1951">
        <v>194918</v>
      </c>
      <c r="D71" s="466"/>
      <c r="E71" s="466"/>
      <c r="F71" s="466"/>
      <c r="G71" s="466"/>
      <c r="H71" s="466"/>
      <c r="I71" s="466"/>
      <c r="J71" s="466"/>
      <c r="K71" s="466"/>
    </row>
    <row r="72" spans="1:11" ht="12.75" customHeight="1">
      <c r="A72" s="462" t="s">
        <v>24</v>
      </c>
      <c r="B72" s="468">
        <v>1614</v>
      </c>
      <c r="C72" s="1951">
        <v>0</v>
      </c>
      <c r="D72" s="466"/>
      <c r="E72" s="466"/>
      <c r="F72" s="466"/>
      <c r="G72" s="466"/>
      <c r="H72" s="466"/>
      <c r="I72" s="466"/>
      <c r="J72" s="466"/>
      <c r="K72" s="466"/>
    </row>
    <row r="73" spans="1:11" ht="12.75" customHeight="1">
      <c r="A73" s="462" t="s">
        <v>1055</v>
      </c>
      <c r="B73" s="468">
        <v>1620</v>
      </c>
      <c r="C73" s="1951">
        <v>94957</v>
      </c>
      <c r="D73" s="466"/>
      <c r="E73" s="466"/>
      <c r="F73" s="466"/>
      <c r="G73" s="466"/>
      <c r="H73" s="466"/>
      <c r="I73" s="466"/>
      <c r="J73" s="466"/>
      <c r="K73" s="466"/>
    </row>
    <row r="74" spans="1:11" ht="12.75" customHeight="1">
      <c r="A74" s="462" t="s">
        <v>25</v>
      </c>
      <c r="B74" s="468">
        <v>1690</v>
      </c>
      <c r="C74" s="1951">
        <v>75155</v>
      </c>
      <c r="D74" s="466"/>
      <c r="E74" s="466"/>
      <c r="F74" s="466"/>
      <c r="G74" s="466"/>
      <c r="H74" s="466"/>
      <c r="I74" s="466"/>
      <c r="J74" s="466"/>
      <c r="K74" s="466"/>
    </row>
    <row r="75" spans="1:11" ht="12.75" customHeight="1" thickBot="1">
      <c r="A75" s="1700" t="s">
        <v>569</v>
      </c>
      <c r="B75" s="1701"/>
      <c r="C75" s="1680">
        <v>502716</v>
      </c>
      <c r="D75" s="466"/>
      <c r="E75" s="466"/>
      <c r="F75" s="466"/>
      <c r="G75" s="466"/>
      <c r="H75" s="466"/>
      <c r="I75" s="466"/>
      <c r="J75" s="466"/>
      <c r="K75" s="466"/>
    </row>
    <row r="76" spans="1:11" ht="15.75" customHeight="1" thickTop="1">
      <c r="A76" s="1584" t="s">
        <v>936</v>
      </c>
      <c r="B76" s="1586">
        <v>1700</v>
      </c>
      <c r="C76" s="540"/>
      <c r="D76" s="466"/>
      <c r="E76" s="466"/>
      <c r="F76" s="466"/>
      <c r="G76" s="466"/>
      <c r="H76" s="466"/>
      <c r="I76" s="466"/>
      <c r="J76" s="466"/>
      <c r="K76" s="466"/>
    </row>
    <row r="77" spans="1:11" ht="12.75" customHeight="1">
      <c r="A77" s="462" t="s">
        <v>570</v>
      </c>
      <c r="B77" s="468">
        <v>1711</v>
      </c>
      <c r="C77" s="1943">
        <v>12857</v>
      </c>
      <c r="D77" s="1927">
        <v>0</v>
      </c>
      <c r="E77" s="466"/>
      <c r="F77" s="466"/>
      <c r="G77" s="466"/>
      <c r="H77" s="466"/>
      <c r="I77" s="466"/>
      <c r="J77" s="466"/>
      <c r="K77" s="466"/>
    </row>
    <row r="78" spans="1:11" ht="12.75" customHeight="1">
      <c r="A78" s="462" t="s">
        <v>78</v>
      </c>
      <c r="B78" s="468">
        <v>1719</v>
      </c>
      <c r="C78" s="1951">
        <v>0</v>
      </c>
      <c r="D78" s="1927">
        <v>0</v>
      </c>
      <c r="E78" s="466"/>
      <c r="F78" s="466"/>
      <c r="G78" s="466"/>
      <c r="H78" s="466"/>
      <c r="I78" s="466"/>
      <c r="J78" s="466"/>
      <c r="K78" s="466"/>
    </row>
    <row r="79" spans="1:11" ht="12.75" customHeight="1">
      <c r="A79" s="462" t="s">
        <v>571</v>
      </c>
      <c r="B79" s="468">
        <v>1720</v>
      </c>
      <c r="C79" s="1951">
        <v>0</v>
      </c>
      <c r="D79" s="1927">
        <v>0</v>
      </c>
      <c r="E79" s="466"/>
      <c r="F79" s="466"/>
      <c r="G79" s="466"/>
      <c r="H79" s="466"/>
      <c r="I79" s="466"/>
      <c r="J79" s="466"/>
      <c r="K79" s="466"/>
    </row>
    <row r="80" spans="1:11" ht="12.75" customHeight="1">
      <c r="A80" s="462" t="s">
        <v>572</v>
      </c>
      <c r="B80" s="468">
        <v>1730</v>
      </c>
      <c r="C80" s="1951">
        <v>0</v>
      </c>
      <c r="D80" s="1927">
        <v>0</v>
      </c>
      <c r="E80" s="466"/>
      <c r="F80" s="466"/>
      <c r="G80" s="466"/>
      <c r="H80" s="466"/>
      <c r="I80" s="466"/>
      <c r="J80" s="466"/>
      <c r="K80" s="466"/>
    </row>
    <row r="81" spans="1:11" ht="12.75" customHeight="1">
      <c r="A81" s="462" t="s">
        <v>26</v>
      </c>
      <c r="B81" s="468">
        <v>1790</v>
      </c>
      <c r="C81" s="1951">
        <v>0</v>
      </c>
      <c r="D81" s="1927">
        <v>0</v>
      </c>
      <c r="E81" s="466"/>
      <c r="F81" s="466"/>
      <c r="G81" s="466"/>
      <c r="H81" s="466"/>
      <c r="I81" s="466"/>
      <c r="J81" s="466"/>
      <c r="K81" s="466"/>
    </row>
    <row r="82" spans="1:11" ht="12.75" customHeight="1" thickBot="1">
      <c r="A82" s="1700" t="s">
        <v>259</v>
      </c>
      <c r="B82" s="1701"/>
      <c r="C82" s="1699">
        <v>12857</v>
      </c>
      <c r="D82" s="1680">
        <v>0</v>
      </c>
      <c r="E82" s="466"/>
      <c r="F82" s="466"/>
      <c r="G82" s="466"/>
      <c r="H82" s="466"/>
      <c r="I82" s="466"/>
      <c r="J82" s="466"/>
      <c r="K82" s="466"/>
    </row>
    <row r="83" spans="1:11" ht="15.75" customHeight="1" thickTop="1">
      <c r="A83" s="1584" t="s">
        <v>260</v>
      </c>
      <c r="B83" s="1586">
        <v>1800</v>
      </c>
      <c r="C83" s="540"/>
      <c r="D83" s="466"/>
      <c r="E83" s="466"/>
      <c r="F83" s="466"/>
      <c r="G83" s="466"/>
      <c r="H83" s="466"/>
      <c r="I83" s="466"/>
      <c r="J83" s="466"/>
      <c r="K83" s="466"/>
    </row>
    <row r="84" spans="1:11" ht="12.75" customHeight="1">
      <c r="A84" s="462" t="s">
        <v>573</v>
      </c>
      <c r="B84" s="468">
        <v>1811</v>
      </c>
      <c r="C84" s="1927">
        <v>0</v>
      </c>
      <c r="D84" s="466"/>
      <c r="E84" s="466"/>
      <c r="F84" s="466"/>
      <c r="G84" s="466"/>
      <c r="H84" s="466"/>
      <c r="I84" s="466"/>
      <c r="J84" s="466"/>
      <c r="K84" s="466"/>
    </row>
    <row r="85" spans="1:11" ht="12.75" customHeight="1">
      <c r="A85" s="462" t="s">
        <v>574</v>
      </c>
      <c r="B85" s="468">
        <v>1812</v>
      </c>
      <c r="C85" s="1951">
        <v>0</v>
      </c>
      <c r="D85" s="466"/>
      <c r="E85" s="466"/>
      <c r="F85" s="466"/>
      <c r="G85" s="466"/>
      <c r="H85" s="466"/>
      <c r="I85" s="466"/>
      <c r="J85" s="466"/>
      <c r="K85" s="466"/>
    </row>
    <row r="86" spans="1:11" ht="12.75" customHeight="1">
      <c r="A86" s="462" t="s">
        <v>1056</v>
      </c>
      <c r="B86" s="468">
        <v>1813</v>
      </c>
      <c r="C86" s="1951">
        <v>0</v>
      </c>
      <c r="D86" s="466"/>
      <c r="E86" s="466"/>
      <c r="F86" s="466"/>
      <c r="G86" s="466"/>
      <c r="H86" s="466"/>
      <c r="I86" s="466"/>
      <c r="J86" s="466"/>
      <c r="K86" s="466"/>
    </row>
    <row r="87" spans="1:11" ht="12.75" customHeight="1">
      <c r="A87" s="462" t="s">
        <v>79</v>
      </c>
      <c r="B87" s="468">
        <v>1819</v>
      </c>
      <c r="C87" s="1951">
        <v>0</v>
      </c>
      <c r="D87" s="466"/>
      <c r="E87" s="466"/>
      <c r="F87" s="466"/>
      <c r="G87" s="466"/>
      <c r="H87" s="466"/>
      <c r="I87" s="466"/>
      <c r="J87" s="466"/>
      <c r="K87" s="466"/>
    </row>
    <row r="88" spans="1:11" ht="12.75" customHeight="1">
      <c r="A88" s="462" t="s">
        <v>575</v>
      </c>
      <c r="B88" s="468">
        <v>1821</v>
      </c>
      <c r="C88" s="1951">
        <v>0</v>
      </c>
      <c r="D88" s="466"/>
      <c r="E88" s="466"/>
      <c r="F88" s="466"/>
      <c r="G88" s="466"/>
      <c r="H88" s="466"/>
      <c r="I88" s="466"/>
      <c r="J88" s="466"/>
      <c r="K88" s="466"/>
    </row>
    <row r="89" spans="1:11" ht="12.75" customHeight="1">
      <c r="A89" s="462" t="s">
        <v>738</v>
      </c>
      <c r="B89" s="468">
        <v>1822</v>
      </c>
      <c r="C89" s="1951">
        <v>0</v>
      </c>
      <c r="D89" s="466"/>
      <c r="E89" s="466"/>
      <c r="F89" s="466"/>
      <c r="G89" s="466"/>
      <c r="H89" s="466"/>
      <c r="I89" s="466"/>
      <c r="J89" s="466"/>
      <c r="K89" s="466"/>
    </row>
    <row r="90" spans="1:11" ht="12.75" customHeight="1">
      <c r="A90" s="462" t="s">
        <v>141</v>
      </c>
      <c r="B90" s="468">
        <v>1823</v>
      </c>
      <c r="C90" s="1951">
        <v>0</v>
      </c>
      <c r="D90" s="466"/>
      <c r="E90" s="466"/>
      <c r="F90" s="466"/>
      <c r="G90" s="466"/>
      <c r="H90" s="466"/>
      <c r="I90" s="466"/>
      <c r="J90" s="466"/>
      <c r="K90" s="466"/>
    </row>
    <row r="91" spans="1:11" ht="12.75" customHeight="1">
      <c r="A91" s="462" t="s">
        <v>27</v>
      </c>
      <c r="B91" s="468">
        <v>1829</v>
      </c>
      <c r="C91" s="1951">
        <v>0</v>
      </c>
      <c r="D91" s="466"/>
      <c r="E91" s="466"/>
      <c r="F91" s="466"/>
      <c r="G91" s="466"/>
      <c r="H91" s="466"/>
      <c r="I91" s="466"/>
      <c r="J91" s="466"/>
      <c r="K91" s="466"/>
    </row>
    <row r="92" spans="1:11" ht="12.75" customHeight="1">
      <c r="A92" s="462" t="s">
        <v>786</v>
      </c>
      <c r="B92" s="468">
        <v>1890</v>
      </c>
      <c r="C92" s="1951">
        <v>0</v>
      </c>
      <c r="D92" s="466"/>
      <c r="E92" s="466"/>
      <c r="F92" s="466"/>
      <c r="G92" s="466"/>
      <c r="H92" s="466"/>
      <c r="I92" s="466"/>
      <c r="J92" s="466"/>
      <c r="K92" s="466"/>
    </row>
    <row r="93" spans="1:11" ht="12.75" customHeight="1" thickBot="1">
      <c r="A93" s="1700" t="s">
        <v>261</v>
      </c>
      <c r="B93" s="1701"/>
      <c r="C93" s="1680">
        <v>0</v>
      </c>
      <c r="D93" s="466"/>
      <c r="E93" s="466"/>
      <c r="F93" s="466"/>
      <c r="G93" s="466"/>
      <c r="H93" s="466"/>
      <c r="I93" s="466"/>
      <c r="J93" s="466"/>
      <c r="K93" s="466"/>
    </row>
    <row r="94" spans="1:11" ht="15.75" customHeight="1" thickTop="1">
      <c r="A94" s="1584" t="s">
        <v>1199</v>
      </c>
      <c r="B94" s="1586">
        <v>1900</v>
      </c>
      <c r="C94" s="540"/>
      <c r="D94" s="514"/>
      <c r="E94" s="466"/>
      <c r="F94" s="466"/>
      <c r="G94" s="466"/>
      <c r="H94" s="466"/>
      <c r="I94" s="466"/>
      <c r="J94" s="466"/>
      <c r="K94" s="466"/>
    </row>
    <row r="95" spans="1:11" ht="12.75" customHeight="1">
      <c r="A95" s="462" t="s">
        <v>1124</v>
      </c>
      <c r="B95" s="468">
        <v>1910</v>
      </c>
      <c r="C95" s="1927">
        <v>0</v>
      </c>
      <c r="D95" s="1951">
        <v>79608</v>
      </c>
      <c r="E95" s="514"/>
      <c r="F95" s="514"/>
      <c r="G95" s="514"/>
      <c r="H95" s="514"/>
      <c r="I95" s="514"/>
      <c r="J95" s="514"/>
      <c r="K95" s="514"/>
    </row>
    <row r="96" spans="1:11" ht="12.75" customHeight="1">
      <c r="A96" s="462" t="s">
        <v>409</v>
      </c>
      <c r="B96" s="468">
        <v>1920</v>
      </c>
      <c r="C96" s="1951">
        <v>0</v>
      </c>
      <c r="D96" s="1951">
        <v>0</v>
      </c>
      <c r="E96" s="1929">
        <v>0</v>
      </c>
      <c r="F96" s="1932">
        <v>0</v>
      </c>
      <c r="G96" s="1932">
        <v>0</v>
      </c>
      <c r="H96" s="1932">
        <v>0</v>
      </c>
      <c r="I96" s="1932">
        <v>0</v>
      </c>
      <c r="J96" s="1932">
        <v>0</v>
      </c>
      <c r="K96" s="1932">
        <v>0</v>
      </c>
    </row>
    <row r="97" spans="1:12" ht="12.75" customHeight="1">
      <c r="A97" s="1487" t="s">
        <v>262</v>
      </c>
      <c r="B97" s="546">
        <v>1930</v>
      </c>
      <c r="C97" s="1933">
        <v>0</v>
      </c>
      <c r="D97" s="1926">
        <v>0</v>
      </c>
      <c r="E97" s="1930">
        <v>0</v>
      </c>
      <c r="F97" s="1926">
        <v>0</v>
      </c>
      <c r="G97" s="1926">
        <v>0</v>
      </c>
      <c r="H97" s="1926">
        <v>0</v>
      </c>
      <c r="I97" s="1926">
        <v>0</v>
      </c>
      <c r="J97" s="1926">
        <v>0</v>
      </c>
      <c r="K97" s="1926">
        <v>0</v>
      </c>
    </row>
    <row r="98" spans="1:12" ht="12.75" customHeight="1">
      <c r="A98" s="462" t="s">
        <v>198</v>
      </c>
      <c r="B98" s="468">
        <v>1940</v>
      </c>
      <c r="C98" s="1933">
        <v>26</v>
      </c>
      <c r="D98" s="1927">
        <v>0</v>
      </c>
      <c r="E98" s="505"/>
      <c r="F98" s="1927">
        <v>0</v>
      </c>
      <c r="G98" s="505"/>
      <c r="H98" s="505"/>
      <c r="I98" s="503"/>
      <c r="J98" s="505"/>
      <c r="K98" s="505"/>
    </row>
    <row r="99" spans="1:12" ht="12.75" customHeight="1">
      <c r="A99" s="462" t="s">
        <v>875</v>
      </c>
      <c r="B99" s="468">
        <v>1950</v>
      </c>
      <c r="C99" s="1933">
        <v>47470</v>
      </c>
      <c r="D99" s="1927">
        <v>0</v>
      </c>
      <c r="E99" s="1927">
        <v>0</v>
      </c>
      <c r="F99" s="1927">
        <v>0</v>
      </c>
      <c r="G99" s="1927">
        <v>0</v>
      </c>
      <c r="H99" s="1927">
        <v>0</v>
      </c>
      <c r="I99" s="466"/>
      <c r="J99" s="1926">
        <v>0</v>
      </c>
      <c r="K99" s="1927">
        <v>0</v>
      </c>
    </row>
    <row r="100" spans="1:12" ht="12.75" customHeight="1">
      <c r="A100" s="462" t="s">
        <v>263</v>
      </c>
      <c r="B100" s="468">
        <v>1960</v>
      </c>
      <c r="C100" s="1933">
        <v>0</v>
      </c>
      <c r="D100" s="1933">
        <v>0</v>
      </c>
      <c r="E100" s="1933">
        <v>0</v>
      </c>
      <c r="F100" s="1933">
        <v>0</v>
      </c>
      <c r="G100" s="1933">
        <v>0</v>
      </c>
      <c r="H100" s="1933">
        <v>0</v>
      </c>
      <c r="I100" s="1926">
        <v>0</v>
      </c>
      <c r="J100" s="1933">
        <v>0</v>
      </c>
      <c r="K100" s="1926">
        <v>0</v>
      </c>
    </row>
    <row r="101" spans="1:12" ht="12.75" customHeight="1">
      <c r="A101" s="462" t="s">
        <v>264</v>
      </c>
      <c r="B101" s="468">
        <v>1970</v>
      </c>
      <c r="C101" s="1933">
        <v>0</v>
      </c>
      <c r="D101" s="519"/>
      <c r="E101" s="476"/>
      <c r="F101" s="519"/>
      <c r="G101" s="472"/>
      <c r="H101" s="519"/>
      <c r="I101" s="466"/>
      <c r="J101" s="472"/>
      <c r="K101" s="472"/>
    </row>
    <row r="102" spans="1:12" ht="12.75" customHeight="1">
      <c r="A102" s="462" t="s">
        <v>265</v>
      </c>
      <c r="B102" s="468">
        <v>1980</v>
      </c>
      <c r="C102" s="1933">
        <v>0</v>
      </c>
      <c r="D102" s="1933">
        <v>0</v>
      </c>
      <c r="E102" s="1933">
        <v>0</v>
      </c>
      <c r="F102" s="1933">
        <v>0</v>
      </c>
      <c r="G102" s="1933">
        <v>0</v>
      </c>
      <c r="H102" s="1933">
        <v>0</v>
      </c>
      <c r="I102" s="1926">
        <v>0</v>
      </c>
      <c r="J102" s="1933">
        <v>0</v>
      </c>
      <c r="K102" s="1926">
        <v>0</v>
      </c>
    </row>
    <row r="103" spans="1:12" ht="12.75" customHeight="1">
      <c r="A103" s="462" t="s">
        <v>363</v>
      </c>
      <c r="B103" s="468">
        <v>1983</v>
      </c>
      <c r="C103" s="466"/>
      <c r="D103" s="466"/>
      <c r="E103" s="1959">
        <v>0</v>
      </c>
      <c r="F103" s="466"/>
      <c r="G103" s="466"/>
      <c r="H103" s="1933">
        <v>0</v>
      </c>
      <c r="I103" s="466"/>
      <c r="J103" s="503"/>
      <c r="K103" s="503"/>
    </row>
    <row r="104" spans="1:12" ht="12.75" customHeight="1">
      <c r="A104" s="462" t="s">
        <v>885</v>
      </c>
      <c r="B104" s="468">
        <v>1991</v>
      </c>
      <c r="C104" s="1933">
        <v>0</v>
      </c>
      <c r="D104" s="1927">
        <v>0</v>
      </c>
      <c r="E104" s="1928">
        <v>0</v>
      </c>
      <c r="F104" s="1926">
        <v>0</v>
      </c>
      <c r="G104" s="1926">
        <v>0</v>
      </c>
      <c r="H104" s="1927">
        <v>0</v>
      </c>
      <c r="I104" s="466"/>
      <c r="J104" s="466"/>
      <c r="K104" s="466"/>
    </row>
    <row r="105" spans="1:12" ht="12.75" customHeight="1">
      <c r="A105" s="462" t="s">
        <v>876</v>
      </c>
      <c r="B105" s="468">
        <v>1992</v>
      </c>
      <c r="C105" s="1927">
        <v>0</v>
      </c>
      <c r="D105" s="547"/>
      <c r="E105" s="466"/>
      <c r="F105" s="466"/>
      <c r="G105" s="466"/>
      <c r="H105" s="503"/>
      <c r="I105" s="466"/>
      <c r="J105" s="466"/>
      <c r="K105" s="466"/>
    </row>
    <row r="106" spans="1:12" ht="12.75" customHeight="1">
      <c r="A106" s="462" t="s">
        <v>1505</v>
      </c>
      <c r="B106" s="468">
        <v>1993</v>
      </c>
      <c r="C106" s="1927">
        <v>0</v>
      </c>
      <c r="D106" s="1933">
        <v>0</v>
      </c>
      <c r="E106" s="1926">
        <v>0</v>
      </c>
      <c r="F106" s="1926">
        <v>0</v>
      </c>
      <c r="G106" s="1926">
        <v>0</v>
      </c>
      <c r="H106" s="1926">
        <v>0</v>
      </c>
      <c r="I106" s="514"/>
      <c r="J106" s="1926">
        <v>0</v>
      </c>
      <c r="K106" s="1926">
        <v>0</v>
      </c>
    </row>
    <row r="107" spans="1:12" ht="12.75" customHeight="1">
      <c r="A107" s="462" t="s">
        <v>80</v>
      </c>
      <c r="B107" s="468">
        <v>1999</v>
      </c>
      <c r="C107" s="1951">
        <v>145368</v>
      </c>
      <c r="D107" s="1927">
        <v>2986</v>
      </c>
      <c r="E107" s="1927">
        <v>0</v>
      </c>
      <c r="F107" s="1927">
        <v>0</v>
      </c>
      <c r="G107" s="1927">
        <v>0</v>
      </c>
      <c r="H107" s="1927">
        <v>0</v>
      </c>
      <c r="I107" s="1927">
        <v>0</v>
      </c>
      <c r="J107" s="1926">
        <v>0</v>
      </c>
      <c r="K107" s="1927">
        <v>0</v>
      </c>
    </row>
    <row r="108" spans="1:12" ht="12.75" customHeight="1" thickBot="1">
      <c r="A108" s="1700" t="s">
        <v>508</v>
      </c>
      <c r="B108" s="1704"/>
      <c r="C108" s="1699">
        <v>192864</v>
      </c>
      <c r="D108" s="1699">
        <v>82594</v>
      </c>
      <c r="E108" s="1699">
        <v>0</v>
      </c>
      <c r="F108" s="1699">
        <v>0</v>
      </c>
      <c r="G108" s="1699">
        <v>0</v>
      </c>
      <c r="H108" s="1699">
        <v>0</v>
      </c>
      <c r="I108" s="1699">
        <v>0</v>
      </c>
      <c r="J108" s="1699">
        <v>0</v>
      </c>
      <c r="K108" s="1680">
        <v>0</v>
      </c>
    </row>
    <row r="109" spans="1:12" ht="14.25" thickTop="1" thickBot="1">
      <c r="A109" s="1705" t="s">
        <v>266</v>
      </c>
      <c r="B109" s="1706" t="s">
        <v>591</v>
      </c>
      <c r="C109" s="1707">
        <v>37558499</v>
      </c>
      <c r="D109" s="1707">
        <v>4579510</v>
      </c>
      <c r="E109" s="1707">
        <v>4319168</v>
      </c>
      <c r="F109" s="1707">
        <v>3242841</v>
      </c>
      <c r="G109" s="1707">
        <v>1057526</v>
      </c>
      <c r="H109" s="1707">
        <v>36023</v>
      </c>
      <c r="I109" s="1707">
        <v>394918</v>
      </c>
      <c r="J109" s="1707">
        <v>1989247</v>
      </c>
      <c r="K109" s="1694">
        <v>412073</v>
      </c>
    </row>
    <row r="110" spans="1:12" ht="30" customHeight="1" thickTop="1">
      <c r="A110" s="1577" t="s">
        <v>364</v>
      </c>
      <c r="B110" s="1578"/>
      <c r="C110" s="1563"/>
      <c r="D110" s="1563"/>
      <c r="E110" s="1563"/>
      <c r="F110" s="1563"/>
      <c r="G110" s="1563"/>
      <c r="H110" s="1563"/>
      <c r="I110" s="1563"/>
      <c r="J110" s="1563"/>
      <c r="K110" s="1564"/>
    </row>
    <row r="111" spans="1:12" ht="12.75" customHeight="1">
      <c r="A111" s="486" t="s">
        <v>877</v>
      </c>
      <c r="B111" s="485">
        <v>2100</v>
      </c>
      <c r="C111" s="1943">
        <v>0</v>
      </c>
      <c r="D111" s="1928">
        <v>0</v>
      </c>
      <c r="E111" s="547"/>
      <c r="F111" s="1928">
        <v>0</v>
      </c>
      <c r="G111" s="1928">
        <v>0</v>
      </c>
      <c r="H111" s="547"/>
      <c r="I111" s="466"/>
      <c r="J111" s="466"/>
      <c r="K111" s="466"/>
    </row>
    <row r="112" spans="1:12" ht="12.75" customHeight="1">
      <c r="A112" s="462" t="s">
        <v>878</v>
      </c>
      <c r="B112" s="468">
        <v>2200</v>
      </c>
      <c r="C112" s="1951">
        <v>0</v>
      </c>
      <c r="D112" s="1927">
        <v>0</v>
      </c>
      <c r="E112" s="547"/>
      <c r="F112" s="1927">
        <v>0</v>
      </c>
      <c r="G112" s="1927">
        <v>0</v>
      </c>
      <c r="H112" s="547"/>
      <c r="I112" s="466"/>
      <c r="J112" s="466"/>
      <c r="K112" s="466"/>
      <c r="L112" s="539"/>
    </row>
    <row r="113" spans="1:11" ht="12.75" customHeight="1">
      <c r="A113" s="462" t="s">
        <v>28</v>
      </c>
      <c r="B113" s="468">
        <v>2300</v>
      </c>
      <c r="C113" s="1951">
        <v>0</v>
      </c>
      <c r="D113" s="1927">
        <v>0</v>
      </c>
      <c r="E113" s="547"/>
      <c r="F113" s="1927">
        <v>0</v>
      </c>
      <c r="G113" s="1927">
        <v>0</v>
      </c>
      <c r="H113" s="547"/>
      <c r="I113" s="466"/>
      <c r="J113" s="466"/>
      <c r="K113" s="466"/>
    </row>
    <row r="114" spans="1:11" ht="13.5" thickBot="1">
      <c r="A114" s="1708" t="s">
        <v>839</v>
      </c>
      <c r="B114" s="1709" t="s">
        <v>590</v>
      </c>
      <c r="C114" s="1710">
        <v>0</v>
      </c>
      <c r="D114" s="1710">
        <v>0</v>
      </c>
      <c r="E114" s="547" t="s">
        <v>1231</v>
      </c>
      <c r="F114" s="1710">
        <v>0</v>
      </c>
      <c r="G114" s="1710">
        <v>0</v>
      </c>
      <c r="H114" s="547"/>
      <c r="I114" s="466"/>
      <c r="J114" s="466"/>
      <c r="K114" s="466"/>
    </row>
    <row r="115" spans="1:11" ht="16.7" customHeight="1" thickTop="1">
      <c r="A115" s="1579" t="s">
        <v>836</v>
      </c>
      <c r="B115" s="1580"/>
      <c r="C115" s="1562"/>
      <c r="D115" s="1563"/>
      <c r="E115" s="1563"/>
      <c r="F115" s="1563"/>
      <c r="G115" s="1563"/>
      <c r="H115" s="1563"/>
      <c r="I115" s="1563"/>
      <c r="J115" s="1563"/>
      <c r="K115" s="1564"/>
    </row>
    <row r="116" spans="1:11" ht="18" customHeight="1">
      <c r="A116" s="1587" t="s">
        <v>1571</v>
      </c>
      <c r="B116" s="1588"/>
      <c r="C116" s="515"/>
      <c r="D116" s="514"/>
      <c r="E116" s="547"/>
      <c r="F116" s="514"/>
      <c r="G116" s="514"/>
      <c r="H116" s="547"/>
      <c r="I116" s="466"/>
      <c r="J116" s="514"/>
      <c r="K116" s="514"/>
    </row>
    <row r="117" spans="1:11" ht="12.75" customHeight="1">
      <c r="A117" s="462" t="s">
        <v>1766</v>
      </c>
      <c r="B117" s="548">
        <v>3001</v>
      </c>
      <c r="C117" s="1943">
        <v>6151664</v>
      </c>
      <c r="D117" s="1928">
        <v>0</v>
      </c>
      <c r="E117" s="1927">
        <v>0</v>
      </c>
      <c r="F117" s="1928">
        <v>0</v>
      </c>
      <c r="G117" s="1928">
        <v>0</v>
      </c>
      <c r="H117" s="1927">
        <v>0</v>
      </c>
      <c r="I117" s="466"/>
      <c r="J117" s="1926">
        <v>0</v>
      </c>
      <c r="K117" s="1927">
        <v>0</v>
      </c>
    </row>
    <row r="118" spans="1:11" ht="12.75" customHeight="1">
      <c r="A118" s="462" t="s">
        <v>1900</v>
      </c>
      <c r="B118" s="548">
        <v>3002</v>
      </c>
      <c r="C118" s="1951">
        <v>0</v>
      </c>
      <c r="D118" s="1927">
        <v>0</v>
      </c>
      <c r="E118" s="1927">
        <v>0</v>
      </c>
      <c r="F118" s="1927">
        <v>0</v>
      </c>
      <c r="G118" s="1927">
        <v>0</v>
      </c>
      <c r="H118" s="1927">
        <v>0</v>
      </c>
      <c r="I118" s="466"/>
      <c r="J118" s="1926">
        <v>0</v>
      </c>
      <c r="K118" s="1927">
        <v>0</v>
      </c>
    </row>
    <row r="119" spans="1:11" ht="12.75" customHeight="1">
      <c r="A119" s="462" t="s">
        <v>1901</v>
      </c>
      <c r="B119" s="548">
        <v>3005</v>
      </c>
      <c r="C119" s="1951">
        <v>0</v>
      </c>
      <c r="D119" s="1927">
        <v>0</v>
      </c>
      <c r="E119" s="1927">
        <v>0</v>
      </c>
      <c r="F119" s="1927">
        <v>0</v>
      </c>
      <c r="G119" s="1927">
        <v>0</v>
      </c>
      <c r="H119" s="1927">
        <v>0</v>
      </c>
      <c r="I119" s="466"/>
      <c r="J119" s="1926">
        <v>0</v>
      </c>
      <c r="K119" s="1927">
        <v>0</v>
      </c>
    </row>
    <row r="120" spans="1:11">
      <c r="A120" s="1488" t="s">
        <v>1902</v>
      </c>
      <c r="B120" s="550">
        <v>3099</v>
      </c>
      <c r="C120" s="1951">
        <v>0</v>
      </c>
      <c r="D120" s="1927">
        <v>0</v>
      </c>
      <c r="E120" s="1927">
        <v>0</v>
      </c>
      <c r="F120" s="1927">
        <v>0</v>
      </c>
      <c r="G120" s="1927">
        <v>0</v>
      </c>
      <c r="H120" s="1927">
        <v>0</v>
      </c>
      <c r="I120" s="466"/>
      <c r="J120" s="1926">
        <v>0</v>
      </c>
      <c r="K120" s="1927">
        <v>0</v>
      </c>
    </row>
    <row r="121" spans="1:11" ht="12.6" customHeight="1" thickBot="1">
      <c r="A121" s="1700" t="s">
        <v>509</v>
      </c>
      <c r="B121" s="1711"/>
      <c r="C121" s="1699">
        <v>6151664</v>
      </c>
      <c r="D121" s="1699">
        <v>0</v>
      </c>
      <c r="E121" s="1699">
        <v>0</v>
      </c>
      <c r="F121" s="1699">
        <v>0</v>
      </c>
      <c r="G121" s="1699">
        <v>0</v>
      </c>
      <c r="H121" s="1699">
        <v>0</v>
      </c>
      <c r="I121" s="466"/>
      <c r="J121" s="1699">
        <v>0</v>
      </c>
      <c r="K121" s="1680">
        <v>0</v>
      </c>
    </row>
    <row r="122" spans="1:11" ht="15.75" customHeight="1" thickTop="1">
      <c r="A122" s="1584" t="s">
        <v>1570</v>
      </c>
      <c r="B122" s="1589"/>
      <c r="C122" s="551"/>
      <c r="D122" s="502"/>
      <c r="E122" s="466"/>
      <c r="F122" s="552"/>
      <c r="G122" s="466"/>
      <c r="H122" s="466"/>
      <c r="I122" s="466"/>
      <c r="J122" s="466"/>
      <c r="K122" s="466"/>
    </row>
    <row r="123" spans="1:11" ht="15" customHeight="1">
      <c r="A123" s="1590" t="s">
        <v>688</v>
      </c>
      <c r="B123" s="1591"/>
      <c r="C123" s="514"/>
      <c r="D123" s="502"/>
      <c r="E123" s="466"/>
      <c r="F123" s="514"/>
      <c r="G123" s="466"/>
      <c r="H123" s="466"/>
      <c r="I123" s="466"/>
      <c r="J123" s="466"/>
      <c r="K123" s="466"/>
    </row>
    <row r="124" spans="1:11" ht="12.75" customHeight="1">
      <c r="A124" s="462" t="s">
        <v>921</v>
      </c>
      <c r="B124" s="553">
        <v>3100</v>
      </c>
      <c r="C124" s="1928">
        <v>209429</v>
      </c>
      <c r="D124" s="547"/>
      <c r="E124" s="466"/>
      <c r="F124" s="1958">
        <v>0</v>
      </c>
      <c r="G124" s="466"/>
      <c r="H124" s="466"/>
      <c r="I124" s="466"/>
      <c r="J124" s="466"/>
      <c r="K124" s="466"/>
    </row>
    <row r="125" spans="1:11" ht="12.75" customHeight="1">
      <c r="A125" s="462" t="s">
        <v>1521</v>
      </c>
      <c r="B125" s="548">
        <v>3105</v>
      </c>
      <c r="C125" s="1927">
        <v>217985</v>
      </c>
      <c r="D125" s="547"/>
      <c r="E125" s="466"/>
      <c r="F125" s="1927">
        <v>0</v>
      </c>
      <c r="G125" s="466"/>
      <c r="H125" s="466"/>
      <c r="I125" s="466"/>
      <c r="J125" s="466"/>
      <c r="K125" s="466"/>
    </row>
    <row r="126" spans="1:11" ht="12.75" customHeight="1">
      <c r="A126" s="462" t="s">
        <v>922</v>
      </c>
      <c r="B126" s="548">
        <v>3110</v>
      </c>
      <c r="C126" s="1951">
        <v>387716</v>
      </c>
      <c r="D126" s="1927">
        <v>0</v>
      </c>
      <c r="E126" s="466"/>
      <c r="F126" s="1927">
        <v>0</v>
      </c>
      <c r="G126" s="466"/>
      <c r="H126" s="466"/>
      <c r="I126" s="466"/>
      <c r="J126" s="466"/>
      <c r="K126" s="466"/>
    </row>
    <row r="127" spans="1:11" ht="12.75" customHeight="1">
      <c r="A127" s="462" t="s">
        <v>107</v>
      </c>
      <c r="B127" s="548">
        <v>3120</v>
      </c>
      <c r="C127" s="1927">
        <v>597351</v>
      </c>
      <c r="D127" s="547"/>
      <c r="E127" s="466"/>
      <c r="F127" s="1927">
        <v>0</v>
      </c>
      <c r="G127" s="466"/>
      <c r="H127" s="466"/>
      <c r="I127" s="466"/>
      <c r="J127" s="466"/>
      <c r="K127" s="466"/>
    </row>
    <row r="128" spans="1:11" ht="12.75" customHeight="1">
      <c r="A128" s="462" t="s">
        <v>1522</v>
      </c>
      <c r="B128" s="548">
        <v>3130</v>
      </c>
      <c r="C128" s="1927">
        <v>36987</v>
      </c>
      <c r="D128" s="547"/>
      <c r="E128" s="466"/>
      <c r="F128" s="1927">
        <v>0</v>
      </c>
      <c r="G128" s="466"/>
      <c r="H128" s="466"/>
      <c r="I128" s="466"/>
      <c r="J128" s="466"/>
      <c r="K128" s="466"/>
    </row>
    <row r="129" spans="1:11" ht="12.75" customHeight="1">
      <c r="A129" s="462" t="s">
        <v>139</v>
      </c>
      <c r="B129" s="548">
        <v>3145</v>
      </c>
      <c r="C129" s="1927">
        <v>53823</v>
      </c>
      <c r="D129" s="547"/>
      <c r="E129" s="466"/>
      <c r="F129" s="1927">
        <v>0</v>
      </c>
      <c r="G129" s="466"/>
      <c r="H129" s="466"/>
      <c r="I129" s="466"/>
      <c r="J129" s="466"/>
      <c r="K129" s="466"/>
    </row>
    <row r="130" spans="1:11" ht="12.75" customHeight="1">
      <c r="A130" s="462" t="s">
        <v>68</v>
      </c>
      <c r="B130" s="548">
        <v>3199</v>
      </c>
      <c r="C130" s="1951">
        <v>0</v>
      </c>
      <c r="D130" s="1926">
        <v>0</v>
      </c>
      <c r="E130" s="466"/>
      <c r="F130" s="1927">
        <v>0</v>
      </c>
      <c r="G130" s="466"/>
      <c r="H130" s="466"/>
      <c r="I130" s="466"/>
      <c r="J130" s="466"/>
      <c r="K130" s="466"/>
    </row>
    <row r="131" spans="1:11" ht="12.75" customHeight="1" thickBot="1">
      <c r="A131" s="1700" t="s">
        <v>1092</v>
      </c>
      <c r="B131" s="1712"/>
      <c r="C131" s="1699">
        <v>1503291</v>
      </c>
      <c r="D131" s="1699">
        <v>0</v>
      </c>
      <c r="E131" s="467" t="s">
        <v>1231</v>
      </c>
      <c r="F131" s="1699">
        <v>0</v>
      </c>
      <c r="G131" s="466" t="s">
        <v>1231</v>
      </c>
      <c r="H131" s="466" t="s">
        <v>1231</v>
      </c>
      <c r="I131" s="466" t="s">
        <v>1231</v>
      </c>
      <c r="J131" s="466" t="s">
        <v>1231</v>
      </c>
      <c r="K131" s="466" t="s">
        <v>1231</v>
      </c>
    </row>
    <row r="132" spans="1:11" ht="15.75" customHeight="1" thickTop="1">
      <c r="A132" s="1592" t="s">
        <v>268</v>
      </c>
      <c r="B132" s="1593"/>
      <c r="C132" s="540"/>
      <c r="D132" s="540"/>
      <c r="E132" s="502"/>
      <c r="F132" s="540"/>
      <c r="G132" s="466"/>
      <c r="H132" s="466"/>
      <c r="I132" s="466"/>
      <c r="J132" s="466"/>
      <c r="K132" s="466"/>
    </row>
    <row r="133" spans="1:11">
      <c r="A133" s="462" t="s">
        <v>620</v>
      </c>
      <c r="B133" s="548">
        <v>3200</v>
      </c>
      <c r="C133" s="1951">
        <v>0</v>
      </c>
      <c r="D133" s="1927">
        <v>0</v>
      </c>
      <c r="E133" s="547"/>
      <c r="F133" s="466"/>
      <c r="G133" s="1927">
        <v>0</v>
      </c>
      <c r="H133" s="466"/>
      <c r="I133" s="466"/>
      <c r="J133" s="466"/>
      <c r="K133" s="466"/>
    </row>
    <row r="134" spans="1:11" ht="12.75" customHeight="1">
      <c r="A134" s="462" t="s">
        <v>690</v>
      </c>
      <c r="B134" s="548">
        <v>3220</v>
      </c>
      <c r="C134" s="1951">
        <v>105004</v>
      </c>
      <c r="D134" s="1927">
        <v>0</v>
      </c>
      <c r="E134" s="547"/>
      <c r="F134" s="466"/>
      <c r="G134" s="1926">
        <v>0</v>
      </c>
      <c r="H134" s="466"/>
      <c r="I134" s="466"/>
      <c r="J134" s="466"/>
      <c r="K134" s="466"/>
    </row>
    <row r="135" spans="1:11" ht="12.75" customHeight="1">
      <c r="A135" s="462" t="s">
        <v>267</v>
      </c>
      <c r="B135" s="548">
        <v>3225</v>
      </c>
      <c r="C135" s="1951">
        <v>0</v>
      </c>
      <c r="D135" s="1927">
        <v>0</v>
      </c>
      <c r="E135" s="547"/>
      <c r="F135" s="466"/>
      <c r="G135" s="1926">
        <v>0</v>
      </c>
      <c r="H135" s="466"/>
      <c r="I135" s="466"/>
      <c r="J135" s="466"/>
      <c r="K135" s="466"/>
    </row>
    <row r="136" spans="1:11" ht="12.75" customHeight="1">
      <c r="A136" s="462" t="s">
        <v>621</v>
      </c>
      <c r="B136" s="548">
        <v>3235</v>
      </c>
      <c r="C136" s="1933">
        <v>0</v>
      </c>
      <c r="D136" s="1926">
        <v>0</v>
      </c>
      <c r="E136" s="547"/>
      <c r="F136" s="466"/>
      <c r="G136" s="1926">
        <v>0</v>
      </c>
      <c r="H136" s="466"/>
      <c r="I136" s="466"/>
      <c r="J136" s="466"/>
      <c r="K136" s="466"/>
    </row>
    <row r="137" spans="1:11" ht="12.75" customHeight="1">
      <c r="A137" s="462" t="s">
        <v>622</v>
      </c>
      <c r="B137" s="548">
        <v>3240</v>
      </c>
      <c r="C137" s="1933">
        <v>0</v>
      </c>
      <c r="D137" s="1926">
        <v>0</v>
      </c>
      <c r="E137" s="547"/>
      <c r="F137" s="466"/>
      <c r="G137" s="1926">
        <v>0</v>
      </c>
      <c r="H137" s="466"/>
      <c r="I137" s="466"/>
      <c r="J137" s="466"/>
      <c r="K137" s="466"/>
    </row>
    <row r="138" spans="1:11" ht="12.75" customHeight="1">
      <c r="A138" s="462" t="s">
        <v>623</v>
      </c>
      <c r="B138" s="548">
        <v>3270</v>
      </c>
      <c r="C138" s="1933">
        <v>0</v>
      </c>
      <c r="D138" s="1926">
        <v>0</v>
      </c>
      <c r="E138" s="547"/>
      <c r="F138" s="466"/>
      <c r="G138" s="1926">
        <v>0</v>
      </c>
      <c r="H138" s="466"/>
      <c r="I138" s="466"/>
      <c r="J138" s="466"/>
      <c r="K138" s="466"/>
    </row>
    <row r="139" spans="1:11" ht="12.75" customHeight="1">
      <c r="A139" s="462" t="s">
        <v>69</v>
      </c>
      <c r="B139" s="548">
        <v>3299</v>
      </c>
      <c r="C139" s="1951">
        <v>0</v>
      </c>
      <c r="D139" s="1927">
        <v>0</v>
      </c>
      <c r="E139" s="547"/>
      <c r="F139" s="473"/>
      <c r="G139" s="1926">
        <v>0</v>
      </c>
      <c r="H139" s="466"/>
      <c r="I139" s="466"/>
      <c r="J139" s="466"/>
      <c r="K139" s="466"/>
    </row>
    <row r="140" spans="1:11" ht="12.75" customHeight="1" thickBot="1">
      <c r="A140" s="1700" t="s">
        <v>624</v>
      </c>
      <c r="B140" s="1712"/>
      <c r="C140" s="1699">
        <v>105004</v>
      </c>
      <c r="D140" s="1699">
        <v>0</v>
      </c>
      <c r="E140" s="547" t="s">
        <v>1231</v>
      </c>
      <c r="F140" s="473"/>
      <c r="G140" s="1699">
        <v>0</v>
      </c>
      <c r="H140" s="466" t="s">
        <v>1231</v>
      </c>
      <c r="I140" s="466" t="s">
        <v>1231</v>
      </c>
      <c r="J140" s="466" t="s">
        <v>1231</v>
      </c>
      <c r="K140" s="466" t="s">
        <v>1231</v>
      </c>
    </row>
    <row r="141" spans="1:11" ht="15.75" customHeight="1" thickTop="1">
      <c r="A141" s="1592" t="s">
        <v>691</v>
      </c>
      <c r="B141" s="1593"/>
      <c r="C141" s="540"/>
      <c r="D141" s="552"/>
      <c r="E141" s="547"/>
      <c r="F141" s="540"/>
      <c r="G141" s="540"/>
      <c r="H141" s="466"/>
      <c r="I141" s="466"/>
      <c r="J141" s="466"/>
      <c r="K141" s="466"/>
    </row>
    <row r="142" spans="1:11" ht="12.75" customHeight="1">
      <c r="A142" s="462" t="s">
        <v>625</v>
      </c>
      <c r="B142" s="548">
        <v>3305</v>
      </c>
      <c r="C142" s="1927">
        <v>17685</v>
      </c>
      <c r="D142" s="466"/>
      <c r="E142" s="547"/>
      <c r="F142" s="466"/>
      <c r="G142" s="1927">
        <v>0</v>
      </c>
      <c r="H142" s="466"/>
      <c r="I142" s="466"/>
      <c r="J142" s="466"/>
      <c r="K142" s="466"/>
    </row>
    <row r="143" spans="1:11" ht="12.75" customHeight="1">
      <c r="A143" s="462" t="s">
        <v>365</v>
      </c>
      <c r="B143" s="548">
        <v>3310</v>
      </c>
      <c r="C143" s="1951">
        <v>0</v>
      </c>
      <c r="D143" s="466"/>
      <c r="E143" s="547"/>
      <c r="F143" s="466"/>
      <c r="G143" s="1927">
        <v>0</v>
      </c>
      <c r="H143" s="466"/>
      <c r="I143" s="466"/>
      <c r="J143" s="466"/>
      <c r="K143" s="466"/>
    </row>
    <row r="144" spans="1:11" s="201" customFormat="1" ht="13.5" thickBot="1">
      <c r="A144" s="1700" t="s">
        <v>414</v>
      </c>
      <c r="B144" s="1712"/>
      <c r="C144" s="1680">
        <v>17685</v>
      </c>
      <c r="D144" s="466"/>
      <c r="E144" s="502"/>
      <c r="F144" s="466"/>
      <c r="G144" s="1713">
        <v>0</v>
      </c>
      <c r="H144" s="466"/>
      <c r="I144" s="466"/>
      <c r="J144" s="466"/>
      <c r="K144" s="466"/>
    </row>
    <row r="145" spans="1:11" s="201" customFormat="1" ht="12.75" customHeight="1" thickTop="1" thickBot="1">
      <c r="A145" s="1490" t="s">
        <v>1116</v>
      </c>
      <c r="B145" s="554">
        <v>3360</v>
      </c>
      <c r="C145" s="1944">
        <v>20545</v>
      </c>
      <c r="D145" s="555"/>
      <c r="E145" s="502"/>
      <c r="F145" s="466"/>
      <c r="G145" s="556"/>
      <c r="H145" s="466"/>
      <c r="I145" s="466"/>
      <c r="J145" s="466"/>
      <c r="K145" s="466"/>
    </row>
    <row r="146" spans="1:11" ht="12.75" customHeight="1" thickTop="1" thickBot="1">
      <c r="A146" s="1491" t="s">
        <v>979</v>
      </c>
      <c r="B146" s="557">
        <v>3365</v>
      </c>
      <c r="C146" s="1944">
        <v>0</v>
      </c>
      <c r="D146" s="1941">
        <v>0</v>
      </c>
      <c r="E146" s="547"/>
      <c r="F146" s="466"/>
      <c r="G146" s="1927">
        <v>0</v>
      </c>
      <c r="H146" s="466"/>
      <c r="I146" s="466"/>
      <c r="J146" s="466"/>
      <c r="K146" s="466"/>
    </row>
    <row r="147" spans="1:11" ht="12.75" customHeight="1" thickTop="1" thickBot="1">
      <c r="A147" s="1492" t="s">
        <v>140</v>
      </c>
      <c r="B147" s="558">
        <v>3370</v>
      </c>
      <c r="C147" s="1946">
        <v>125145</v>
      </c>
      <c r="D147" s="1946">
        <v>0</v>
      </c>
      <c r="E147" s="502"/>
      <c r="F147" s="466"/>
      <c r="G147" s="466"/>
      <c r="H147" s="466"/>
      <c r="I147" s="466"/>
      <c r="J147" s="466"/>
      <c r="K147" s="466"/>
    </row>
    <row r="148" spans="1:11" ht="12.75" customHeight="1" thickTop="1" thickBot="1">
      <c r="A148" s="1492" t="s">
        <v>791</v>
      </c>
      <c r="B148" s="558">
        <v>3410</v>
      </c>
      <c r="C148" s="1945">
        <v>0</v>
      </c>
      <c r="D148" s="1944">
        <v>0</v>
      </c>
      <c r="E148" s="1957">
        <v>0</v>
      </c>
      <c r="F148" s="1941">
        <v>0</v>
      </c>
      <c r="G148" s="1941">
        <v>0</v>
      </c>
      <c r="H148" s="1941">
        <v>0</v>
      </c>
      <c r="I148" s="1941">
        <v>0</v>
      </c>
      <c r="J148" s="1941">
        <v>0</v>
      </c>
      <c r="K148" s="1941">
        <v>0</v>
      </c>
    </row>
    <row r="149" spans="1:11" ht="12.75" customHeight="1" thickTop="1" thickBot="1">
      <c r="A149" s="1492" t="s">
        <v>70</v>
      </c>
      <c r="B149" s="558">
        <v>3499</v>
      </c>
      <c r="C149" s="1945">
        <v>0</v>
      </c>
      <c r="D149" s="1944">
        <v>0</v>
      </c>
      <c r="E149" s="1940">
        <v>0</v>
      </c>
      <c r="F149" s="1940">
        <v>0</v>
      </c>
      <c r="G149" s="1940">
        <v>0</v>
      </c>
      <c r="H149" s="1940">
        <v>0</v>
      </c>
      <c r="I149" s="1940">
        <v>0</v>
      </c>
      <c r="J149" s="1940">
        <v>0</v>
      </c>
      <c r="K149" s="1940">
        <v>0</v>
      </c>
    </row>
    <row r="150" spans="1:11" ht="15.75" customHeight="1" thickTop="1">
      <c r="A150" s="1592" t="s">
        <v>473</v>
      </c>
      <c r="B150" s="1594"/>
      <c r="C150" s="540"/>
      <c r="D150" s="466"/>
      <c r="E150" s="547"/>
      <c r="F150" s="466"/>
      <c r="G150" s="466"/>
      <c r="H150" s="466"/>
      <c r="I150" s="466"/>
      <c r="J150" s="466"/>
      <c r="K150" s="466"/>
    </row>
    <row r="151" spans="1:11" ht="12.75" customHeight="1">
      <c r="A151" s="462" t="s">
        <v>1523</v>
      </c>
      <c r="B151" s="548">
        <v>3500</v>
      </c>
      <c r="C151" s="1951">
        <v>0</v>
      </c>
      <c r="D151" s="1927">
        <v>0</v>
      </c>
      <c r="E151" s="547"/>
      <c r="F151" s="1927">
        <v>1764260</v>
      </c>
      <c r="G151" s="1926">
        <v>0</v>
      </c>
      <c r="H151" s="466"/>
      <c r="I151" s="466"/>
      <c r="J151" s="466"/>
      <c r="K151" s="466"/>
    </row>
    <row r="152" spans="1:11" ht="12.75" customHeight="1">
      <c r="A152" s="462" t="s">
        <v>1117</v>
      </c>
      <c r="B152" s="548">
        <v>3510</v>
      </c>
      <c r="C152" s="1951">
        <v>0</v>
      </c>
      <c r="D152" s="1927">
        <v>0</v>
      </c>
      <c r="E152" s="547"/>
      <c r="F152" s="1927">
        <v>1510597</v>
      </c>
      <c r="G152" s="1926">
        <v>0</v>
      </c>
      <c r="H152" s="466"/>
      <c r="I152" s="466"/>
      <c r="J152" s="466"/>
      <c r="K152" s="466"/>
    </row>
    <row r="153" spans="1:11" ht="12.75" customHeight="1">
      <c r="A153" s="462" t="s">
        <v>71</v>
      </c>
      <c r="B153" s="548">
        <v>3599</v>
      </c>
      <c r="C153" s="1951">
        <v>0</v>
      </c>
      <c r="D153" s="1927">
        <v>0</v>
      </c>
      <c r="E153" s="547"/>
      <c r="F153" s="1927">
        <v>0</v>
      </c>
      <c r="G153" s="1926">
        <v>0</v>
      </c>
      <c r="H153" s="466"/>
      <c r="I153" s="466"/>
      <c r="J153" s="466"/>
      <c r="K153" s="466"/>
    </row>
    <row r="154" spans="1:11" ht="12.75" customHeight="1" thickBot="1">
      <c r="A154" s="1700" t="s">
        <v>96</v>
      </c>
      <c r="B154" s="1712"/>
      <c r="C154" s="1699">
        <v>0</v>
      </c>
      <c r="D154" s="1699">
        <v>0</v>
      </c>
      <c r="E154" s="547"/>
      <c r="F154" s="1699">
        <v>3274857</v>
      </c>
      <c r="G154" s="1699">
        <v>0</v>
      </c>
      <c r="H154" s="466"/>
      <c r="I154" s="466"/>
      <c r="J154" s="466"/>
      <c r="K154" s="466"/>
    </row>
    <row r="155" spans="1:11" ht="12.75" customHeight="1" thickTop="1" thickBot="1">
      <c r="A155" s="1492" t="s">
        <v>398</v>
      </c>
      <c r="B155" s="558">
        <v>3610</v>
      </c>
      <c r="C155" s="1944">
        <v>0</v>
      </c>
      <c r="D155" s="466"/>
      <c r="E155" s="502"/>
      <c r="F155" s="466"/>
      <c r="G155" s="466"/>
      <c r="H155" s="466"/>
      <c r="I155" s="466"/>
      <c r="J155" s="466"/>
      <c r="K155" s="466"/>
    </row>
    <row r="156" spans="1:11" ht="12.75" customHeight="1" thickTop="1" thickBot="1">
      <c r="A156" s="1492" t="s">
        <v>52</v>
      </c>
      <c r="B156" s="558">
        <v>3660</v>
      </c>
      <c r="C156" s="1946">
        <v>0</v>
      </c>
      <c r="D156" s="1947">
        <v>0</v>
      </c>
      <c r="E156" s="547"/>
      <c r="F156" s="1947">
        <v>0</v>
      </c>
      <c r="G156" s="1947">
        <v>0</v>
      </c>
      <c r="H156" s="466"/>
      <c r="I156" s="466"/>
      <c r="J156" s="466"/>
      <c r="K156" s="466"/>
    </row>
    <row r="157" spans="1:11" ht="12.75" customHeight="1" thickTop="1" thickBot="1">
      <c r="A157" s="1492" t="s">
        <v>1057</v>
      </c>
      <c r="B157" s="558">
        <v>3695</v>
      </c>
      <c r="C157" s="1944">
        <v>0</v>
      </c>
      <c r="D157" s="466"/>
      <c r="E157" s="547"/>
      <c r="F157" s="1944">
        <v>0</v>
      </c>
      <c r="G157" s="1944">
        <v>0</v>
      </c>
      <c r="H157" s="466"/>
      <c r="I157" s="466"/>
      <c r="J157" s="466"/>
      <c r="K157" s="466"/>
    </row>
    <row r="158" spans="1:11" ht="12.75" customHeight="1" thickTop="1" thickBot="1">
      <c r="A158" s="1492" t="s">
        <v>1111</v>
      </c>
      <c r="B158" s="558">
        <v>3705</v>
      </c>
      <c r="C158" s="1944">
        <v>0</v>
      </c>
      <c r="D158" s="1947">
        <v>0</v>
      </c>
      <c r="E158" s="547"/>
      <c r="F158" s="1944">
        <v>0</v>
      </c>
      <c r="G158" s="1944">
        <v>0</v>
      </c>
      <c r="H158" s="466"/>
      <c r="I158" s="466"/>
      <c r="J158" s="466"/>
      <c r="K158" s="466"/>
    </row>
    <row r="159" spans="1:11" ht="12.75" customHeight="1" thickTop="1" thickBot="1">
      <c r="A159" s="1492" t="s">
        <v>39</v>
      </c>
      <c r="B159" s="558">
        <v>3715</v>
      </c>
      <c r="C159" s="1944">
        <v>0</v>
      </c>
      <c r="D159" s="466"/>
      <c r="E159" s="547"/>
      <c r="F159" s="1944">
        <v>0</v>
      </c>
      <c r="G159" s="1944">
        <v>0</v>
      </c>
      <c r="H159" s="466"/>
      <c r="I159" s="466"/>
      <c r="J159" s="466"/>
      <c r="K159" s="466"/>
    </row>
    <row r="160" spans="1:11" ht="12.75" customHeight="1" thickTop="1" thickBot="1">
      <c r="A160" s="1492" t="s">
        <v>40</v>
      </c>
      <c r="B160" s="558">
        <v>3720</v>
      </c>
      <c r="C160" s="1944">
        <v>0</v>
      </c>
      <c r="D160" s="466"/>
      <c r="E160" s="547"/>
      <c r="F160" s="1944">
        <v>0</v>
      </c>
      <c r="G160" s="1944">
        <v>0</v>
      </c>
      <c r="H160" s="466"/>
      <c r="I160" s="466"/>
      <c r="J160" s="466"/>
      <c r="K160" s="466"/>
    </row>
    <row r="161" spans="1:11" ht="12.75" customHeight="1" thickTop="1" thickBot="1">
      <c r="A161" s="1492" t="s">
        <v>415</v>
      </c>
      <c r="B161" s="558">
        <v>3725</v>
      </c>
      <c r="C161" s="1942">
        <v>0</v>
      </c>
      <c r="D161" s="466"/>
      <c r="E161" s="547"/>
      <c r="F161" s="1942">
        <v>0</v>
      </c>
      <c r="G161" s="1942">
        <v>0</v>
      </c>
      <c r="H161" s="466"/>
      <c r="I161" s="466"/>
      <c r="J161" s="466"/>
      <c r="K161" s="466"/>
    </row>
    <row r="162" spans="1:11" ht="12.75" customHeight="1" thickTop="1" thickBot="1">
      <c r="A162" s="1492" t="s">
        <v>416</v>
      </c>
      <c r="B162" s="558">
        <v>3726</v>
      </c>
      <c r="C162" s="1942">
        <v>0</v>
      </c>
      <c r="D162" s="466"/>
      <c r="E162" s="547"/>
      <c r="F162" s="1942">
        <v>0</v>
      </c>
      <c r="G162" s="1942">
        <v>0</v>
      </c>
      <c r="H162" s="466"/>
      <c r="I162" s="466"/>
      <c r="J162" s="466"/>
      <c r="K162" s="466"/>
    </row>
    <row r="163" spans="1:11" ht="12.75" customHeight="1" thickTop="1" thickBot="1">
      <c r="A163" s="1492" t="s">
        <v>41</v>
      </c>
      <c r="B163" s="558">
        <v>3766</v>
      </c>
      <c r="C163" s="1944">
        <v>0</v>
      </c>
      <c r="D163" s="1947">
        <v>0</v>
      </c>
      <c r="E163" s="547"/>
      <c r="F163" s="1944">
        <v>0</v>
      </c>
      <c r="G163" s="1942">
        <v>0</v>
      </c>
      <c r="H163" s="466"/>
      <c r="I163" s="466"/>
      <c r="J163" s="466"/>
      <c r="K163" s="466"/>
    </row>
    <row r="164" spans="1:11" ht="12.75" customHeight="1" thickTop="1" thickBot="1">
      <c r="A164" s="1492" t="s">
        <v>1042</v>
      </c>
      <c r="B164" s="558">
        <v>3767</v>
      </c>
      <c r="C164" s="1944">
        <v>0</v>
      </c>
      <c r="D164" s="1942">
        <v>0</v>
      </c>
      <c r="E164" s="547"/>
      <c r="F164" s="1942">
        <v>0</v>
      </c>
      <c r="G164" s="1942">
        <v>0</v>
      </c>
      <c r="H164" s="466"/>
      <c r="I164" s="466"/>
      <c r="J164" s="466"/>
      <c r="K164" s="466"/>
    </row>
    <row r="165" spans="1:11" ht="12.75" customHeight="1" thickTop="1" thickBot="1">
      <c r="A165" s="1492" t="s">
        <v>1043</v>
      </c>
      <c r="B165" s="558">
        <v>3775</v>
      </c>
      <c r="C165" s="1944">
        <v>0</v>
      </c>
      <c r="D165" s="1946">
        <v>0</v>
      </c>
      <c r="E165" s="1941">
        <v>0</v>
      </c>
      <c r="F165" s="1946">
        <v>0</v>
      </c>
      <c r="G165" s="1940">
        <v>0</v>
      </c>
      <c r="H165" s="1941">
        <v>0</v>
      </c>
      <c r="I165" s="466"/>
      <c r="J165" s="466"/>
      <c r="K165" s="1941">
        <v>0</v>
      </c>
    </row>
    <row r="166" spans="1:11" ht="12.75" customHeight="1" thickTop="1" thickBot="1">
      <c r="A166" s="1492" t="s">
        <v>1524</v>
      </c>
      <c r="B166" s="558">
        <v>3780</v>
      </c>
      <c r="C166" s="1942">
        <v>0</v>
      </c>
      <c r="D166" s="1941">
        <v>0</v>
      </c>
      <c r="E166" s="1942">
        <v>0</v>
      </c>
      <c r="F166" s="1942">
        <v>0</v>
      </c>
      <c r="G166" s="1942">
        <v>0</v>
      </c>
      <c r="H166" s="1942">
        <v>0</v>
      </c>
      <c r="I166" s="466"/>
      <c r="J166" s="466"/>
      <c r="K166" s="1942">
        <v>0</v>
      </c>
    </row>
    <row r="167" spans="1:11" ht="12.75" customHeight="1" thickTop="1" thickBot="1">
      <c r="A167" s="1492" t="s">
        <v>913</v>
      </c>
      <c r="B167" s="558">
        <v>3815</v>
      </c>
      <c r="C167" s="1944">
        <v>0</v>
      </c>
      <c r="D167" s="466"/>
      <c r="E167" s="547"/>
      <c r="F167" s="1944">
        <v>0</v>
      </c>
      <c r="G167" s="466"/>
      <c r="H167" s="466"/>
      <c r="I167" s="466"/>
      <c r="J167" s="466"/>
      <c r="K167" s="466"/>
    </row>
    <row r="168" spans="1:11" ht="12.75" customHeight="1" thickTop="1" thickBot="1">
      <c r="A168" s="1492" t="s">
        <v>417</v>
      </c>
      <c r="B168" s="558">
        <v>3825</v>
      </c>
      <c r="C168" s="1944">
        <v>0</v>
      </c>
      <c r="D168" s="466"/>
      <c r="E168" s="547"/>
      <c r="F168" s="1944">
        <v>0</v>
      </c>
      <c r="G168" s="466"/>
      <c r="H168" s="466"/>
      <c r="I168" s="466"/>
      <c r="J168" s="466"/>
      <c r="K168" s="466"/>
    </row>
    <row r="169" spans="1:11" ht="12.75" customHeight="1" thickTop="1" thickBot="1">
      <c r="A169" s="1492" t="s">
        <v>366</v>
      </c>
      <c r="B169" s="558">
        <v>3920</v>
      </c>
      <c r="C169" s="552"/>
      <c r="D169" s="1947">
        <v>0</v>
      </c>
      <c r="E169" s="466"/>
      <c r="F169" s="552"/>
      <c r="G169" s="466"/>
      <c r="H169" s="1941">
        <v>0</v>
      </c>
      <c r="I169" s="466"/>
      <c r="J169" s="466"/>
      <c r="K169" s="466"/>
    </row>
    <row r="170" spans="1:11" ht="12.75" customHeight="1" thickTop="1" thickBot="1">
      <c r="A170" s="1492" t="s">
        <v>367</v>
      </c>
      <c r="B170" s="558">
        <v>3925</v>
      </c>
      <c r="C170" s="514"/>
      <c r="D170" s="1944">
        <v>0</v>
      </c>
      <c r="E170" s="514"/>
      <c r="F170" s="514"/>
      <c r="G170" s="466"/>
      <c r="H170" s="1942">
        <v>0</v>
      </c>
      <c r="I170" s="466"/>
      <c r="J170" s="466"/>
      <c r="K170" s="1941">
        <v>0</v>
      </c>
    </row>
    <row r="171" spans="1:11" ht="14.25" thickTop="1" thickBot="1">
      <c r="A171" s="1492" t="s">
        <v>72</v>
      </c>
      <c r="B171" s="558">
        <v>3999</v>
      </c>
      <c r="C171" s="1956">
        <v>4306</v>
      </c>
      <c r="D171" s="1955">
        <v>0</v>
      </c>
      <c r="E171" s="1955">
        <v>0</v>
      </c>
      <c r="F171" s="1955">
        <v>0</v>
      </c>
      <c r="G171" s="1954">
        <v>0</v>
      </c>
      <c r="H171" s="1953">
        <v>0</v>
      </c>
      <c r="I171" s="1954">
        <v>0</v>
      </c>
      <c r="J171" s="1954">
        <v>0</v>
      </c>
      <c r="K171" s="1953">
        <v>0</v>
      </c>
    </row>
    <row r="172" spans="1:11" ht="12.75" customHeight="1" thickTop="1" thickBot="1">
      <c r="A172" s="2177" t="s">
        <v>418</v>
      </c>
      <c r="B172" s="2178"/>
      <c r="C172" s="1714">
        <v>1775976</v>
      </c>
      <c r="D172" s="1714">
        <v>0</v>
      </c>
      <c r="E172" s="1714">
        <v>0</v>
      </c>
      <c r="F172" s="1714">
        <v>3274857</v>
      </c>
      <c r="G172" s="1714">
        <v>0</v>
      </c>
      <c r="H172" s="1714">
        <v>0</v>
      </c>
      <c r="I172" s="1714">
        <v>0</v>
      </c>
      <c r="J172" s="1714">
        <v>0</v>
      </c>
      <c r="K172" s="1695">
        <v>0</v>
      </c>
    </row>
    <row r="173" spans="1:11" ht="12.75" customHeight="1" thickTop="1" thickBot="1">
      <c r="A173" s="1700" t="s">
        <v>419</v>
      </c>
      <c r="B173" s="1706" t="s">
        <v>596</v>
      </c>
      <c r="C173" s="1707">
        <v>7927640</v>
      </c>
      <c r="D173" s="1707">
        <v>0</v>
      </c>
      <c r="E173" s="1707">
        <v>0</v>
      </c>
      <c r="F173" s="1707">
        <v>3274857</v>
      </c>
      <c r="G173" s="1707">
        <v>0</v>
      </c>
      <c r="H173" s="1707">
        <v>0</v>
      </c>
      <c r="I173" s="1707">
        <v>0</v>
      </c>
      <c r="J173" s="1707">
        <v>0</v>
      </c>
      <c r="K173" s="1694">
        <v>0</v>
      </c>
    </row>
    <row r="174" spans="1:11" ht="16.7" customHeight="1" thickTop="1">
      <c r="A174" s="1581" t="s">
        <v>837</v>
      </c>
      <c r="B174" s="1559"/>
      <c r="C174" s="1562"/>
      <c r="D174" s="1563"/>
      <c r="E174" s="1563"/>
      <c r="F174" s="1563"/>
      <c r="G174" s="1563"/>
      <c r="H174" s="1563"/>
      <c r="I174" s="1563"/>
      <c r="J174" s="1563"/>
      <c r="K174" s="1564"/>
    </row>
    <row r="175" spans="1:11" ht="15.75" customHeight="1">
      <c r="A175" s="2179" t="s">
        <v>1572</v>
      </c>
      <c r="B175" s="2180"/>
      <c r="C175" s="513"/>
      <c r="D175" s="513"/>
      <c r="E175" s="502"/>
      <c r="F175" s="466"/>
      <c r="G175" s="466"/>
      <c r="H175" s="466"/>
      <c r="I175" s="466"/>
      <c r="J175" s="466"/>
      <c r="K175" s="466"/>
    </row>
    <row r="176" spans="1:11" ht="12.6" customHeight="1">
      <c r="A176" s="486" t="s">
        <v>1104</v>
      </c>
      <c r="B176" s="485">
        <v>4001</v>
      </c>
      <c r="C176" s="1943">
        <v>0</v>
      </c>
      <c r="D176" s="1928">
        <v>0</v>
      </c>
      <c r="E176" s="1926">
        <v>0</v>
      </c>
      <c r="F176" s="1927">
        <v>0</v>
      </c>
      <c r="G176" s="1927">
        <v>0</v>
      </c>
      <c r="H176" s="1926">
        <v>0</v>
      </c>
      <c r="I176" s="1926">
        <v>0</v>
      </c>
      <c r="J176" s="1926">
        <v>0</v>
      </c>
      <c r="K176" s="1926">
        <v>0</v>
      </c>
    </row>
    <row r="177" spans="1:11" ht="22.5">
      <c r="A177" s="549" t="s">
        <v>838</v>
      </c>
      <c r="B177" s="561">
        <v>4009</v>
      </c>
      <c r="C177" s="1951">
        <v>0</v>
      </c>
      <c r="D177" s="1927">
        <v>0</v>
      </c>
      <c r="E177" s="1926">
        <v>0</v>
      </c>
      <c r="F177" s="1927">
        <v>0</v>
      </c>
      <c r="G177" s="1927">
        <v>0</v>
      </c>
      <c r="H177" s="1926">
        <v>0</v>
      </c>
      <c r="I177" s="1926">
        <v>0</v>
      </c>
      <c r="J177" s="1926">
        <v>0</v>
      </c>
      <c r="K177" s="1926">
        <v>0</v>
      </c>
    </row>
    <row r="178" spans="1:11" ht="13.5" thickBot="1">
      <c r="A178" s="2183" t="s">
        <v>1764</v>
      </c>
      <c r="B178" s="2184"/>
      <c r="C178" s="1699">
        <v>0</v>
      </c>
      <c r="D178" s="1699">
        <v>0</v>
      </c>
      <c r="E178" s="1699">
        <v>0</v>
      </c>
      <c r="F178" s="1699">
        <v>0</v>
      </c>
      <c r="G178" s="1699">
        <v>0</v>
      </c>
      <c r="H178" s="1699">
        <v>0</v>
      </c>
      <c r="I178" s="1699">
        <v>0</v>
      </c>
      <c r="J178" s="1699">
        <v>0</v>
      </c>
      <c r="K178" s="1680">
        <v>0</v>
      </c>
    </row>
    <row r="179" spans="1:11" s="456" customFormat="1" ht="15.75" customHeight="1" thickTop="1">
      <c r="A179" s="2187" t="s">
        <v>1763</v>
      </c>
      <c r="B179" s="2188"/>
      <c r="C179" s="573"/>
      <c r="D179" s="574"/>
      <c r="E179" s="575"/>
      <c r="F179" s="576"/>
      <c r="G179" s="576"/>
      <c r="H179" s="576"/>
      <c r="I179" s="576"/>
      <c r="J179" s="576"/>
      <c r="K179" s="576"/>
    </row>
    <row r="180" spans="1:11" ht="12.75" customHeight="1">
      <c r="A180" s="462" t="s">
        <v>1105</v>
      </c>
      <c r="B180" s="468">
        <v>4045</v>
      </c>
      <c r="C180" s="1951">
        <v>0</v>
      </c>
      <c r="D180" s="466"/>
      <c r="E180" s="547"/>
      <c r="F180" s="466"/>
      <c r="G180" s="466"/>
      <c r="H180" s="466"/>
      <c r="I180" s="466"/>
      <c r="J180" s="466"/>
      <c r="K180" s="466"/>
    </row>
    <row r="181" spans="1:11" ht="12.75" customHeight="1">
      <c r="A181" s="462" t="s">
        <v>1106</v>
      </c>
      <c r="B181" s="468">
        <v>4050</v>
      </c>
      <c r="C181" s="1951">
        <v>0</v>
      </c>
      <c r="D181" s="1926">
        <v>0</v>
      </c>
      <c r="E181" s="547"/>
      <c r="F181" s="466"/>
      <c r="G181" s="466"/>
      <c r="H181" s="1926">
        <v>0</v>
      </c>
      <c r="I181" s="466"/>
      <c r="J181" s="466"/>
      <c r="K181" s="466"/>
    </row>
    <row r="182" spans="1:11" ht="12.75" customHeight="1">
      <c r="A182" s="462" t="s">
        <v>278</v>
      </c>
      <c r="B182" s="468">
        <v>4060</v>
      </c>
      <c r="C182" s="1943">
        <v>0</v>
      </c>
      <c r="D182" s="1927">
        <v>0</v>
      </c>
      <c r="E182" s="466"/>
      <c r="F182" s="1927">
        <v>0</v>
      </c>
      <c r="G182" s="1927">
        <v>0</v>
      </c>
      <c r="H182" s="1927">
        <v>0</v>
      </c>
      <c r="I182" s="466"/>
      <c r="J182" s="466"/>
      <c r="K182" s="514"/>
    </row>
    <row r="183" spans="1:11" ht="22.5">
      <c r="A183" s="549" t="s">
        <v>819</v>
      </c>
      <c r="B183" s="561">
        <v>4090</v>
      </c>
      <c r="C183" s="1951">
        <v>0</v>
      </c>
      <c r="D183" s="1927">
        <v>0</v>
      </c>
      <c r="E183" s="466"/>
      <c r="F183" s="1927">
        <v>0</v>
      </c>
      <c r="G183" s="1927">
        <v>0</v>
      </c>
      <c r="H183" s="1927">
        <v>0</v>
      </c>
      <c r="I183" s="466"/>
      <c r="J183" s="466"/>
      <c r="K183" s="1927">
        <v>0</v>
      </c>
    </row>
    <row r="184" spans="1:11" ht="13.5" thickBot="1">
      <c r="A184" s="2185" t="s">
        <v>818</v>
      </c>
      <c r="B184" s="2186"/>
      <c r="C184" s="1699">
        <v>0</v>
      </c>
      <c r="D184" s="1699">
        <v>0</v>
      </c>
      <c r="E184" s="466"/>
      <c r="F184" s="1699">
        <v>0</v>
      </c>
      <c r="G184" s="1699">
        <v>0</v>
      </c>
      <c r="H184" s="1699">
        <v>0</v>
      </c>
      <c r="I184" s="466"/>
      <c r="J184" s="466"/>
      <c r="K184" s="1680">
        <v>0</v>
      </c>
    </row>
    <row r="185" spans="1:11" ht="22.5" customHeight="1" thickTop="1">
      <c r="A185" s="2181" t="s">
        <v>1904</v>
      </c>
      <c r="B185" s="2182"/>
      <c r="C185" s="562"/>
      <c r="D185" s="552"/>
      <c r="E185" s="502"/>
      <c r="F185" s="552"/>
      <c r="G185" s="552"/>
      <c r="H185" s="466"/>
      <c r="I185" s="466"/>
      <c r="J185" s="466"/>
      <c r="K185" s="466"/>
    </row>
    <row r="186" spans="1:11" ht="15.75" customHeight="1">
      <c r="A186" s="1595" t="s">
        <v>1692</v>
      </c>
      <c r="B186" s="1596"/>
      <c r="C186" s="515"/>
      <c r="D186" s="514"/>
      <c r="E186" s="502"/>
      <c r="F186" s="514"/>
      <c r="G186" s="514"/>
      <c r="H186" s="466"/>
      <c r="I186" s="466"/>
      <c r="J186" s="466"/>
      <c r="K186" s="466"/>
    </row>
    <row r="187" spans="1:11" ht="12.75" customHeight="1">
      <c r="A187" s="462" t="s">
        <v>1693</v>
      </c>
      <c r="B187" s="468">
        <v>4100</v>
      </c>
      <c r="C187" s="1943">
        <v>0</v>
      </c>
      <c r="D187" s="1928">
        <v>0</v>
      </c>
      <c r="E187" s="547"/>
      <c r="F187" s="1928">
        <v>0</v>
      </c>
      <c r="G187" s="1928">
        <v>0</v>
      </c>
      <c r="H187" s="466"/>
      <c r="I187" s="466"/>
      <c r="J187" s="466"/>
      <c r="K187" s="466"/>
    </row>
    <row r="188" spans="1:11" ht="12.75" customHeight="1">
      <c r="A188" s="462" t="s">
        <v>1694</v>
      </c>
      <c r="B188" s="468">
        <v>4105</v>
      </c>
      <c r="C188" s="1951">
        <v>0</v>
      </c>
      <c r="D188" s="1927">
        <v>0</v>
      </c>
      <c r="E188" s="547"/>
      <c r="F188" s="1927">
        <v>0</v>
      </c>
      <c r="G188" s="1927">
        <v>0</v>
      </c>
      <c r="H188" s="466"/>
      <c r="I188" s="466"/>
      <c r="J188" s="466"/>
      <c r="K188" s="466"/>
    </row>
    <row r="189" spans="1:11" ht="12.75" customHeight="1">
      <c r="A189" s="462" t="s">
        <v>1696</v>
      </c>
      <c r="B189" s="468">
        <v>4107</v>
      </c>
      <c r="C189" s="1951">
        <v>0</v>
      </c>
      <c r="D189" s="1927">
        <v>0</v>
      </c>
      <c r="E189" s="547"/>
      <c r="F189" s="1927">
        <v>0</v>
      </c>
      <c r="G189" s="1927">
        <v>0</v>
      </c>
      <c r="H189" s="466"/>
      <c r="I189" s="466"/>
      <c r="J189" s="466"/>
      <c r="K189" s="466"/>
    </row>
    <row r="190" spans="1:11" ht="12.75" customHeight="1">
      <c r="A190" s="462" t="s">
        <v>1695</v>
      </c>
      <c r="B190" s="468">
        <v>4199</v>
      </c>
      <c r="C190" s="1951">
        <v>0</v>
      </c>
      <c r="D190" s="1927">
        <v>0</v>
      </c>
      <c r="E190" s="547"/>
      <c r="F190" s="1927">
        <v>0</v>
      </c>
      <c r="G190" s="1927">
        <v>0</v>
      </c>
      <c r="H190" s="466"/>
      <c r="I190" s="466"/>
      <c r="J190" s="466"/>
      <c r="K190" s="466"/>
    </row>
    <row r="191" spans="1:11" ht="12.75" customHeight="1" thickBot="1">
      <c r="A191" s="1700" t="s">
        <v>1697</v>
      </c>
      <c r="B191" s="1701"/>
      <c r="C191" s="1699">
        <v>0</v>
      </c>
      <c r="D191" s="1699">
        <v>0</v>
      </c>
      <c r="E191" s="547"/>
      <c r="F191" s="1699">
        <v>0</v>
      </c>
      <c r="G191" s="1699">
        <v>0</v>
      </c>
      <c r="H191" s="466"/>
      <c r="I191" s="466"/>
      <c r="J191" s="466"/>
      <c r="K191" s="466"/>
    </row>
    <row r="192" spans="1:11" ht="15.75" customHeight="1" thickTop="1">
      <c r="A192" s="1592" t="s">
        <v>475</v>
      </c>
      <c r="B192" s="1597"/>
      <c r="C192" s="540"/>
      <c r="D192" s="552"/>
      <c r="E192" s="547"/>
      <c r="F192" s="540"/>
      <c r="G192" s="540"/>
      <c r="H192" s="466"/>
      <c r="I192" s="466"/>
      <c r="J192" s="466"/>
      <c r="K192" s="466"/>
    </row>
    <row r="193" spans="1:11">
      <c r="A193" s="462" t="s">
        <v>1525</v>
      </c>
      <c r="B193" s="468">
        <v>4200</v>
      </c>
      <c r="C193" s="1926">
        <v>0</v>
      </c>
      <c r="D193" s="466"/>
      <c r="E193" s="547"/>
      <c r="F193" s="540"/>
      <c r="G193" s="1952">
        <v>0</v>
      </c>
      <c r="H193" s="466"/>
      <c r="I193" s="466"/>
      <c r="J193" s="466"/>
      <c r="K193" s="466"/>
    </row>
    <row r="194" spans="1:11" ht="12.75" customHeight="1">
      <c r="A194" s="462" t="s">
        <v>1118</v>
      </c>
      <c r="B194" s="468">
        <v>4210</v>
      </c>
      <c r="C194" s="1927">
        <v>945430</v>
      </c>
      <c r="D194" s="466"/>
      <c r="E194" s="547"/>
      <c r="F194" s="466"/>
      <c r="G194" s="1952">
        <v>0</v>
      </c>
      <c r="H194" s="466"/>
      <c r="I194" s="466"/>
      <c r="J194" s="466"/>
      <c r="K194" s="466"/>
    </row>
    <row r="195" spans="1:11" ht="12.75" customHeight="1">
      <c r="A195" s="462" t="s">
        <v>1107</v>
      </c>
      <c r="B195" s="468">
        <v>4215</v>
      </c>
      <c r="C195" s="1951">
        <v>0</v>
      </c>
      <c r="D195" s="466"/>
      <c r="E195" s="547"/>
      <c r="F195" s="466"/>
      <c r="G195" s="1952">
        <v>0</v>
      </c>
      <c r="H195" s="466"/>
      <c r="I195" s="466"/>
      <c r="J195" s="466"/>
      <c r="K195" s="466"/>
    </row>
    <row r="196" spans="1:11" ht="12.75" customHeight="1">
      <c r="A196" s="462" t="s">
        <v>1119</v>
      </c>
      <c r="B196" s="468">
        <v>4220</v>
      </c>
      <c r="C196" s="1951">
        <v>266230</v>
      </c>
      <c r="D196" s="466"/>
      <c r="E196" s="547"/>
      <c r="F196" s="466"/>
      <c r="G196" s="1952">
        <v>0</v>
      </c>
      <c r="H196" s="466"/>
      <c r="I196" s="466"/>
      <c r="J196" s="466"/>
      <c r="K196" s="466"/>
    </row>
    <row r="197" spans="1:11" ht="12.75" customHeight="1">
      <c r="A197" s="462" t="s">
        <v>1526</v>
      </c>
      <c r="B197" s="468">
        <v>4225</v>
      </c>
      <c r="C197" s="1951">
        <v>0</v>
      </c>
      <c r="D197" s="466"/>
      <c r="E197" s="547"/>
      <c r="F197" s="466"/>
      <c r="G197" s="1952">
        <v>0</v>
      </c>
      <c r="H197" s="466"/>
      <c r="I197" s="466"/>
      <c r="J197" s="466"/>
      <c r="K197" s="466"/>
    </row>
    <row r="198" spans="1:11" ht="12.75" customHeight="1">
      <c r="A198" s="462" t="s">
        <v>1527</v>
      </c>
      <c r="B198" s="468">
        <v>4226</v>
      </c>
      <c r="C198" s="1951">
        <v>0</v>
      </c>
      <c r="D198" s="466"/>
      <c r="E198" s="547"/>
      <c r="F198" s="466"/>
      <c r="G198" s="1952">
        <v>0</v>
      </c>
      <c r="H198" s="466"/>
      <c r="I198" s="466"/>
      <c r="J198" s="466"/>
      <c r="K198" s="466"/>
    </row>
    <row r="199" spans="1:11" ht="12.75" customHeight="1">
      <c r="A199" s="462" t="s">
        <v>825</v>
      </c>
      <c r="B199" s="468">
        <v>4240</v>
      </c>
      <c r="C199" s="1951">
        <v>0</v>
      </c>
      <c r="D199" s="466"/>
      <c r="E199" s="547"/>
      <c r="F199" s="466"/>
      <c r="G199" s="564"/>
      <c r="H199" s="466"/>
      <c r="I199" s="466"/>
      <c r="J199" s="466"/>
      <c r="K199" s="466"/>
    </row>
    <row r="200" spans="1:11" ht="12.75" customHeight="1">
      <c r="A200" s="462" t="s">
        <v>73</v>
      </c>
      <c r="B200" s="468">
        <v>4299</v>
      </c>
      <c r="C200" s="1951">
        <v>0</v>
      </c>
      <c r="D200" s="466"/>
      <c r="E200" s="547"/>
      <c r="F200" s="466"/>
      <c r="G200" s="1952">
        <v>0</v>
      </c>
      <c r="H200" s="466"/>
      <c r="I200" s="466"/>
      <c r="J200" s="466"/>
      <c r="K200" s="466"/>
    </row>
    <row r="201" spans="1:11" ht="12.75" customHeight="1" thickBot="1">
      <c r="A201" s="1700" t="s">
        <v>569</v>
      </c>
      <c r="B201" s="1701"/>
      <c r="C201" s="1680">
        <v>1211660</v>
      </c>
      <c r="D201" s="466"/>
      <c r="E201" s="466"/>
      <c r="F201" s="466"/>
      <c r="G201" s="1680">
        <v>0</v>
      </c>
      <c r="H201" s="466"/>
      <c r="I201" s="466"/>
      <c r="J201" s="466"/>
      <c r="K201" s="466"/>
    </row>
    <row r="202" spans="1:11" ht="15.75" customHeight="1" thickTop="1">
      <c r="A202" s="1592" t="s">
        <v>1200</v>
      </c>
      <c r="B202" s="1597"/>
      <c r="C202" s="540"/>
      <c r="D202" s="466"/>
      <c r="E202" s="466"/>
      <c r="F202" s="466"/>
      <c r="G202" s="466"/>
      <c r="H202" s="466"/>
      <c r="I202" s="466"/>
      <c r="J202" s="466"/>
      <c r="K202" s="466"/>
    </row>
    <row r="203" spans="1:11" ht="12.75" customHeight="1">
      <c r="A203" s="462" t="s">
        <v>974</v>
      </c>
      <c r="B203" s="468">
        <v>4300</v>
      </c>
      <c r="C203" s="1927">
        <v>853682</v>
      </c>
      <c r="D203" s="1927">
        <v>0</v>
      </c>
      <c r="E203" s="466"/>
      <c r="F203" s="1927">
        <v>0</v>
      </c>
      <c r="G203" s="1927">
        <v>0</v>
      </c>
      <c r="H203" s="466"/>
      <c r="I203" s="466"/>
      <c r="J203" s="466"/>
      <c r="K203" s="466"/>
    </row>
    <row r="204" spans="1:11" ht="12.75" customHeight="1">
      <c r="A204" s="462" t="s">
        <v>975</v>
      </c>
      <c r="B204" s="468">
        <v>4305</v>
      </c>
      <c r="C204" s="1951">
        <v>0</v>
      </c>
      <c r="D204" s="1927">
        <v>0</v>
      </c>
      <c r="E204" s="466"/>
      <c r="F204" s="1951">
        <v>0</v>
      </c>
      <c r="G204" s="1927">
        <v>0</v>
      </c>
      <c r="H204" s="466"/>
      <c r="I204" s="466"/>
      <c r="J204" s="466"/>
      <c r="K204" s="466"/>
    </row>
    <row r="205" spans="1:11" ht="12.75" customHeight="1">
      <c r="A205" s="462" t="s">
        <v>976</v>
      </c>
      <c r="B205" s="468">
        <v>4332</v>
      </c>
      <c r="C205" s="1951">
        <v>0</v>
      </c>
      <c r="D205" s="1927">
        <v>0</v>
      </c>
      <c r="E205" s="466"/>
      <c r="F205" s="1951">
        <v>0</v>
      </c>
      <c r="G205" s="1927">
        <v>0</v>
      </c>
      <c r="H205" s="466"/>
      <c r="I205" s="466"/>
      <c r="J205" s="466"/>
      <c r="K205" s="466"/>
    </row>
    <row r="206" spans="1:11" ht="12.75" customHeight="1">
      <c r="A206" s="462" t="s">
        <v>1089</v>
      </c>
      <c r="B206" s="468">
        <v>4334</v>
      </c>
      <c r="C206" s="1951">
        <v>0</v>
      </c>
      <c r="D206" s="1927">
        <v>0</v>
      </c>
      <c r="E206" s="466"/>
      <c r="F206" s="1951">
        <v>0</v>
      </c>
      <c r="G206" s="1927">
        <v>0</v>
      </c>
      <c r="H206" s="466"/>
      <c r="I206" s="466"/>
      <c r="J206" s="466"/>
      <c r="K206" s="466"/>
    </row>
    <row r="207" spans="1:11" ht="12.75" customHeight="1">
      <c r="A207" s="462" t="s">
        <v>1090</v>
      </c>
      <c r="B207" s="468">
        <v>4335</v>
      </c>
      <c r="C207" s="1951">
        <v>0</v>
      </c>
      <c r="D207" s="1927">
        <v>0</v>
      </c>
      <c r="E207" s="466"/>
      <c r="F207" s="1951">
        <v>0</v>
      </c>
      <c r="G207" s="1927">
        <v>0</v>
      </c>
      <c r="H207" s="466"/>
      <c r="I207" s="466"/>
      <c r="J207" s="466"/>
      <c r="K207" s="466"/>
    </row>
    <row r="208" spans="1:11" ht="12.75" customHeight="1">
      <c r="A208" s="462" t="s">
        <v>1153</v>
      </c>
      <c r="B208" s="468">
        <v>4337</v>
      </c>
      <c r="C208" s="1933">
        <v>0</v>
      </c>
      <c r="D208" s="1926">
        <v>0</v>
      </c>
      <c r="E208" s="466"/>
      <c r="F208" s="1933">
        <v>0</v>
      </c>
      <c r="G208" s="1926">
        <v>0</v>
      </c>
      <c r="H208" s="466"/>
      <c r="I208" s="466"/>
      <c r="J208" s="466"/>
      <c r="K208" s="466"/>
    </row>
    <row r="209" spans="1:11" ht="12.75" customHeight="1">
      <c r="A209" s="462" t="s">
        <v>1091</v>
      </c>
      <c r="B209" s="468">
        <v>4340</v>
      </c>
      <c r="C209" s="1951">
        <v>0</v>
      </c>
      <c r="D209" s="1927">
        <v>0</v>
      </c>
      <c r="E209" s="466"/>
      <c r="F209" s="1951">
        <v>0</v>
      </c>
      <c r="G209" s="1927">
        <v>0</v>
      </c>
      <c r="H209" s="466"/>
      <c r="I209" s="466"/>
      <c r="J209" s="466"/>
      <c r="K209" s="466"/>
    </row>
    <row r="210" spans="1:11" ht="12.75" customHeight="1">
      <c r="A210" s="462" t="s">
        <v>74</v>
      </c>
      <c r="B210" s="468">
        <v>4399</v>
      </c>
      <c r="C210" s="1951">
        <v>0</v>
      </c>
      <c r="D210" s="1927">
        <v>0</v>
      </c>
      <c r="E210" s="466"/>
      <c r="F210" s="1951">
        <v>0</v>
      </c>
      <c r="G210" s="1927">
        <v>0</v>
      </c>
      <c r="H210" s="466"/>
      <c r="I210" s="466"/>
      <c r="J210" s="466"/>
      <c r="K210" s="466"/>
    </row>
    <row r="211" spans="1:11" ht="12.75" customHeight="1" thickBot="1">
      <c r="A211" s="1700" t="s">
        <v>420</v>
      </c>
      <c r="B211" s="1701"/>
      <c r="C211" s="1699">
        <v>853682</v>
      </c>
      <c r="D211" s="1699">
        <v>0</v>
      </c>
      <c r="E211" s="466"/>
      <c r="F211" s="1699">
        <v>0</v>
      </c>
      <c r="G211" s="1699">
        <v>0</v>
      </c>
      <c r="H211" s="466"/>
      <c r="I211" s="466"/>
      <c r="J211" s="466"/>
      <c r="K211" s="466"/>
    </row>
    <row r="212" spans="1:11" ht="15.75" customHeight="1" thickTop="1">
      <c r="A212" s="1592" t="s">
        <v>1201</v>
      </c>
      <c r="B212" s="1597"/>
      <c r="C212" s="540"/>
      <c r="D212" s="540"/>
      <c r="E212" s="466"/>
      <c r="F212" s="540"/>
      <c r="G212" s="540"/>
      <c r="H212" s="466"/>
      <c r="I212" s="466"/>
      <c r="J212" s="466"/>
      <c r="K212" s="466"/>
    </row>
    <row r="213" spans="1:11" ht="12.75" customHeight="1">
      <c r="A213" s="462" t="s">
        <v>783</v>
      </c>
      <c r="B213" s="468">
        <v>4400</v>
      </c>
      <c r="C213" s="1951">
        <v>0</v>
      </c>
      <c r="D213" s="1927">
        <v>0</v>
      </c>
      <c r="E213" s="466"/>
      <c r="F213" s="1927">
        <v>0</v>
      </c>
      <c r="G213" s="1927">
        <v>0</v>
      </c>
      <c r="H213" s="466"/>
      <c r="I213" s="466"/>
      <c r="J213" s="466"/>
      <c r="K213" s="466"/>
    </row>
    <row r="214" spans="1:11" ht="12.75" customHeight="1">
      <c r="A214" s="462" t="s">
        <v>1528</v>
      </c>
      <c r="B214" s="468">
        <v>4421</v>
      </c>
      <c r="C214" s="1951">
        <v>0</v>
      </c>
      <c r="D214" s="1927">
        <v>0</v>
      </c>
      <c r="E214" s="466"/>
      <c r="F214" s="1927">
        <v>0</v>
      </c>
      <c r="G214" s="1927">
        <v>0</v>
      </c>
      <c r="H214" s="466"/>
      <c r="I214" s="466"/>
      <c r="J214" s="466"/>
      <c r="K214" s="466"/>
    </row>
    <row r="215" spans="1:11" ht="12.75" customHeight="1">
      <c r="A215" s="462" t="s">
        <v>75</v>
      </c>
      <c r="B215" s="468">
        <v>4499</v>
      </c>
      <c r="C215" s="1951">
        <v>0</v>
      </c>
      <c r="D215" s="1927">
        <v>0</v>
      </c>
      <c r="E215" s="466"/>
      <c r="F215" s="1927">
        <v>0</v>
      </c>
      <c r="G215" s="1927">
        <v>0</v>
      </c>
      <c r="H215" s="466"/>
      <c r="I215" s="466"/>
      <c r="J215" s="466"/>
      <c r="K215" s="466"/>
    </row>
    <row r="216" spans="1:11" ht="12.75" customHeight="1" thickBot="1">
      <c r="A216" s="1700" t="s">
        <v>944</v>
      </c>
      <c r="B216" s="1701"/>
      <c r="C216" s="1699">
        <v>0</v>
      </c>
      <c r="D216" s="1699">
        <v>0</v>
      </c>
      <c r="E216" s="466" t="s">
        <v>1231</v>
      </c>
      <c r="F216" s="1699">
        <v>0</v>
      </c>
      <c r="G216" s="1699">
        <v>0</v>
      </c>
      <c r="H216" s="466"/>
      <c r="I216" s="466"/>
      <c r="J216" s="466"/>
      <c r="K216" s="466"/>
    </row>
    <row r="217" spans="1:11" ht="15.75" customHeight="1" thickTop="1">
      <c r="A217" s="1592" t="s">
        <v>1154</v>
      </c>
      <c r="B217" s="1597"/>
      <c r="C217" s="540"/>
      <c r="D217" s="540"/>
      <c r="E217" s="466"/>
      <c r="F217" s="540"/>
      <c r="G217" s="540"/>
      <c r="H217" s="466"/>
      <c r="I217" s="466"/>
      <c r="J217" s="466"/>
      <c r="K217" s="466"/>
    </row>
    <row r="218" spans="1:11" ht="12.75" customHeight="1">
      <c r="A218" s="462" t="s">
        <v>1112</v>
      </c>
      <c r="B218" s="468">
        <v>4600</v>
      </c>
      <c r="C218" s="1951">
        <v>0</v>
      </c>
      <c r="D218" s="1927">
        <v>0</v>
      </c>
      <c r="E218" s="466"/>
      <c r="F218" s="1927">
        <v>0</v>
      </c>
      <c r="G218" s="1927">
        <v>0</v>
      </c>
      <c r="H218" s="466"/>
      <c r="I218" s="466"/>
      <c r="J218" s="466"/>
      <c r="K218" s="466"/>
    </row>
    <row r="219" spans="1:11" ht="12.75" customHeight="1">
      <c r="A219" s="462" t="s">
        <v>1113</v>
      </c>
      <c r="B219" s="468">
        <v>4605</v>
      </c>
      <c r="C219" s="1951">
        <v>0</v>
      </c>
      <c r="D219" s="1927">
        <v>0</v>
      </c>
      <c r="E219" s="466"/>
      <c r="F219" s="1927">
        <v>0</v>
      </c>
      <c r="G219" s="1927">
        <v>0</v>
      </c>
      <c r="H219" s="466"/>
      <c r="I219" s="466"/>
      <c r="J219" s="466"/>
      <c r="K219" s="466"/>
    </row>
    <row r="220" spans="1:11" ht="12.75" customHeight="1">
      <c r="A220" s="462" t="s">
        <v>1529</v>
      </c>
      <c r="B220" s="544">
        <v>4620</v>
      </c>
      <c r="C220" s="1951">
        <v>673534</v>
      </c>
      <c r="D220" s="1927">
        <v>0</v>
      </c>
      <c r="E220" s="466"/>
      <c r="F220" s="1927">
        <v>0</v>
      </c>
      <c r="G220" s="1927">
        <v>0</v>
      </c>
      <c r="H220" s="466"/>
      <c r="I220" s="466"/>
      <c r="J220" s="466"/>
      <c r="K220" s="466"/>
    </row>
    <row r="221" spans="1:11" ht="12.75" customHeight="1">
      <c r="A221" s="462" t="s">
        <v>1114</v>
      </c>
      <c r="B221" s="468">
        <v>4625</v>
      </c>
      <c r="C221" s="1951">
        <v>38998</v>
      </c>
      <c r="D221" s="1927">
        <v>0</v>
      </c>
      <c r="E221" s="466"/>
      <c r="F221" s="1927">
        <v>0</v>
      </c>
      <c r="G221" s="1927">
        <v>0</v>
      </c>
      <c r="H221" s="466"/>
      <c r="I221" s="466"/>
      <c r="J221" s="466"/>
      <c r="K221" s="466"/>
    </row>
    <row r="222" spans="1:11" ht="12.75" customHeight="1">
      <c r="A222" s="462" t="s">
        <v>1115</v>
      </c>
      <c r="B222" s="468">
        <v>4630</v>
      </c>
      <c r="C222" s="1951">
        <v>0</v>
      </c>
      <c r="D222" s="1927">
        <v>0</v>
      </c>
      <c r="E222" s="466"/>
      <c r="F222" s="1927">
        <v>0</v>
      </c>
      <c r="G222" s="1927">
        <v>0</v>
      </c>
      <c r="H222" s="466"/>
      <c r="I222" s="466"/>
      <c r="J222" s="466"/>
      <c r="K222" s="466"/>
    </row>
    <row r="223" spans="1:11" ht="12.75" customHeight="1">
      <c r="A223" s="1493" t="s">
        <v>76</v>
      </c>
      <c r="B223" s="544">
        <v>4699</v>
      </c>
      <c r="C223" s="1951">
        <v>0</v>
      </c>
      <c r="D223" s="1927">
        <v>0</v>
      </c>
      <c r="E223" s="466"/>
      <c r="F223" s="1927">
        <v>0</v>
      </c>
      <c r="G223" s="1927">
        <v>0</v>
      </c>
      <c r="H223" s="466"/>
      <c r="I223" s="466"/>
      <c r="J223" s="466"/>
      <c r="K223" s="466"/>
    </row>
    <row r="224" spans="1:11" ht="12.75" customHeight="1" thickBot="1">
      <c r="A224" s="1700" t="s">
        <v>467</v>
      </c>
      <c r="B224" s="1701"/>
      <c r="C224" s="1699">
        <v>712532</v>
      </c>
      <c r="D224" s="1699">
        <v>0</v>
      </c>
      <c r="E224" s="466"/>
      <c r="F224" s="1699">
        <v>0</v>
      </c>
      <c r="G224" s="1699">
        <v>0</v>
      </c>
      <c r="H224" s="466"/>
      <c r="I224" s="466"/>
      <c r="J224" s="466"/>
      <c r="K224" s="466"/>
    </row>
    <row r="225" spans="1:11" ht="15.75" customHeight="1" thickTop="1">
      <c r="A225" s="1592" t="s">
        <v>1155</v>
      </c>
      <c r="B225" s="1597"/>
      <c r="C225" s="540"/>
      <c r="D225" s="540"/>
      <c r="E225" s="466"/>
      <c r="F225" s="540"/>
      <c r="G225" s="540"/>
      <c r="H225" s="466"/>
      <c r="I225" s="466"/>
      <c r="J225" s="466"/>
      <c r="K225" s="466"/>
    </row>
    <row r="226" spans="1:11" ht="12.75" customHeight="1">
      <c r="A226" s="462" t="s">
        <v>820</v>
      </c>
      <c r="B226" s="468">
        <v>4770</v>
      </c>
      <c r="C226" s="1951">
        <v>163731</v>
      </c>
      <c r="D226" s="1927">
        <v>0</v>
      </c>
      <c r="E226" s="466"/>
      <c r="F226" s="466"/>
      <c r="G226" s="1927">
        <v>0</v>
      </c>
      <c r="H226" s="466"/>
      <c r="I226" s="466"/>
      <c r="J226" s="466"/>
      <c r="K226" s="466"/>
    </row>
    <row r="227" spans="1:11" ht="12.75" customHeight="1">
      <c r="A227" s="462" t="s">
        <v>69</v>
      </c>
      <c r="B227" s="468">
        <v>4799</v>
      </c>
      <c r="C227" s="1951">
        <v>0</v>
      </c>
      <c r="D227" s="1927">
        <v>0</v>
      </c>
      <c r="E227" s="466"/>
      <c r="F227" s="466"/>
      <c r="G227" s="1927">
        <v>0</v>
      </c>
      <c r="H227" s="466"/>
      <c r="I227" s="466"/>
      <c r="J227" s="466"/>
      <c r="K227" s="466"/>
    </row>
    <row r="228" spans="1:11" ht="12.75" customHeight="1" thickBot="1">
      <c r="A228" s="1715" t="s">
        <v>1145</v>
      </c>
      <c r="B228" s="1716"/>
      <c r="C228" s="1699">
        <v>163731</v>
      </c>
      <c r="D228" s="1699">
        <v>0</v>
      </c>
      <c r="E228" s="466"/>
      <c r="F228" s="466"/>
      <c r="G228" s="1699">
        <v>0</v>
      </c>
      <c r="H228" s="466"/>
      <c r="I228" s="466"/>
      <c r="J228" s="466"/>
      <c r="K228" s="466"/>
    </row>
    <row r="229" spans="1:11" ht="12.75" customHeight="1" thickTop="1" thickBot="1">
      <c r="A229" s="486" t="s">
        <v>781</v>
      </c>
      <c r="B229" s="485">
        <v>4810</v>
      </c>
      <c r="C229" s="1945">
        <v>0</v>
      </c>
      <c r="D229" s="1944">
        <v>0</v>
      </c>
      <c r="E229" s="466"/>
      <c r="F229" s="466"/>
      <c r="G229" s="559"/>
      <c r="H229" s="466"/>
      <c r="I229" s="466"/>
      <c r="J229" s="466"/>
      <c r="K229" s="466"/>
    </row>
    <row r="230" spans="1:11" ht="12.75" customHeight="1" thickTop="1">
      <c r="A230" s="486" t="s">
        <v>368</v>
      </c>
      <c r="B230" s="485">
        <v>4850</v>
      </c>
      <c r="C230" s="1933">
        <v>0</v>
      </c>
      <c r="D230" s="1926">
        <v>0</v>
      </c>
      <c r="E230" s="1926">
        <v>0</v>
      </c>
      <c r="F230" s="1926">
        <v>0</v>
      </c>
      <c r="G230" s="1926">
        <v>0</v>
      </c>
      <c r="H230" s="1926">
        <v>0</v>
      </c>
      <c r="I230" s="466"/>
      <c r="J230" s="1926">
        <v>0</v>
      </c>
      <c r="K230" s="1926">
        <v>0</v>
      </c>
    </row>
    <row r="231" spans="1:11" ht="12.75" customHeight="1">
      <c r="A231" s="486" t="s">
        <v>369</v>
      </c>
      <c r="B231" s="485">
        <v>4851</v>
      </c>
      <c r="C231" s="1933">
        <v>0</v>
      </c>
      <c r="D231" s="1926">
        <v>0</v>
      </c>
      <c r="E231" s="466"/>
      <c r="F231" s="1930">
        <v>0</v>
      </c>
      <c r="G231" s="1926">
        <v>0</v>
      </c>
      <c r="H231" s="466"/>
      <c r="I231" s="466"/>
      <c r="J231" s="466"/>
      <c r="K231" s="466"/>
    </row>
    <row r="232" spans="1:11" ht="12.75" customHeight="1">
      <c r="A232" s="486" t="s">
        <v>370</v>
      </c>
      <c r="B232" s="485">
        <v>4852</v>
      </c>
      <c r="C232" s="1933">
        <v>0</v>
      </c>
      <c r="D232" s="1926">
        <v>0</v>
      </c>
      <c r="E232" s="1926">
        <v>0</v>
      </c>
      <c r="F232" s="1926">
        <v>0</v>
      </c>
      <c r="G232" s="1926">
        <v>0</v>
      </c>
      <c r="H232" s="1926">
        <v>0</v>
      </c>
      <c r="I232" s="466"/>
      <c r="J232" s="1926">
        <v>0</v>
      </c>
      <c r="K232" s="1926">
        <v>0</v>
      </c>
    </row>
    <row r="233" spans="1:11" ht="12.75" customHeight="1">
      <c r="A233" s="486" t="s">
        <v>371</v>
      </c>
      <c r="B233" s="485">
        <v>4853</v>
      </c>
      <c r="C233" s="1933">
        <v>0</v>
      </c>
      <c r="D233" s="1926">
        <v>0</v>
      </c>
      <c r="E233" s="1926">
        <v>0</v>
      </c>
      <c r="F233" s="1926">
        <v>0</v>
      </c>
      <c r="G233" s="1926">
        <v>0</v>
      </c>
      <c r="H233" s="1926">
        <v>0</v>
      </c>
      <c r="I233" s="466"/>
      <c r="J233" s="1926">
        <v>0</v>
      </c>
      <c r="K233" s="1926">
        <v>0</v>
      </c>
    </row>
    <row r="234" spans="1:11" ht="12.75" customHeight="1">
      <c r="A234" s="486" t="s">
        <v>372</v>
      </c>
      <c r="B234" s="485">
        <v>4854</v>
      </c>
      <c r="C234" s="1933">
        <v>0</v>
      </c>
      <c r="D234" s="1926">
        <v>0</v>
      </c>
      <c r="E234" s="1926">
        <v>0</v>
      </c>
      <c r="F234" s="1926">
        <v>0</v>
      </c>
      <c r="G234" s="1926">
        <v>0</v>
      </c>
      <c r="H234" s="1926">
        <v>0</v>
      </c>
      <c r="I234" s="466"/>
      <c r="J234" s="1926">
        <v>0</v>
      </c>
      <c r="K234" s="1926">
        <v>0</v>
      </c>
    </row>
    <row r="235" spans="1:11" ht="12.75" customHeight="1">
      <c r="A235" s="486" t="s">
        <v>484</v>
      </c>
      <c r="B235" s="485">
        <v>4855</v>
      </c>
      <c r="C235" s="1933">
        <v>0</v>
      </c>
      <c r="D235" s="1926">
        <v>0</v>
      </c>
      <c r="E235" s="1926">
        <v>0</v>
      </c>
      <c r="F235" s="1926">
        <v>0</v>
      </c>
      <c r="G235" s="1926">
        <v>0</v>
      </c>
      <c r="H235" s="1926">
        <v>0</v>
      </c>
      <c r="I235" s="466"/>
      <c r="J235" s="1926">
        <v>0</v>
      </c>
      <c r="K235" s="1926">
        <v>0</v>
      </c>
    </row>
    <row r="236" spans="1:11" ht="12.75" customHeight="1">
      <c r="A236" s="486" t="s">
        <v>373</v>
      </c>
      <c r="B236" s="485">
        <v>4856</v>
      </c>
      <c r="C236" s="1933">
        <v>0</v>
      </c>
      <c r="D236" s="1926">
        <v>0</v>
      </c>
      <c r="E236" s="1926">
        <v>0</v>
      </c>
      <c r="F236" s="1926">
        <v>0</v>
      </c>
      <c r="G236" s="1926">
        <v>0</v>
      </c>
      <c r="H236" s="1926">
        <v>0</v>
      </c>
      <c r="I236" s="466"/>
      <c r="J236" s="1926">
        <v>0</v>
      </c>
      <c r="K236" s="1926">
        <v>0</v>
      </c>
    </row>
    <row r="237" spans="1:11" ht="12.75" customHeight="1">
      <c r="A237" s="486" t="s">
        <v>374</v>
      </c>
      <c r="B237" s="485">
        <v>4857</v>
      </c>
      <c r="C237" s="1933">
        <v>0</v>
      </c>
      <c r="D237" s="1926">
        <v>0</v>
      </c>
      <c r="E237" s="1926">
        <v>0</v>
      </c>
      <c r="F237" s="1926">
        <v>0</v>
      </c>
      <c r="G237" s="1926">
        <v>0</v>
      </c>
      <c r="H237" s="1926">
        <v>0</v>
      </c>
      <c r="I237" s="466"/>
      <c r="J237" s="1926">
        <v>0</v>
      </c>
      <c r="K237" s="1926">
        <v>0</v>
      </c>
    </row>
    <row r="238" spans="1:11" ht="12.75" customHeight="1">
      <c r="A238" s="486" t="s">
        <v>375</v>
      </c>
      <c r="B238" s="485">
        <v>4860</v>
      </c>
      <c r="C238" s="1933">
        <v>0</v>
      </c>
      <c r="D238" s="1926">
        <v>0</v>
      </c>
      <c r="E238" s="1926">
        <v>0</v>
      </c>
      <c r="F238" s="1926">
        <v>0</v>
      </c>
      <c r="G238" s="1926">
        <v>0</v>
      </c>
      <c r="H238" s="1926">
        <v>0</v>
      </c>
      <c r="I238" s="466"/>
      <c r="J238" s="1926">
        <v>0</v>
      </c>
      <c r="K238" s="1926">
        <v>0</v>
      </c>
    </row>
    <row r="239" spans="1:11" ht="12.75" customHeight="1">
      <c r="A239" s="486" t="s">
        <v>376</v>
      </c>
      <c r="B239" s="485">
        <v>4861</v>
      </c>
      <c r="C239" s="1933">
        <v>0</v>
      </c>
      <c r="D239" s="1926">
        <v>0</v>
      </c>
      <c r="E239" s="1926">
        <v>0</v>
      </c>
      <c r="F239" s="1926">
        <v>0</v>
      </c>
      <c r="G239" s="1926">
        <v>0</v>
      </c>
      <c r="H239" s="1926">
        <v>0</v>
      </c>
      <c r="I239" s="466"/>
      <c r="J239" s="1926">
        <v>0</v>
      </c>
      <c r="K239" s="1926">
        <v>0</v>
      </c>
    </row>
    <row r="240" spans="1:11" ht="12.75" customHeight="1">
      <c r="A240" s="486" t="s">
        <v>377</v>
      </c>
      <c r="B240" s="485">
        <v>4862</v>
      </c>
      <c r="C240" s="1933">
        <v>0</v>
      </c>
      <c r="D240" s="1926">
        <v>0</v>
      </c>
      <c r="E240" s="472"/>
      <c r="F240" s="1926">
        <v>0</v>
      </c>
      <c r="G240" s="1926">
        <v>0</v>
      </c>
      <c r="H240" s="472"/>
      <c r="I240" s="466"/>
      <c r="J240" s="472"/>
      <c r="K240" s="472"/>
    </row>
    <row r="241" spans="1:11" ht="12.75" customHeight="1">
      <c r="A241" s="486" t="s">
        <v>378</v>
      </c>
      <c r="B241" s="485">
        <v>4863</v>
      </c>
      <c r="C241" s="1933">
        <v>0</v>
      </c>
      <c r="D241" s="1926">
        <v>0</v>
      </c>
      <c r="E241" s="466"/>
      <c r="F241" s="472"/>
      <c r="G241" s="519"/>
      <c r="H241" s="466"/>
      <c r="I241" s="466"/>
      <c r="J241" s="466"/>
      <c r="K241" s="466"/>
    </row>
    <row r="242" spans="1:11" ht="12.75" customHeight="1">
      <c r="A242" s="486" t="s">
        <v>489</v>
      </c>
      <c r="B242" s="485">
        <v>4864</v>
      </c>
      <c r="C242" s="1933">
        <v>0</v>
      </c>
      <c r="D242" s="1926">
        <v>0</v>
      </c>
      <c r="E242" s="1926">
        <v>0</v>
      </c>
      <c r="F242" s="1926">
        <v>0</v>
      </c>
      <c r="G242" s="1926">
        <v>0</v>
      </c>
      <c r="H242" s="1926">
        <v>0</v>
      </c>
      <c r="I242" s="466"/>
      <c r="J242" s="1926">
        <v>0</v>
      </c>
      <c r="K242" s="1926">
        <v>0</v>
      </c>
    </row>
    <row r="243" spans="1:11" ht="12.75" customHeight="1">
      <c r="A243" s="486" t="s">
        <v>490</v>
      </c>
      <c r="B243" s="485">
        <v>4865</v>
      </c>
      <c r="C243" s="1933">
        <v>0</v>
      </c>
      <c r="D243" s="1926">
        <v>0</v>
      </c>
      <c r="E243" s="1926">
        <v>0</v>
      </c>
      <c r="F243" s="1926">
        <v>0</v>
      </c>
      <c r="G243" s="1926">
        <v>0</v>
      </c>
      <c r="H243" s="1926">
        <v>0</v>
      </c>
      <c r="I243" s="466"/>
      <c r="J243" s="1926">
        <v>0</v>
      </c>
      <c r="K243" s="1926">
        <v>0</v>
      </c>
    </row>
    <row r="244" spans="1:11" ht="12.75" customHeight="1">
      <c r="A244" s="486" t="s">
        <v>488</v>
      </c>
      <c r="B244" s="485">
        <v>4866</v>
      </c>
      <c r="C244" s="1933">
        <v>0</v>
      </c>
      <c r="D244" s="1926">
        <v>0</v>
      </c>
      <c r="E244" s="1926">
        <v>0</v>
      </c>
      <c r="F244" s="1926">
        <v>0</v>
      </c>
      <c r="G244" s="1926">
        <v>0</v>
      </c>
      <c r="H244" s="1926">
        <v>0</v>
      </c>
      <c r="I244" s="466"/>
      <c r="J244" s="1926">
        <v>0</v>
      </c>
      <c r="K244" s="1926">
        <v>0</v>
      </c>
    </row>
    <row r="245" spans="1:11" ht="12.75" customHeight="1">
      <c r="A245" s="486" t="s">
        <v>487</v>
      </c>
      <c r="B245" s="485">
        <v>4867</v>
      </c>
      <c r="C245" s="1933">
        <v>0</v>
      </c>
      <c r="D245" s="1926">
        <v>0</v>
      </c>
      <c r="E245" s="1926">
        <v>0</v>
      </c>
      <c r="F245" s="1926">
        <v>0</v>
      </c>
      <c r="G245" s="1926">
        <v>0</v>
      </c>
      <c r="H245" s="1926">
        <v>0</v>
      </c>
      <c r="I245" s="466"/>
      <c r="J245" s="1926">
        <v>0</v>
      </c>
      <c r="K245" s="1926">
        <v>0</v>
      </c>
    </row>
    <row r="246" spans="1:11" ht="12.75" customHeight="1">
      <c r="A246" s="486" t="s">
        <v>486</v>
      </c>
      <c r="B246" s="485">
        <v>4868</v>
      </c>
      <c r="C246" s="1933">
        <v>0</v>
      </c>
      <c r="D246" s="1926">
        <v>0</v>
      </c>
      <c r="E246" s="1926">
        <v>0</v>
      </c>
      <c r="F246" s="1926">
        <v>0</v>
      </c>
      <c r="G246" s="1926">
        <v>0</v>
      </c>
      <c r="H246" s="1926">
        <v>0</v>
      </c>
      <c r="I246" s="466"/>
      <c r="J246" s="1926">
        <v>0</v>
      </c>
      <c r="K246" s="1926">
        <v>0</v>
      </c>
    </row>
    <row r="247" spans="1:11" ht="12.75" customHeight="1">
      <c r="A247" s="486" t="s">
        <v>485</v>
      </c>
      <c r="B247" s="485">
        <v>4869</v>
      </c>
      <c r="C247" s="1933">
        <v>0</v>
      </c>
      <c r="D247" s="1926">
        <v>0</v>
      </c>
      <c r="E247" s="1926">
        <v>0</v>
      </c>
      <c r="F247" s="1926">
        <v>0</v>
      </c>
      <c r="G247" s="1926">
        <v>0</v>
      </c>
      <c r="H247" s="1926">
        <v>0</v>
      </c>
      <c r="I247" s="466"/>
      <c r="J247" s="1926">
        <v>0</v>
      </c>
      <c r="K247" s="1926">
        <v>0</v>
      </c>
    </row>
    <row r="248" spans="1:11" ht="12.75" customHeight="1">
      <c r="A248" s="486" t="s">
        <v>1190</v>
      </c>
      <c r="B248" s="485">
        <v>4870</v>
      </c>
      <c r="C248" s="1933">
        <v>0</v>
      </c>
      <c r="D248" s="1926">
        <v>0</v>
      </c>
      <c r="E248" s="1926">
        <v>0</v>
      </c>
      <c r="F248" s="1926">
        <v>0</v>
      </c>
      <c r="G248" s="1926">
        <v>0</v>
      </c>
      <c r="H248" s="1926">
        <v>0</v>
      </c>
      <c r="I248" s="466"/>
      <c r="J248" s="1926">
        <v>0</v>
      </c>
      <c r="K248" s="1926">
        <v>0</v>
      </c>
    </row>
    <row r="249" spans="1:11" ht="12.75" customHeight="1">
      <c r="A249" s="486" t="s">
        <v>821</v>
      </c>
      <c r="B249" s="485">
        <v>4871</v>
      </c>
      <c r="C249" s="1933">
        <v>0</v>
      </c>
      <c r="D249" s="1926">
        <v>0</v>
      </c>
      <c r="E249" s="1926">
        <v>0</v>
      </c>
      <c r="F249" s="1926">
        <v>0</v>
      </c>
      <c r="G249" s="1926">
        <v>0</v>
      </c>
      <c r="H249" s="1926">
        <v>0</v>
      </c>
      <c r="I249" s="466"/>
      <c r="J249" s="1926">
        <v>0</v>
      </c>
      <c r="K249" s="1926">
        <v>0</v>
      </c>
    </row>
    <row r="250" spans="1:11" ht="12.75" customHeight="1">
      <c r="A250" s="486" t="s">
        <v>822</v>
      </c>
      <c r="B250" s="485">
        <v>4872</v>
      </c>
      <c r="C250" s="1933">
        <v>0</v>
      </c>
      <c r="D250" s="1926">
        <v>0</v>
      </c>
      <c r="E250" s="1926">
        <v>0</v>
      </c>
      <c r="F250" s="1926">
        <v>0</v>
      </c>
      <c r="G250" s="1926">
        <v>0</v>
      </c>
      <c r="H250" s="1926">
        <v>0</v>
      </c>
      <c r="I250" s="466"/>
      <c r="J250" s="1926">
        <v>0</v>
      </c>
      <c r="K250" s="1926">
        <v>0</v>
      </c>
    </row>
    <row r="251" spans="1:11" ht="12.75" customHeight="1">
      <c r="A251" s="486" t="s">
        <v>823</v>
      </c>
      <c r="B251" s="485">
        <v>4873</v>
      </c>
      <c r="C251" s="1933">
        <v>0</v>
      </c>
      <c r="D251" s="1926">
        <v>0</v>
      </c>
      <c r="E251" s="1926">
        <v>0</v>
      </c>
      <c r="F251" s="1926">
        <v>0</v>
      </c>
      <c r="G251" s="1926">
        <v>0</v>
      </c>
      <c r="H251" s="1926">
        <v>0</v>
      </c>
      <c r="I251" s="466"/>
      <c r="J251" s="1926">
        <v>0</v>
      </c>
      <c r="K251" s="1926">
        <v>0</v>
      </c>
    </row>
    <row r="252" spans="1:11" ht="12.75" customHeight="1">
      <c r="A252" s="486" t="s">
        <v>824</v>
      </c>
      <c r="B252" s="485">
        <v>4874</v>
      </c>
      <c r="C252" s="1933">
        <v>0</v>
      </c>
      <c r="D252" s="1926">
        <v>0</v>
      </c>
      <c r="E252" s="1926">
        <v>0</v>
      </c>
      <c r="F252" s="1926">
        <v>0</v>
      </c>
      <c r="G252" s="1926">
        <v>0</v>
      </c>
      <c r="H252" s="1926">
        <v>0</v>
      </c>
      <c r="I252" s="466"/>
      <c r="J252" s="1926">
        <v>0</v>
      </c>
      <c r="K252" s="1926">
        <v>0</v>
      </c>
    </row>
    <row r="253" spans="1:11" ht="12.75" customHeight="1">
      <c r="A253" s="486" t="s">
        <v>491</v>
      </c>
      <c r="B253" s="485">
        <v>4875</v>
      </c>
      <c r="C253" s="1933">
        <v>0</v>
      </c>
      <c r="D253" s="1926">
        <v>0</v>
      </c>
      <c r="E253" s="1926">
        <v>0</v>
      </c>
      <c r="F253" s="1926">
        <v>0</v>
      </c>
      <c r="G253" s="1926">
        <v>0</v>
      </c>
      <c r="H253" s="1926">
        <v>0</v>
      </c>
      <c r="I253" s="466"/>
      <c r="J253" s="1926">
        <v>0</v>
      </c>
      <c r="K253" s="1926">
        <v>0</v>
      </c>
    </row>
    <row r="254" spans="1:11" ht="12.75" customHeight="1">
      <c r="A254" s="486" t="s">
        <v>794</v>
      </c>
      <c r="B254" s="485">
        <v>4876</v>
      </c>
      <c r="C254" s="1933">
        <v>0</v>
      </c>
      <c r="D254" s="1926">
        <v>0</v>
      </c>
      <c r="E254" s="1926">
        <v>0</v>
      </c>
      <c r="F254" s="1926">
        <v>0</v>
      </c>
      <c r="G254" s="1926">
        <v>0</v>
      </c>
      <c r="H254" s="1926">
        <v>0</v>
      </c>
      <c r="I254" s="466"/>
      <c r="J254" s="1926">
        <v>0</v>
      </c>
      <c r="K254" s="1926">
        <v>0</v>
      </c>
    </row>
    <row r="255" spans="1:11" ht="12.75" customHeight="1">
      <c r="A255" s="486" t="s">
        <v>795</v>
      </c>
      <c r="B255" s="485">
        <v>4877</v>
      </c>
      <c r="C255" s="1933">
        <v>0</v>
      </c>
      <c r="D255" s="1926">
        <v>0</v>
      </c>
      <c r="E255" s="1926">
        <v>0</v>
      </c>
      <c r="F255" s="1926">
        <v>0</v>
      </c>
      <c r="G255" s="1926">
        <v>0</v>
      </c>
      <c r="H255" s="1926">
        <v>0</v>
      </c>
      <c r="I255" s="466"/>
      <c r="J255" s="1926">
        <v>0</v>
      </c>
      <c r="K255" s="1926">
        <v>0</v>
      </c>
    </row>
    <row r="256" spans="1:11" ht="12.75" customHeight="1">
      <c r="A256" s="486" t="s">
        <v>796</v>
      </c>
      <c r="B256" s="485">
        <v>4878</v>
      </c>
      <c r="C256" s="1933">
        <v>0</v>
      </c>
      <c r="D256" s="1926">
        <v>0</v>
      </c>
      <c r="E256" s="1926">
        <v>0</v>
      </c>
      <c r="F256" s="1926">
        <v>0</v>
      </c>
      <c r="G256" s="1926">
        <v>0</v>
      </c>
      <c r="H256" s="1926">
        <v>0</v>
      </c>
      <c r="I256" s="466"/>
      <c r="J256" s="1926">
        <v>0</v>
      </c>
      <c r="K256" s="1926">
        <v>0</v>
      </c>
    </row>
    <row r="257" spans="1:11" ht="12.75" customHeight="1">
      <c r="A257" s="486" t="s">
        <v>797</v>
      </c>
      <c r="B257" s="485">
        <v>4879</v>
      </c>
      <c r="C257" s="1933">
        <v>0</v>
      </c>
      <c r="D257" s="1926">
        <v>0</v>
      </c>
      <c r="E257" s="1926">
        <v>0</v>
      </c>
      <c r="F257" s="1926">
        <v>0</v>
      </c>
      <c r="G257" s="1926">
        <v>0</v>
      </c>
      <c r="H257" s="1926">
        <v>0</v>
      </c>
      <c r="I257" s="466"/>
      <c r="J257" s="1926">
        <v>0</v>
      </c>
      <c r="K257" s="1926">
        <v>0</v>
      </c>
    </row>
    <row r="258" spans="1:11" ht="12.75" customHeight="1">
      <c r="A258" s="224" t="s">
        <v>1530</v>
      </c>
      <c r="B258" s="565">
        <v>4880</v>
      </c>
      <c r="C258" s="1933">
        <v>0</v>
      </c>
      <c r="D258" s="1926">
        <v>0</v>
      </c>
      <c r="E258" s="1926">
        <v>0</v>
      </c>
      <c r="F258" s="1926">
        <v>0</v>
      </c>
      <c r="G258" s="1926">
        <v>0</v>
      </c>
      <c r="H258" s="1926">
        <v>0</v>
      </c>
      <c r="I258" s="466"/>
      <c r="J258" s="1926">
        <v>0</v>
      </c>
      <c r="K258" s="1926">
        <v>0</v>
      </c>
    </row>
    <row r="259" spans="1:11" ht="12.75" customHeight="1" thickBot="1">
      <c r="A259" s="1717" t="s">
        <v>798</v>
      </c>
      <c r="B259" s="1718"/>
      <c r="C259" s="1710">
        <v>0</v>
      </c>
      <c r="D259" s="1699">
        <v>0</v>
      </c>
      <c r="E259" s="1699">
        <v>0</v>
      </c>
      <c r="F259" s="1699">
        <v>0</v>
      </c>
      <c r="G259" s="1699">
        <v>0</v>
      </c>
      <c r="H259" s="1699">
        <v>0</v>
      </c>
      <c r="I259" s="540"/>
      <c r="J259" s="1699">
        <v>0</v>
      </c>
      <c r="K259" s="1680">
        <v>0</v>
      </c>
    </row>
    <row r="260" spans="1:11" ht="12.75" customHeight="1" thickTop="1" thickBot="1">
      <c r="A260" s="1494" t="s">
        <v>1493</v>
      </c>
      <c r="B260" s="566">
        <v>4901</v>
      </c>
      <c r="C260" s="1950">
        <v>0</v>
      </c>
      <c r="D260" s="467"/>
      <c r="E260" s="466"/>
      <c r="F260" s="466"/>
      <c r="G260" s="466"/>
      <c r="H260" s="466"/>
      <c r="I260" s="466"/>
      <c r="J260" s="466"/>
      <c r="K260" s="466"/>
    </row>
    <row r="261" spans="1:11" ht="12.75" customHeight="1" thickTop="1" thickBot="1">
      <c r="A261" s="1495" t="s">
        <v>1538</v>
      </c>
      <c r="B261" s="567">
        <v>4902</v>
      </c>
      <c r="C261" s="1950">
        <v>0</v>
      </c>
      <c r="D261" s="1950">
        <v>0</v>
      </c>
      <c r="E261" s="467"/>
      <c r="F261" s="1950">
        <v>0</v>
      </c>
      <c r="G261" s="1950">
        <v>0</v>
      </c>
      <c r="H261" s="467"/>
      <c r="I261" s="466"/>
      <c r="J261" s="467"/>
      <c r="K261" s="467"/>
    </row>
    <row r="262" spans="1:11" ht="12.75" customHeight="1" thickTop="1" thickBot="1">
      <c r="A262" s="486" t="s">
        <v>1146</v>
      </c>
      <c r="B262" s="485">
        <v>4904</v>
      </c>
      <c r="C262" s="1949">
        <v>0</v>
      </c>
      <c r="D262" s="1948">
        <v>0</v>
      </c>
      <c r="E262" s="467"/>
      <c r="F262" s="540"/>
      <c r="G262" s="1948">
        <v>0</v>
      </c>
      <c r="H262" s="467"/>
      <c r="I262" s="466"/>
      <c r="J262" s="466"/>
      <c r="K262" s="466"/>
    </row>
    <row r="263" spans="1:11" ht="12.75" customHeight="1" thickTop="1" thickBot="1">
      <c r="A263" s="462" t="s">
        <v>1531</v>
      </c>
      <c r="B263" s="468">
        <v>4905</v>
      </c>
      <c r="C263" s="1946">
        <v>0</v>
      </c>
      <c r="D263" s="466"/>
      <c r="E263" s="466"/>
      <c r="F263" s="1947">
        <v>0</v>
      </c>
      <c r="G263" s="1946">
        <v>0</v>
      </c>
      <c r="H263" s="466"/>
      <c r="I263" s="466"/>
      <c r="J263" s="466"/>
      <c r="K263" s="466"/>
    </row>
    <row r="264" spans="1:11" ht="12.75" customHeight="1" thickTop="1" thickBot="1">
      <c r="A264" s="462" t="s">
        <v>1532</v>
      </c>
      <c r="B264" s="468">
        <v>4909</v>
      </c>
      <c r="C264" s="1944">
        <v>693</v>
      </c>
      <c r="D264" s="466"/>
      <c r="E264" s="466"/>
      <c r="F264" s="1944">
        <v>0</v>
      </c>
      <c r="G264" s="1944">
        <v>0</v>
      </c>
      <c r="H264" s="466"/>
      <c r="I264" s="466"/>
      <c r="J264" s="466"/>
      <c r="K264" s="466"/>
    </row>
    <row r="265" spans="1:11" ht="12.75" customHeight="1" thickTop="1" thickBot="1">
      <c r="A265" s="462" t="s">
        <v>945</v>
      </c>
      <c r="B265" s="468">
        <v>4910</v>
      </c>
      <c r="C265" s="1944">
        <v>0</v>
      </c>
      <c r="D265" s="466"/>
      <c r="E265" s="466"/>
      <c r="F265" s="1944">
        <v>0</v>
      </c>
      <c r="G265" s="1944">
        <v>0</v>
      </c>
      <c r="H265" s="466"/>
      <c r="I265" s="466"/>
      <c r="J265" s="466"/>
      <c r="K265" s="466"/>
    </row>
    <row r="266" spans="1:11" ht="12.75" customHeight="1" thickTop="1" thickBot="1">
      <c r="A266" s="462" t="s">
        <v>202</v>
      </c>
      <c r="B266" s="468">
        <v>4920</v>
      </c>
      <c r="C266" s="1944">
        <v>0</v>
      </c>
      <c r="D266" s="1947">
        <v>0</v>
      </c>
      <c r="E266" s="466"/>
      <c r="F266" s="1946">
        <v>0</v>
      </c>
      <c r="G266" s="1946">
        <v>0</v>
      </c>
      <c r="H266" s="466"/>
      <c r="I266" s="466"/>
      <c r="J266" s="466"/>
      <c r="K266" s="466"/>
    </row>
    <row r="267" spans="1:11" ht="12.75" customHeight="1" thickTop="1" thickBot="1">
      <c r="A267" s="462" t="s">
        <v>441</v>
      </c>
      <c r="B267" s="468">
        <v>4930</v>
      </c>
      <c r="C267" s="1944">
        <v>0</v>
      </c>
      <c r="D267" s="1944">
        <v>0</v>
      </c>
      <c r="E267" s="466"/>
      <c r="F267" s="1944">
        <v>0</v>
      </c>
      <c r="G267" s="1944">
        <v>0</v>
      </c>
      <c r="H267" s="466"/>
      <c r="I267" s="466"/>
      <c r="J267" s="466"/>
      <c r="K267" s="466"/>
    </row>
    <row r="268" spans="1:11" ht="12.75" customHeight="1" thickTop="1" thickBot="1">
      <c r="A268" s="462" t="s">
        <v>782</v>
      </c>
      <c r="B268" s="468">
        <v>4932</v>
      </c>
      <c r="C268" s="1944">
        <v>20198</v>
      </c>
      <c r="D268" s="1944">
        <v>0</v>
      </c>
      <c r="E268" s="466"/>
      <c r="F268" s="1944">
        <v>0</v>
      </c>
      <c r="G268" s="1944">
        <v>0</v>
      </c>
      <c r="H268" s="466"/>
      <c r="I268" s="466"/>
      <c r="J268" s="466"/>
      <c r="K268" s="466"/>
    </row>
    <row r="269" spans="1:11" ht="12.75" customHeight="1" thickTop="1" thickBot="1">
      <c r="A269" s="462" t="s">
        <v>946</v>
      </c>
      <c r="B269" s="468">
        <v>4960</v>
      </c>
      <c r="C269" s="1945">
        <v>0</v>
      </c>
      <c r="D269" s="1944">
        <v>0</v>
      </c>
      <c r="E269" s="466"/>
      <c r="F269" s="1944">
        <v>0</v>
      </c>
      <c r="G269" s="1944">
        <v>0</v>
      </c>
      <c r="H269" s="466"/>
      <c r="I269" s="466"/>
      <c r="J269" s="466"/>
      <c r="K269" s="466"/>
    </row>
    <row r="270" spans="1:11" ht="12.75" customHeight="1" thickTop="1" thickBot="1">
      <c r="A270" s="462" t="s">
        <v>589</v>
      </c>
      <c r="B270" s="468">
        <v>4991</v>
      </c>
      <c r="C270" s="1945">
        <v>11072</v>
      </c>
      <c r="D270" s="1944">
        <v>0</v>
      </c>
      <c r="E270" s="466"/>
      <c r="F270" s="1944">
        <v>0</v>
      </c>
      <c r="G270" s="1944">
        <v>0</v>
      </c>
      <c r="H270" s="466"/>
      <c r="I270" s="466"/>
      <c r="J270" s="466"/>
      <c r="K270" s="466"/>
    </row>
    <row r="271" spans="1:11" ht="12.75" customHeight="1" thickTop="1" thickBot="1">
      <c r="A271" s="462" t="s">
        <v>395</v>
      </c>
      <c r="B271" s="468">
        <v>4992</v>
      </c>
      <c r="C271" s="1945">
        <v>208325</v>
      </c>
      <c r="D271" s="1944">
        <v>0</v>
      </c>
      <c r="E271" s="466"/>
      <c r="F271" s="1944">
        <v>0</v>
      </c>
      <c r="G271" s="1944">
        <v>0</v>
      </c>
      <c r="H271" s="466"/>
      <c r="I271" s="466"/>
      <c r="J271" s="466"/>
      <c r="K271" s="466"/>
    </row>
    <row r="272" spans="1:11" s="568" customFormat="1" ht="12.75" customHeight="1" thickTop="1" thickBot="1">
      <c r="A272" s="549" t="s">
        <v>77</v>
      </c>
      <c r="B272" s="544">
        <v>4999</v>
      </c>
      <c r="C272" s="1945">
        <v>2</v>
      </c>
      <c r="D272" s="1944">
        <v>0</v>
      </c>
      <c r="E272" s="466"/>
      <c r="F272" s="1944">
        <v>0</v>
      </c>
      <c r="G272" s="1944">
        <v>0</v>
      </c>
      <c r="H272" s="1941">
        <v>0</v>
      </c>
      <c r="I272" s="466"/>
      <c r="J272" s="466"/>
      <c r="K272" s="1941">
        <v>0</v>
      </c>
    </row>
    <row r="273" spans="1:11" ht="14.25" thickTop="1" thickBot="1">
      <c r="A273" s="1700" t="s">
        <v>1765</v>
      </c>
      <c r="B273" s="1719"/>
      <c r="C273" s="1707">
        <v>3181895</v>
      </c>
      <c r="D273" s="1707">
        <v>0</v>
      </c>
      <c r="E273" s="1707">
        <v>0</v>
      </c>
      <c r="F273" s="1707">
        <v>0</v>
      </c>
      <c r="G273" s="1707">
        <v>0</v>
      </c>
      <c r="H273" s="1707">
        <v>0</v>
      </c>
      <c r="I273" s="466"/>
      <c r="J273" s="1707">
        <v>0</v>
      </c>
      <c r="K273" s="1694">
        <v>0</v>
      </c>
    </row>
    <row r="274" spans="1:11" ht="14.25" thickTop="1" thickBot="1">
      <c r="A274" s="1720" t="s">
        <v>1147</v>
      </c>
      <c r="B274" s="1721" t="s">
        <v>915</v>
      </c>
      <c r="C274" s="1707">
        <v>3181895</v>
      </c>
      <c r="D274" s="1707">
        <v>0</v>
      </c>
      <c r="E274" s="1707">
        <v>0</v>
      </c>
      <c r="F274" s="1707">
        <v>0</v>
      </c>
      <c r="G274" s="1707">
        <v>0</v>
      </c>
      <c r="H274" s="1707">
        <v>0</v>
      </c>
      <c r="I274" s="1707">
        <v>0</v>
      </c>
      <c r="J274" s="1707">
        <v>0</v>
      </c>
      <c r="K274" s="1694">
        <v>0</v>
      </c>
    </row>
    <row r="275" spans="1:11" ht="14.25" thickTop="1" thickBot="1">
      <c r="A275" s="1722" t="s">
        <v>269</v>
      </c>
      <c r="B275" s="1723"/>
      <c r="C275" s="1707">
        <v>48668034</v>
      </c>
      <c r="D275" s="1707">
        <v>4579510</v>
      </c>
      <c r="E275" s="1707">
        <v>4319168</v>
      </c>
      <c r="F275" s="1707">
        <v>6517698</v>
      </c>
      <c r="G275" s="1707">
        <v>1057526</v>
      </c>
      <c r="H275" s="1707">
        <v>36023</v>
      </c>
      <c r="I275" s="1707">
        <v>394918</v>
      </c>
      <c r="J275" s="1707">
        <v>1989247</v>
      </c>
      <c r="K275" s="1694">
        <v>412073</v>
      </c>
    </row>
    <row r="276" spans="1:11" ht="13.5" thickTop="1">
      <c r="C276" s="571"/>
      <c r="D276" s="571"/>
      <c r="E276" s="571"/>
      <c r="F276" s="571"/>
      <c r="G276" s="571"/>
      <c r="H276" s="571"/>
      <c r="I276" s="571"/>
      <c r="J276" s="571"/>
      <c r="K276" s="571"/>
    </row>
    <row r="277" spans="1:11">
      <c r="C277" s="571"/>
      <c r="D277" s="571"/>
      <c r="E277" s="571"/>
      <c r="F277" s="571"/>
      <c r="G277" s="571"/>
      <c r="H277" s="571"/>
      <c r="I277" s="571"/>
      <c r="J277" s="571"/>
      <c r="K277" s="571"/>
    </row>
    <row r="278" spans="1:11">
      <c r="C278" s="571"/>
      <c r="D278" s="571"/>
      <c r="E278" s="571"/>
      <c r="F278" s="571"/>
      <c r="G278" s="571"/>
      <c r="H278" s="571"/>
      <c r="I278" s="571"/>
      <c r="J278" s="571"/>
      <c r="K278" s="571"/>
    </row>
    <row r="279" spans="1:11">
      <c r="C279" s="571"/>
      <c r="D279" s="571"/>
      <c r="E279" s="571"/>
      <c r="F279" s="571"/>
      <c r="G279" s="571"/>
      <c r="H279" s="571"/>
      <c r="I279" s="571"/>
      <c r="J279" s="571"/>
      <c r="K279" s="571"/>
    </row>
    <row r="280" spans="1:11">
      <c r="C280" s="571"/>
      <c r="D280" s="571"/>
      <c r="E280" s="571"/>
      <c r="F280" s="571"/>
      <c r="G280" s="571"/>
      <c r="H280" s="571"/>
      <c r="I280" s="571"/>
      <c r="J280" s="571"/>
      <c r="K280" s="571"/>
    </row>
    <row r="281" spans="1:11">
      <c r="C281" s="571"/>
      <c r="D281" s="571"/>
      <c r="E281" s="571"/>
      <c r="F281" s="571"/>
      <c r="G281" s="571"/>
      <c r="H281" s="571"/>
      <c r="I281" s="571"/>
      <c r="J281" s="571"/>
      <c r="K281" s="571"/>
    </row>
    <row r="282" spans="1:11" s="328" customFormat="1">
      <c r="A282" s="569"/>
      <c r="B282" s="570"/>
      <c r="C282" s="571"/>
      <c r="D282" s="571"/>
      <c r="E282" s="571"/>
      <c r="F282" s="571"/>
      <c r="G282" s="571"/>
      <c r="H282" s="571"/>
      <c r="I282" s="571"/>
      <c r="J282" s="571"/>
      <c r="K282" s="571"/>
    </row>
    <row r="283" spans="1:11" s="328" customFormat="1">
      <c r="A283" s="569"/>
    </row>
    <row r="284" spans="1:11" s="328" customFormat="1">
      <c r="A284" s="572"/>
    </row>
    <row r="285" spans="1:11" s="328" customFormat="1">
      <c r="A285" s="572"/>
    </row>
    <row r="286" spans="1:11" s="328" customFormat="1">
      <c r="A286" s="572"/>
    </row>
  </sheetData>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Normal="68" zoomScaleSheetLayoutView="100" workbookViewId="0">
      <pane ySplit="2" topLeftCell="A153" activePane="bottomLeft" state="frozen"/>
      <selection activeCell="M97" activeCellId="1" sqref="A1 M97"/>
      <selection pane="bottomLeft" activeCell="A170" sqref="A170:XFD170"/>
    </sheetView>
  </sheetViews>
  <sheetFormatPr defaultColWidth="9.140625" defaultRowHeight="12.75"/>
  <cols>
    <col min="1" max="1" width="48.5703125" style="680" customWidth="1"/>
    <col min="2" max="2" width="5" style="681" customWidth="1"/>
    <col min="3" max="8" width="13.28515625" style="584" customWidth="1"/>
    <col min="9" max="10" width="13.28515625" style="342" customWidth="1"/>
    <col min="11" max="11" width="13.28515625" style="682" customWidth="1"/>
    <col min="12" max="12" width="11.85546875" style="342" customWidth="1"/>
    <col min="13" max="13" width="1.5703125" style="209" customWidth="1"/>
    <col min="14" max="14" width="9.140625" style="209"/>
    <col min="15" max="16384" width="9.140625" style="328"/>
  </cols>
  <sheetData>
    <row r="1" spans="1:14">
      <c r="A1" s="2157" t="s">
        <v>1903</v>
      </c>
      <c r="B1" s="577"/>
      <c r="C1" s="578" t="s">
        <v>799</v>
      </c>
      <c r="D1" s="578" t="s">
        <v>1138</v>
      </c>
      <c r="E1" s="578" t="s">
        <v>1139</v>
      </c>
      <c r="F1" s="578" t="s">
        <v>1140</v>
      </c>
      <c r="G1" s="578" t="s">
        <v>1141</v>
      </c>
      <c r="H1" s="578" t="s">
        <v>1142</v>
      </c>
      <c r="I1" s="578" t="s">
        <v>1143</v>
      </c>
      <c r="J1" s="578" t="s">
        <v>1144</v>
      </c>
      <c r="K1" s="578" t="s">
        <v>270</v>
      </c>
      <c r="L1" s="579"/>
    </row>
    <row r="2" spans="1:14" s="583" customFormat="1" ht="28.5" customHeight="1">
      <c r="A2" s="2191"/>
      <c r="B2" s="580" t="s">
        <v>47</v>
      </c>
      <c r="C2" s="581" t="s">
        <v>203</v>
      </c>
      <c r="D2" s="582" t="s">
        <v>51</v>
      </c>
      <c r="E2" s="582" t="s">
        <v>1162</v>
      </c>
      <c r="F2" s="582" t="s">
        <v>1156</v>
      </c>
      <c r="G2" s="581" t="s">
        <v>1157</v>
      </c>
      <c r="H2" s="581" t="s">
        <v>1158</v>
      </c>
      <c r="I2" s="582" t="s">
        <v>309</v>
      </c>
      <c r="J2" s="582" t="s">
        <v>310</v>
      </c>
      <c r="K2" s="581" t="s">
        <v>158</v>
      </c>
      <c r="L2" s="581" t="s">
        <v>30</v>
      </c>
      <c r="M2" s="256"/>
      <c r="N2" s="256"/>
    </row>
    <row r="3" spans="1:14" s="342" customFormat="1" ht="16.7" customHeight="1">
      <c r="A3" s="2197" t="s">
        <v>315</v>
      </c>
      <c r="B3" s="2198"/>
      <c r="C3" s="1540"/>
      <c r="D3" s="1540"/>
      <c r="E3" s="1540"/>
      <c r="F3" s="1540"/>
      <c r="G3" s="1540"/>
      <c r="H3" s="1540"/>
      <c r="I3" s="1540"/>
      <c r="J3" s="1540"/>
      <c r="K3" s="1541"/>
      <c r="L3" s="1542"/>
      <c r="M3" s="584"/>
      <c r="N3" s="584"/>
    </row>
    <row r="4" spans="1:14" s="258" customFormat="1" ht="15.75" customHeight="1">
      <c r="A4" s="1598" t="s">
        <v>46</v>
      </c>
      <c r="B4" s="1599" t="s">
        <v>591</v>
      </c>
      <c r="C4" s="585"/>
      <c r="D4" s="585"/>
      <c r="E4" s="585"/>
      <c r="F4" s="585"/>
      <c r="G4" s="585"/>
      <c r="H4" s="585"/>
      <c r="I4" s="586"/>
      <c r="J4" s="585"/>
      <c r="K4" s="587"/>
      <c r="L4" s="585"/>
      <c r="M4" s="588"/>
      <c r="N4" s="588"/>
    </row>
    <row r="5" spans="1:14">
      <c r="A5" s="1496" t="s">
        <v>1018</v>
      </c>
      <c r="B5" s="589">
        <v>1100</v>
      </c>
      <c r="C5" s="1927">
        <f>_xll.cw_map("BR","10-ED-&gt;3-1100-1")</f>
        <v>13447725</v>
      </c>
      <c r="D5" s="1927">
        <f>_xll.cw_map("BR","10-ED-&gt;3-1100-2")</f>
        <v>2893515</v>
      </c>
      <c r="E5" s="1927">
        <f>_xll.cw_map("BR","10-ED-&gt;3-1100-3")</f>
        <v>118197</v>
      </c>
      <c r="F5" s="1927">
        <f>_xll.cw_map("BR","10-ED-&gt;3-1100-4")</f>
        <v>648153</v>
      </c>
      <c r="G5" s="1927">
        <f>_xll.cw_map("BR","10-ED-&gt;3-1100-5")</f>
        <v>0</v>
      </c>
      <c r="H5" s="1927">
        <f>_xll.cw_map("BR","10-ED-&gt;3-1100-6")</f>
        <v>102472</v>
      </c>
      <c r="I5" s="1926">
        <f>_xll.cw_map("BR","10-ED-&gt;3-1100-7")</f>
        <v>42396</v>
      </c>
      <c r="J5" s="1926">
        <f>_xll.cw_map("BR","10-ED-&gt;3-1100-8")</f>
        <v>0</v>
      </c>
      <c r="K5" s="1663">
        <f>SUM(C5:J5)</f>
        <v>17252458</v>
      </c>
      <c r="L5" s="1927">
        <f>+'[1]EstExp 11-17'!$K$5</f>
        <v>17090377</v>
      </c>
    </row>
    <row r="6" spans="1:14">
      <c r="A6" s="1496" t="s">
        <v>1508</v>
      </c>
      <c r="B6" s="589" t="s">
        <v>1506</v>
      </c>
      <c r="C6" s="473"/>
      <c r="D6" s="473"/>
      <c r="E6" s="1927">
        <f>_xll.cw_map("BR","10-ED-&gt;3-1115-3")</f>
        <v>0</v>
      </c>
      <c r="F6" s="473"/>
      <c r="G6" s="473"/>
      <c r="H6" s="473"/>
      <c r="I6" s="473"/>
      <c r="J6" s="473"/>
      <c r="K6" s="1663">
        <f>SUM(C6,E6)</f>
        <v>0</v>
      </c>
      <c r="L6" s="1927">
        <f>+'[1]EstExp 11-17'!$K$6</f>
        <v>0</v>
      </c>
    </row>
    <row r="7" spans="1:14">
      <c r="A7" s="1496" t="s">
        <v>165</v>
      </c>
      <c r="B7" s="589" t="s">
        <v>1024</v>
      </c>
      <c r="C7" s="1926">
        <f>_xll.cw_map("BR","10-ED-&gt;3-1125-1")</f>
        <v>0</v>
      </c>
      <c r="D7" s="1926">
        <f>_xll.cw_map("BR","10-ED-&gt;3-1125-2")</f>
        <v>0</v>
      </c>
      <c r="E7" s="1926">
        <f>_xll.cw_map("BR","10-ED-&gt;3-1125-3")</f>
        <v>0</v>
      </c>
      <c r="F7" s="1926">
        <f>_xll.cw_map("BR","10-ED-&gt;3-1125-4")</f>
        <v>0</v>
      </c>
      <c r="G7" s="1926">
        <f>_xll.cw_map("BR","10-ED-&gt;3-1125-5")</f>
        <v>0</v>
      </c>
      <c r="H7" s="1926">
        <f>_xll.cw_map("BR","10-ED-&gt;3-1125-6")</f>
        <v>0</v>
      </c>
      <c r="I7" s="1926">
        <f>_xll.cw_map("BR","10-ED-&gt;3-1125-7")</f>
        <v>0</v>
      </c>
      <c r="J7" s="1926">
        <f>_xll.cw_map("BR","10-ED-&gt;3-1125-8")</f>
        <v>0</v>
      </c>
      <c r="K7" s="1663">
        <f t="shared" ref="K7:K32" si="0">SUM(C7:J7)</f>
        <v>0</v>
      </c>
      <c r="L7" s="1927">
        <f>+'[1]EstExp 11-17'!$K$7</f>
        <v>135000</v>
      </c>
    </row>
    <row r="8" spans="1:14">
      <c r="A8" s="1496" t="s">
        <v>166</v>
      </c>
      <c r="B8" s="589">
        <v>1200</v>
      </c>
      <c r="C8" s="1927">
        <f>_xll.cw_map("BR","10-ED-&gt;3-1200-1")</f>
        <v>5140342</v>
      </c>
      <c r="D8" s="1927">
        <f>_xll.cw_map("BR","10-ED-&gt;3-1200-2")</f>
        <v>1019845</v>
      </c>
      <c r="E8" s="1927">
        <f>_xll.cw_map("BR","10-ED-&gt;3-1200-3")</f>
        <v>96287</v>
      </c>
      <c r="F8" s="1927">
        <f>_xll.cw_map("BR","10-ED-&gt;3-1200-4")</f>
        <v>139600</v>
      </c>
      <c r="G8" s="1927">
        <f>_xll.cw_map("BR","10-ED-&gt;3-1200-5")</f>
        <v>0</v>
      </c>
      <c r="H8" s="1927">
        <f>_xll.cw_map("BR","10-ED-&gt;3-1200-6")</f>
        <v>0</v>
      </c>
      <c r="I8" s="1926">
        <f>_xll.cw_map("BR","10-ED-&gt;3-1200-7")</f>
        <v>58336</v>
      </c>
      <c r="J8" s="1926">
        <f>_xll.cw_map("BR","10-ED-&gt;3-1200-8")</f>
        <v>0</v>
      </c>
      <c r="K8" s="1663">
        <f t="shared" si="0"/>
        <v>6454410</v>
      </c>
      <c r="L8" s="1927">
        <f>+'[1]EstExp 11-17'!$K$8</f>
        <v>6181947</v>
      </c>
    </row>
    <row r="9" spans="1:14">
      <c r="A9" s="1496" t="s">
        <v>745</v>
      </c>
      <c r="B9" s="589" t="s">
        <v>1025</v>
      </c>
      <c r="C9" s="1926">
        <f>_xll.cw_map("BR","10-ED-&gt;3-1225-1")</f>
        <v>0</v>
      </c>
      <c r="D9" s="1926">
        <f>_xll.cw_map("BR","10-ED-&gt;3-1225-2")</f>
        <v>0</v>
      </c>
      <c r="E9" s="1926">
        <f>_xll.cw_map("BR","10-ED-&gt;3-1225-3")</f>
        <v>0</v>
      </c>
      <c r="F9" s="1926">
        <f>_xll.cw_map("BR","10-ED-&gt;3-1225-4")</f>
        <v>0</v>
      </c>
      <c r="G9" s="1926">
        <f>_xll.cw_map("BR","10-ED-&gt;3-1225-5")</f>
        <v>0</v>
      </c>
      <c r="H9" s="1926">
        <f>_xll.cw_map("BR","10-ED-&gt;3-1225-6")</f>
        <v>0</v>
      </c>
      <c r="I9" s="1926">
        <f>_xll.cw_map("BR","10-ED-&gt;3-1225-7")</f>
        <v>0</v>
      </c>
      <c r="J9" s="1926">
        <f>_xll.cw_map("BR","10-ED-&gt;3-1225-8")</f>
        <v>0</v>
      </c>
      <c r="K9" s="1663">
        <f t="shared" si="0"/>
        <v>0</v>
      </c>
      <c r="L9" s="1927">
        <f>+'[1]EstExp 11-17'!$K$9</f>
        <v>0</v>
      </c>
    </row>
    <row r="10" spans="1:14">
      <c r="A10" s="1496" t="s">
        <v>746</v>
      </c>
      <c r="B10" s="589">
        <v>1250</v>
      </c>
      <c r="C10" s="1927">
        <f>_xll.cw_map("BR","10-ED-&gt;3-1250-1")</f>
        <v>217678</v>
      </c>
      <c r="D10" s="1927">
        <f>_xll.cw_map("BR","10-ED-&gt;3-1250-2")</f>
        <v>41912</v>
      </c>
      <c r="E10" s="1927">
        <f>_xll.cw_map("BR","10-ED-&gt;3-1250-3")</f>
        <v>8675</v>
      </c>
      <c r="F10" s="1927">
        <f>_xll.cw_map("BR","10-ED-&gt;3-1250-4")</f>
        <v>227203</v>
      </c>
      <c r="G10" s="1927">
        <f>_xll.cw_map("BR","10-ED-&gt;3-1250-5")</f>
        <v>44163</v>
      </c>
      <c r="H10" s="1927">
        <f>_xll.cw_map("BR","10-ED-&gt;3-1250-6")</f>
        <v>0</v>
      </c>
      <c r="I10" s="1926">
        <f>_xll.cw_map("BR","10-ED-&gt;3-1250-7")</f>
        <v>0</v>
      </c>
      <c r="J10" s="1926">
        <f>_xll.cw_map("BR","10-ED-&gt;3-1250-8")</f>
        <v>0</v>
      </c>
      <c r="K10" s="1663">
        <f t="shared" si="0"/>
        <v>539631</v>
      </c>
      <c r="L10" s="1927">
        <f>+'[1]EstExp 11-17'!$K$10</f>
        <v>699708</v>
      </c>
    </row>
    <row r="11" spans="1:14">
      <c r="A11" s="1496" t="s">
        <v>1192</v>
      </c>
      <c r="B11" s="589" t="s">
        <v>163</v>
      </c>
      <c r="C11" s="1926">
        <f>_xll.cw_map("BR","10-ED-&gt;3-1275-1")</f>
        <v>0</v>
      </c>
      <c r="D11" s="1926">
        <f>_xll.cw_map("BR","10-ED-&gt;3-1275-2")</f>
        <v>0</v>
      </c>
      <c r="E11" s="1926">
        <f>_xll.cw_map("BR","10-ED-&gt;3-1275-3")</f>
        <v>0</v>
      </c>
      <c r="F11" s="1926">
        <f>_xll.cw_map("BR","10-ED-&gt;3-1275-4")</f>
        <v>0</v>
      </c>
      <c r="G11" s="1926">
        <f>_xll.cw_map("BR","10-ED-&gt;3-1275-5")</f>
        <v>0</v>
      </c>
      <c r="H11" s="1926">
        <f>_xll.cw_map("BR","10-ED-&gt;3-1275-6")</f>
        <v>0</v>
      </c>
      <c r="I11" s="1926">
        <f>_xll.cw_map("BR","10-ED-&gt;3-1275-7")</f>
        <v>0</v>
      </c>
      <c r="J11" s="1926">
        <f>_xll.cw_map("BR","10-ED-&gt;3-1275-8")</f>
        <v>0</v>
      </c>
      <c r="K11" s="1663">
        <f t="shared" si="0"/>
        <v>0</v>
      </c>
      <c r="L11" s="1927">
        <f>+'[1]EstExp 11-17'!$K$11</f>
        <v>0</v>
      </c>
    </row>
    <row r="12" spans="1:14">
      <c r="A12" s="1496" t="s">
        <v>1019</v>
      </c>
      <c r="B12" s="589">
        <v>1300</v>
      </c>
      <c r="C12" s="1927">
        <f>_xll.cw_map("BR","10-ED-&gt;3-1300-1")</f>
        <v>0</v>
      </c>
      <c r="D12" s="1927">
        <f>_xll.cw_map("BR","10-ED-&gt;3-1300-2")</f>
        <v>0</v>
      </c>
      <c r="E12" s="1927">
        <f>_xll.cw_map("BR","10-ED-&gt;3-1300-3")</f>
        <v>0</v>
      </c>
      <c r="F12" s="1927">
        <f>_xll.cw_map("BR","10-ED-&gt;3-1300-4")</f>
        <v>0</v>
      </c>
      <c r="G12" s="1927">
        <f>_xll.cw_map("BR","10-ED-&gt;3-1300-5")</f>
        <v>0</v>
      </c>
      <c r="H12" s="1927">
        <f>_xll.cw_map("BR","10-ED-&gt;3-1300-6")</f>
        <v>0</v>
      </c>
      <c r="I12" s="1926">
        <f>_xll.cw_map("BR","10-ED-&gt;3-1300-7")</f>
        <v>0</v>
      </c>
      <c r="J12" s="1926">
        <f>_xll.cw_map("BR","10-ED-&gt;3-1300-8")</f>
        <v>0</v>
      </c>
      <c r="K12" s="1663">
        <f t="shared" si="0"/>
        <v>0</v>
      </c>
      <c r="L12" s="1927">
        <f>+'[1]EstExp 11-17'!$K$12</f>
        <v>0</v>
      </c>
    </row>
    <row r="13" spans="1:14">
      <c r="A13" s="1496" t="s">
        <v>747</v>
      </c>
      <c r="B13" s="589">
        <v>1400</v>
      </c>
      <c r="C13" s="1927">
        <f>_xll.cw_map("BR","10-ED-&gt;3-1400-1")</f>
        <v>640276</v>
      </c>
      <c r="D13" s="1927">
        <f>_xll.cw_map("BR","10-ED-&gt;3-1400-2")</f>
        <v>137945</v>
      </c>
      <c r="E13" s="1927">
        <f>_xll.cw_map("BR","10-ED-&gt;3-1400-3")</f>
        <v>77310</v>
      </c>
      <c r="F13" s="1927">
        <f>_xll.cw_map("BR","10-ED-&gt;3-1400-4")</f>
        <v>118352</v>
      </c>
      <c r="G13" s="1927">
        <f>_xll.cw_map("BR","10-ED-&gt;3-1400-5")</f>
        <v>139661</v>
      </c>
      <c r="H13" s="1927">
        <f>_xll.cw_map("BR","10-ED-&gt;3-1400-6")</f>
        <v>0</v>
      </c>
      <c r="I13" s="1926">
        <f>_xll.cw_map("BR","10-ED-&gt;3-1400-7")</f>
        <v>48517</v>
      </c>
      <c r="J13" s="1926">
        <f>_xll.cw_map("BR","10-ED-&gt;3-1400-8")</f>
        <v>0</v>
      </c>
      <c r="K13" s="1663">
        <f t="shared" si="0"/>
        <v>1162061</v>
      </c>
      <c r="L13" s="1927">
        <f>+'[1]EstExp 11-17'!$K$13</f>
        <v>1664888</v>
      </c>
    </row>
    <row r="14" spans="1:14">
      <c r="A14" s="1496" t="s">
        <v>1020</v>
      </c>
      <c r="B14" s="589">
        <v>1500</v>
      </c>
      <c r="C14" s="1927">
        <f>_xll.cw_map("BR","10-ED-&gt;3-1500-1")</f>
        <v>2467195</v>
      </c>
      <c r="D14" s="1927">
        <f>_xll.cw_map("BR","10-ED-&gt;3-1500-2")</f>
        <v>144763</v>
      </c>
      <c r="E14" s="1927">
        <f>_xll.cw_map("BR","10-ED-&gt;3-1500-3")</f>
        <v>235329</v>
      </c>
      <c r="F14" s="1927">
        <f>_xll.cw_map("BR","10-ED-&gt;3-1500-4")</f>
        <v>207785</v>
      </c>
      <c r="G14" s="1927">
        <f>_xll.cw_map("BR","10-ED-&gt;3-1500-5")</f>
        <v>0</v>
      </c>
      <c r="H14" s="1927">
        <f>_xll.cw_map("BR","10-ED-&gt;3-1500-6")</f>
        <v>135087</v>
      </c>
      <c r="I14" s="1926">
        <f>_xll.cw_map("BR","10-ED-&gt;3-1500-7")</f>
        <v>0</v>
      </c>
      <c r="J14" s="1926">
        <f>_xll.cw_map("BR","10-ED-&gt;3-1500-8")</f>
        <v>0</v>
      </c>
      <c r="K14" s="1663">
        <f t="shared" si="0"/>
        <v>3190159</v>
      </c>
      <c r="L14" s="1927">
        <f>+'[1]EstExp 11-17'!$K$14</f>
        <v>3250168</v>
      </c>
    </row>
    <row r="15" spans="1:14">
      <c r="A15" s="1496" t="s">
        <v>1021</v>
      </c>
      <c r="B15" s="589">
        <v>1600</v>
      </c>
      <c r="C15" s="1927">
        <f>_xll.cw_map("BR","10-ED-&gt;3-1600-1")</f>
        <v>117022</v>
      </c>
      <c r="D15" s="1927">
        <f>_xll.cw_map("BR","10-ED-&gt;3-1600-2")</f>
        <v>1588</v>
      </c>
      <c r="E15" s="1927">
        <f>_xll.cw_map("BR","10-ED-&gt;3-1600-3")</f>
        <v>0</v>
      </c>
      <c r="F15" s="1927">
        <f>_xll.cw_map("BR","10-ED-&gt;3-1600-4")</f>
        <v>0</v>
      </c>
      <c r="G15" s="1927">
        <f>_xll.cw_map("BR","10-ED-&gt;3-1600-5")</f>
        <v>0</v>
      </c>
      <c r="H15" s="1927">
        <f>_xll.cw_map("BR","10-ED-&gt;3-1600-6")</f>
        <v>0</v>
      </c>
      <c r="I15" s="1926">
        <f>_xll.cw_map("BR","10-ED-&gt;3-1600-7")</f>
        <v>0</v>
      </c>
      <c r="J15" s="1926">
        <f>_xll.cw_map("BR","10-ED-&gt;3-1600-8")</f>
        <v>0</v>
      </c>
      <c r="K15" s="1663">
        <f t="shared" si="0"/>
        <v>118610</v>
      </c>
      <c r="L15" s="1927">
        <f>+'[1]EstExp 11-17'!$K$15</f>
        <v>122297</v>
      </c>
    </row>
    <row r="16" spans="1:14">
      <c r="A16" s="1496" t="s">
        <v>1044</v>
      </c>
      <c r="B16" s="589" t="s">
        <v>444</v>
      </c>
      <c r="C16" s="1927">
        <f>_xll.cw_map("BR","10-ED-&gt;3-1650-1")</f>
        <v>0</v>
      </c>
      <c r="D16" s="1927">
        <f>_xll.cw_map("BR","10-ED-&gt;3-1650-2")</f>
        <v>0</v>
      </c>
      <c r="E16" s="1927">
        <f>_xll.cw_map("BR","10-ED-&gt;3-1650-3")</f>
        <v>0</v>
      </c>
      <c r="F16" s="1927">
        <f>_xll.cw_map("BR","10-ED-&gt;3-1650-4")</f>
        <v>0</v>
      </c>
      <c r="G16" s="1927">
        <f>_xll.cw_map("BR","10-ED-&gt;3-1650-5")</f>
        <v>0</v>
      </c>
      <c r="H16" s="1927">
        <f>_xll.cw_map("BR","10-ED-&gt;3-1650-6")</f>
        <v>0</v>
      </c>
      <c r="I16" s="1926">
        <f>_xll.cw_map("BR","10-ED-&gt;3-1650-7")</f>
        <v>0</v>
      </c>
      <c r="J16" s="1926">
        <f>_xll.cw_map("BR","10-ED-&gt;3-1650-8")</f>
        <v>0</v>
      </c>
      <c r="K16" s="1663">
        <f t="shared" si="0"/>
        <v>0</v>
      </c>
      <c r="L16" s="1927">
        <f>+'[1]EstExp 11-17'!$K$16</f>
        <v>0</v>
      </c>
    </row>
    <row r="17" spans="1:12">
      <c r="A17" s="1496" t="s">
        <v>748</v>
      </c>
      <c r="B17" s="589" t="s">
        <v>164</v>
      </c>
      <c r="C17" s="1926">
        <f>_xll.cw_map("BR","10-ED-&gt;3-1700-1")</f>
        <v>73975</v>
      </c>
      <c r="D17" s="1926">
        <f>_xll.cw_map("BR","10-ED-&gt;3-1700-2")</f>
        <v>1080</v>
      </c>
      <c r="E17" s="1926">
        <f>_xll.cw_map("BR","10-ED-&gt;3-1700-3")</f>
        <v>49438</v>
      </c>
      <c r="F17" s="1926">
        <f>_xll.cw_map("BR","10-ED-&gt;3-1700-4")</f>
        <v>83</v>
      </c>
      <c r="G17" s="1926">
        <f>_xll.cw_map("BR","10-ED-&gt;3-1700-5")</f>
        <v>0</v>
      </c>
      <c r="H17" s="1926">
        <f>_xll.cw_map("BR","10-ED-&gt;3-1700-6")</f>
        <v>0</v>
      </c>
      <c r="I17" s="1926">
        <f>_xll.cw_map("BR","10-ED-&gt;3-1700-7")</f>
        <v>0</v>
      </c>
      <c r="J17" s="1926">
        <f>_xll.cw_map("BR","10-ED-&gt;3-1700-8")</f>
        <v>0</v>
      </c>
      <c r="K17" s="1663">
        <f t="shared" si="0"/>
        <v>124576</v>
      </c>
      <c r="L17" s="1927">
        <f>+'[1]EstExp 11-17'!$K$17</f>
        <v>149934</v>
      </c>
    </row>
    <row r="18" spans="1:12">
      <c r="A18" s="1496" t="s">
        <v>1148</v>
      </c>
      <c r="B18" s="589">
        <v>1800</v>
      </c>
      <c r="C18" s="1927">
        <f>_xll.cw_map("BR","10-ED-&gt;3-1800-1")</f>
        <v>0</v>
      </c>
      <c r="D18" s="1927">
        <f>_xll.cw_map("BR","10-ED-&gt;3-1800-2")</f>
        <v>0</v>
      </c>
      <c r="E18" s="1927">
        <f>_xll.cw_map("BR","10-ED-&gt;3-1800-3")</f>
        <v>0</v>
      </c>
      <c r="F18" s="1927">
        <f>_xll.cw_map("BR","10-ED-&gt;3-1800-4")</f>
        <v>0</v>
      </c>
      <c r="G18" s="1927">
        <f>_xll.cw_map("BR","10-ED-&gt;3-1800-5")</f>
        <v>0</v>
      </c>
      <c r="H18" s="1927">
        <f>_xll.cw_map("BR","10-ED-&gt;3-1800-6")</f>
        <v>0</v>
      </c>
      <c r="I18" s="1926">
        <f>_xll.cw_map("BR","10-ED-&gt;3-1800-7")</f>
        <v>0</v>
      </c>
      <c r="J18" s="1926">
        <f>_xll.cw_map("BR","10-ED-&gt;3-1800-8")</f>
        <v>0</v>
      </c>
      <c r="K18" s="1663">
        <f t="shared" si="0"/>
        <v>0</v>
      </c>
      <c r="L18" s="1927">
        <f>+'[1]EstExp 11-17'!$K$18</f>
        <v>0</v>
      </c>
    </row>
    <row r="19" spans="1:12">
      <c r="A19" s="1496" t="s">
        <v>136</v>
      </c>
      <c r="B19" s="589">
        <v>1900</v>
      </c>
      <c r="C19" s="1927">
        <f>_xll.cw_map("BR","10-ED-&gt;3-1900-1")</f>
        <v>0</v>
      </c>
      <c r="D19" s="1927">
        <f>_xll.cw_map("BR","10-ED-&gt;3-1900-2")</f>
        <v>0</v>
      </c>
      <c r="E19" s="1927">
        <f>_xll.cw_map("BR","10-ED-&gt;3-1900-3")</f>
        <v>0</v>
      </c>
      <c r="F19" s="1927">
        <f>_xll.cw_map("BR","10-ED-&gt;3-1900-4")</f>
        <v>0</v>
      </c>
      <c r="G19" s="1927">
        <f>_xll.cw_map("BR","10-ED-&gt;3-1900-5")</f>
        <v>0</v>
      </c>
      <c r="H19" s="1927">
        <f>_xll.cw_map("BR","10-ED-&gt;3-1900-6")</f>
        <v>0</v>
      </c>
      <c r="I19" s="1926">
        <f>_xll.cw_map("BR","10-ED-&gt;3-1900-7")</f>
        <v>0</v>
      </c>
      <c r="J19" s="1926">
        <f>_xll.cw_map("BR","10-ED-&gt;3-1900-8")</f>
        <v>0</v>
      </c>
      <c r="K19" s="1663">
        <f t="shared" si="0"/>
        <v>0</v>
      </c>
      <c r="L19" s="1937">
        <f>+'[1]EstExp 11-17'!$K$19</f>
        <v>0</v>
      </c>
    </row>
    <row r="20" spans="1:12">
      <c r="A20" s="1497" t="s">
        <v>762</v>
      </c>
      <c r="B20" s="577" t="s">
        <v>749</v>
      </c>
      <c r="C20" s="473"/>
      <c r="D20" s="473"/>
      <c r="E20" s="473"/>
      <c r="F20" s="473"/>
      <c r="G20" s="473"/>
      <c r="H20" s="1930">
        <f>_xll.cw_map("BR","10-ED-&gt;3-1910-6")</f>
        <v>0</v>
      </c>
      <c r="I20" s="591"/>
      <c r="J20" s="472"/>
      <c r="K20" s="1663">
        <f t="shared" si="0"/>
        <v>0</v>
      </c>
      <c r="L20" s="1937">
        <f>+'[1]EstExp 11-17'!$K$20</f>
        <v>0</v>
      </c>
    </row>
    <row r="21" spans="1:12">
      <c r="A21" s="1497" t="s">
        <v>763</v>
      </c>
      <c r="B21" s="577" t="s">
        <v>750</v>
      </c>
      <c r="C21" s="473"/>
      <c r="D21" s="473"/>
      <c r="E21" s="473"/>
      <c r="F21" s="473"/>
      <c r="G21" s="473"/>
      <c r="H21" s="1930">
        <f>_xll.cw_map("BR","10-ED-&gt;3-1911-6")</f>
        <v>111209</v>
      </c>
      <c r="I21" s="591"/>
      <c r="J21" s="473"/>
      <c r="K21" s="1663">
        <f t="shared" si="0"/>
        <v>111209</v>
      </c>
      <c r="L21" s="1937">
        <f>+'[1]EstExp 11-17'!$K$21</f>
        <v>325000</v>
      </c>
    </row>
    <row r="22" spans="1:12">
      <c r="A22" s="1497" t="s">
        <v>764</v>
      </c>
      <c r="B22" s="577" t="s">
        <v>751</v>
      </c>
      <c r="C22" s="473"/>
      <c r="D22" s="473"/>
      <c r="E22" s="473"/>
      <c r="F22" s="473"/>
      <c r="G22" s="473"/>
      <c r="H22" s="1930">
        <f>_xll.cw_map("BR","10-ED-&gt;3-1912-6")</f>
        <v>1748416</v>
      </c>
      <c r="I22" s="591"/>
      <c r="J22" s="473"/>
      <c r="K22" s="1663">
        <f t="shared" si="0"/>
        <v>1748416</v>
      </c>
      <c r="L22" s="1937">
        <f>+'[1]EstExp 11-17'!$K$22</f>
        <v>1900000</v>
      </c>
    </row>
    <row r="23" spans="1:12">
      <c r="A23" s="1497" t="s">
        <v>765</v>
      </c>
      <c r="B23" s="577" t="s">
        <v>752</v>
      </c>
      <c r="C23" s="473"/>
      <c r="D23" s="473"/>
      <c r="E23" s="473"/>
      <c r="F23" s="473"/>
      <c r="G23" s="473"/>
      <c r="H23" s="1930">
        <f>_xll.cw_map("BR","10-ED-&gt;3-1913-6")</f>
        <v>0</v>
      </c>
      <c r="I23" s="591"/>
      <c r="J23" s="473"/>
      <c r="K23" s="1663">
        <f t="shared" si="0"/>
        <v>0</v>
      </c>
      <c r="L23" s="1937">
        <f>+'[1]EstExp 11-17'!$K$23</f>
        <v>0</v>
      </c>
    </row>
    <row r="24" spans="1:12" ht="12.75" customHeight="1">
      <c r="A24" s="1497" t="s">
        <v>766</v>
      </c>
      <c r="B24" s="577" t="s">
        <v>753</v>
      </c>
      <c r="C24" s="473"/>
      <c r="D24" s="473"/>
      <c r="E24" s="473"/>
      <c r="F24" s="473"/>
      <c r="G24" s="473"/>
      <c r="H24" s="1930">
        <f>_xll.cw_map("BR","10-ED-&gt;3-1914-6")</f>
        <v>0</v>
      </c>
      <c r="I24" s="591"/>
      <c r="J24" s="473"/>
      <c r="K24" s="1663">
        <f t="shared" si="0"/>
        <v>0</v>
      </c>
      <c r="L24" s="1937">
        <f>+'[1]EstExp 11-17'!$K$24</f>
        <v>0</v>
      </c>
    </row>
    <row r="25" spans="1:12" ht="12.75" customHeight="1">
      <c r="A25" s="1497" t="s">
        <v>835</v>
      </c>
      <c r="B25" s="577" t="s">
        <v>754</v>
      </c>
      <c r="C25" s="473"/>
      <c r="D25" s="473"/>
      <c r="E25" s="473"/>
      <c r="F25" s="473"/>
      <c r="G25" s="473"/>
      <c r="H25" s="1930">
        <f>_xll.cw_map("BR","10-ED-&gt;3-1915-6")</f>
        <v>0</v>
      </c>
      <c r="I25" s="591"/>
      <c r="J25" s="473"/>
      <c r="K25" s="1663">
        <f t="shared" si="0"/>
        <v>0</v>
      </c>
      <c r="L25" s="1937">
        <f>+'[1]EstExp 11-17'!$K$25</f>
        <v>0</v>
      </c>
    </row>
    <row r="26" spans="1:12">
      <c r="A26" s="1497" t="s">
        <v>643</v>
      </c>
      <c r="B26" s="577" t="s">
        <v>755</v>
      </c>
      <c r="C26" s="473"/>
      <c r="D26" s="473"/>
      <c r="E26" s="473"/>
      <c r="F26" s="473"/>
      <c r="G26" s="473"/>
      <c r="H26" s="1930">
        <f>_xll.cw_map("BR","10-ED-&gt;3-1916-6")</f>
        <v>0</v>
      </c>
      <c r="I26" s="591"/>
      <c r="J26" s="473"/>
      <c r="K26" s="1663">
        <f t="shared" si="0"/>
        <v>0</v>
      </c>
      <c r="L26" s="1937">
        <f>+'[1]EstExp 11-17'!$K$26</f>
        <v>0</v>
      </c>
    </row>
    <row r="27" spans="1:12">
      <c r="A27" s="1497" t="s">
        <v>644</v>
      </c>
      <c r="B27" s="577" t="s">
        <v>756</v>
      </c>
      <c r="C27" s="473"/>
      <c r="D27" s="473"/>
      <c r="E27" s="473"/>
      <c r="F27" s="473"/>
      <c r="G27" s="473"/>
      <c r="H27" s="1930">
        <f>_xll.cw_map("BR","10-ED-&gt;3-1917-6")</f>
        <v>0</v>
      </c>
      <c r="I27" s="591"/>
      <c r="J27" s="473"/>
      <c r="K27" s="1663">
        <f t="shared" si="0"/>
        <v>0</v>
      </c>
      <c r="L27" s="1937">
        <f>+'[1]EstExp 11-17'!$K$27</f>
        <v>0</v>
      </c>
    </row>
    <row r="28" spans="1:12">
      <c r="A28" s="1497" t="s">
        <v>152</v>
      </c>
      <c r="B28" s="577" t="s">
        <v>757</v>
      </c>
      <c r="C28" s="473"/>
      <c r="D28" s="473"/>
      <c r="E28" s="473"/>
      <c r="F28" s="473"/>
      <c r="G28" s="473"/>
      <c r="H28" s="1930">
        <f>_xll.cw_map("BR","10-ED-&gt;3-1918-6")</f>
        <v>0</v>
      </c>
      <c r="I28" s="591"/>
      <c r="J28" s="473"/>
      <c r="K28" s="1663">
        <f t="shared" si="0"/>
        <v>0</v>
      </c>
      <c r="L28" s="1937">
        <f>+'[1]EstExp 11-17'!$K$28</f>
        <v>0</v>
      </c>
    </row>
    <row r="29" spans="1:12">
      <c r="A29" s="1497" t="s">
        <v>153</v>
      </c>
      <c r="B29" s="577" t="s">
        <v>758</v>
      </c>
      <c r="C29" s="473"/>
      <c r="D29" s="473"/>
      <c r="E29" s="473"/>
      <c r="F29" s="473"/>
      <c r="G29" s="473"/>
      <c r="H29" s="1930">
        <f>_xll.cw_map("BR","10-ED-&gt;3-1919-6")</f>
        <v>0</v>
      </c>
      <c r="I29" s="591"/>
      <c r="J29" s="473"/>
      <c r="K29" s="1663">
        <f t="shared" si="0"/>
        <v>0</v>
      </c>
      <c r="L29" s="1937">
        <f>+'[1]EstExp 11-17'!$K$29</f>
        <v>0</v>
      </c>
    </row>
    <row r="30" spans="1:12">
      <c r="A30" s="1497" t="s">
        <v>154</v>
      </c>
      <c r="B30" s="577" t="s">
        <v>759</v>
      </c>
      <c r="C30" s="473"/>
      <c r="D30" s="473"/>
      <c r="E30" s="473"/>
      <c r="F30" s="473"/>
      <c r="G30" s="473"/>
      <c r="H30" s="1930">
        <f>_xll.cw_map("BR","10-ED-&gt;3-1920-6")</f>
        <v>0</v>
      </c>
      <c r="I30" s="591"/>
      <c r="J30" s="473"/>
      <c r="K30" s="1663">
        <f t="shared" si="0"/>
        <v>0</v>
      </c>
      <c r="L30" s="1937">
        <f>+'[1]EstExp 11-17'!$K$30</f>
        <v>0</v>
      </c>
    </row>
    <row r="31" spans="1:12">
      <c r="A31" s="1497" t="s">
        <v>155</v>
      </c>
      <c r="B31" s="577" t="s">
        <v>760</v>
      </c>
      <c r="C31" s="473"/>
      <c r="D31" s="473"/>
      <c r="E31" s="473"/>
      <c r="F31" s="473"/>
      <c r="G31" s="473"/>
      <c r="H31" s="1930">
        <f>_xll.cw_map("BR","10-ED-&gt;3-1921-6")</f>
        <v>0</v>
      </c>
      <c r="I31" s="591"/>
      <c r="J31" s="473"/>
      <c r="K31" s="1663">
        <f t="shared" si="0"/>
        <v>0</v>
      </c>
      <c r="L31" s="1937">
        <f>+'[1]EstExp 11-17'!$K$31</f>
        <v>0</v>
      </c>
    </row>
    <row r="32" spans="1:12">
      <c r="A32" s="1498" t="s">
        <v>1191</v>
      </c>
      <c r="B32" s="589" t="s">
        <v>761</v>
      </c>
      <c r="C32" s="473"/>
      <c r="D32" s="473"/>
      <c r="E32" s="473"/>
      <c r="F32" s="473"/>
      <c r="G32" s="473"/>
      <c r="H32" s="1930">
        <f>_xll.cw_map("BR","10-ED-&gt;3-1922-6")</f>
        <v>0</v>
      </c>
      <c r="I32" s="591"/>
      <c r="J32" s="476"/>
      <c r="K32" s="1663">
        <f t="shared" si="0"/>
        <v>0</v>
      </c>
      <c r="L32" s="1937">
        <f>+'[1]EstExp 11-17'!$K$32</f>
        <v>0</v>
      </c>
    </row>
    <row r="33" spans="1:14" ht="12.75" customHeight="1" thickBot="1">
      <c r="A33" s="1660" t="s">
        <v>1767</v>
      </c>
      <c r="B33" s="1661" t="s">
        <v>591</v>
      </c>
      <c r="C33" s="1662">
        <f>SUM(C5:C32)</f>
        <v>22104213</v>
      </c>
      <c r="D33" s="1662">
        <f t="shared" ref="D33:L33" si="1">SUM(D5:D32)</f>
        <v>4240648</v>
      </c>
      <c r="E33" s="1662">
        <f t="shared" si="1"/>
        <v>585236</v>
      </c>
      <c r="F33" s="1662">
        <f t="shared" si="1"/>
        <v>1341176</v>
      </c>
      <c r="G33" s="1662">
        <f t="shared" si="1"/>
        <v>183824</v>
      </c>
      <c r="H33" s="1662">
        <f t="shared" si="1"/>
        <v>2097184</v>
      </c>
      <c r="I33" s="1662">
        <f t="shared" si="1"/>
        <v>149249</v>
      </c>
      <c r="J33" s="1662">
        <f t="shared" si="1"/>
        <v>0</v>
      </c>
      <c r="K33" s="1662">
        <f t="shared" si="1"/>
        <v>30701530</v>
      </c>
      <c r="L33" s="1662">
        <f t="shared" si="1"/>
        <v>31519319</v>
      </c>
    </row>
    <row r="34" spans="1:14" s="595" customFormat="1" ht="15.75" customHeight="1" thickTop="1">
      <c r="A34" s="1600" t="s">
        <v>48</v>
      </c>
      <c r="B34" s="1601" t="s">
        <v>590</v>
      </c>
      <c r="C34" s="593"/>
      <c r="D34" s="593"/>
      <c r="E34" s="593"/>
      <c r="F34" s="593"/>
      <c r="G34" s="593"/>
      <c r="H34" s="593"/>
      <c r="I34" s="591"/>
      <c r="J34" s="591"/>
      <c r="K34" s="591"/>
      <c r="L34" s="591"/>
      <c r="M34" s="594"/>
      <c r="N34" s="594"/>
    </row>
    <row r="35" spans="1:14" s="595" customFormat="1" ht="15.75" customHeight="1">
      <c r="A35" s="596" t="s">
        <v>612</v>
      </c>
      <c r="B35" s="597"/>
      <c r="C35" s="598"/>
      <c r="D35" s="598"/>
      <c r="E35" s="598"/>
      <c r="F35" s="598"/>
      <c r="G35" s="598"/>
      <c r="H35" s="598"/>
      <c r="I35" s="591"/>
      <c r="J35" s="591"/>
      <c r="K35" s="591"/>
      <c r="L35" s="591"/>
      <c r="M35" s="594"/>
      <c r="N35" s="594"/>
    </row>
    <row r="36" spans="1:14">
      <c r="A36" s="1496" t="s">
        <v>1150</v>
      </c>
      <c r="B36" s="589">
        <v>2110</v>
      </c>
      <c r="C36" s="1928">
        <f>_xll.cw_map("BR","10-ED-&gt;3-2110-1")</f>
        <v>284767</v>
      </c>
      <c r="D36" s="1928">
        <f>_xll.cw_map("BR","10-ED-&gt;3-2110-2")</f>
        <v>68719</v>
      </c>
      <c r="E36" s="1928">
        <f>_xll.cw_map("BR","10-ED-&gt;3-2110-3")</f>
        <v>-634</v>
      </c>
      <c r="F36" s="1928">
        <f>_xll.cw_map("BR","10-ED-&gt;3-2110-4")</f>
        <v>921</v>
      </c>
      <c r="G36" s="1928">
        <f>_xll.cw_map("BR","10-ED-&gt;3-2110-5")</f>
        <v>0</v>
      </c>
      <c r="H36" s="1928">
        <f>_xll.cw_map("BR","10-ED-&gt;3-2110-6")</f>
        <v>0</v>
      </c>
      <c r="I36" s="1926">
        <f>_xll.cw_map("BR","10-ED-&gt;3-2110-7")</f>
        <v>0</v>
      </c>
      <c r="J36" s="1926">
        <f>_xll.cw_map("BR","10-ED-&gt;3-2110-8")</f>
        <v>0</v>
      </c>
      <c r="K36" s="1663">
        <f t="shared" ref="K36:K41" si="2">SUM(C36:J36)</f>
        <v>353773</v>
      </c>
      <c r="L36" s="1927">
        <f>+'[1]EstExp 11-17'!$K$36</f>
        <v>473632</v>
      </c>
    </row>
    <row r="37" spans="1:14">
      <c r="A37" s="1496" t="s">
        <v>1151</v>
      </c>
      <c r="B37" s="589">
        <v>2120</v>
      </c>
      <c r="C37" s="1927">
        <f>_xll.cw_map("BR","10-ED-&gt;3-2120-1")</f>
        <v>774479</v>
      </c>
      <c r="D37" s="1927">
        <f>_xll.cw_map("BR","10-ED-&gt;3-2120-2")</f>
        <v>160969</v>
      </c>
      <c r="E37" s="1927">
        <f>_xll.cw_map("BR","10-ED-&gt;3-2120-3")</f>
        <v>182369</v>
      </c>
      <c r="F37" s="1927">
        <f>_xll.cw_map("BR","10-ED-&gt;3-2120-4")</f>
        <v>5883</v>
      </c>
      <c r="G37" s="1927">
        <f>_xll.cw_map("BR","10-ED-&gt;3-2120-5")</f>
        <v>0</v>
      </c>
      <c r="H37" s="1927">
        <f>_xll.cw_map("BR","10-ED-&gt;3-2120-6")</f>
        <v>0</v>
      </c>
      <c r="I37" s="1926">
        <f>_xll.cw_map("BR","10-ED-&gt;3-2120-7")</f>
        <v>4680</v>
      </c>
      <c r="J37" s="1926">
        <f>_xll.cw_map("BR","10-ED-&gt;3-2120-8")</f>
        <v>0</v>
      </c>
      <c r="K37" s="1663">
        <f t="shared" si="2"/>
        <v>1128380</v>
      </c>
      <c r="L37" s="1927">
        <f>+'[1]EstExp 11-17'!$K$37</f>
        <v>1015849</v>
      </c>
    </row>
    <row r="38" spans="1:14">
      <c r="A38" s="1496" t="s">
        <v>207</v>
      </c>
      <c r="B38" s="589">
        <v>2130</v>
      </c>
      <c r="C38" s="1927">
        <f>_xll.cw_map("BR","10-ED-&gt;3-2130-1")</f>
        <v>202840</v>
      </c>
      <c r="D38" s="1927">
        <f>_xll.cw_map("BR","10-ED-&gt;3-2130-2")</f>
        <v>25808</v>
      </c>
      <c r="E38" s="1927">
        <f>_xll.cw_map("BR","10-ED-&gt;3-2130-3")</f>
        <v>29933</v>
      </c>
      <c r="F38" s="1927">
        <f>_xll.cw_map("BR","10-ED-&gt;3-2130-4")</f>
        <v>3456</v>
      </c>
      <c r="G38" s="1927">
        <f>_xll.cw_map("BR","10-ED-&gt;3-2130-5")</f>
        <v>0</v>
      </c>
      <c r="H38" s="1927">
        <f>_xll.cw_map("BR","10-ED-&gt;3-2130-6")</f>
        <v>0</v>
      </c>
      <c r="I38" s="1926">
        <f>_xll.cw_map("BR","10-ED-&gt;3-2130-7")</f>
        <v>0</v>
      </c>
      <c r="J38" s="1926">
        <f>_xll.cw_map("BR","10-ED-&gt;3-2130-8")</f>
        <v>0</v>
      </c>
      <c r="K38" s="1663">
        <f t="shared" si="2"/>
        <v>262037</v>
      </c>
      <c r="L38" s="1927">
        <f>+'[1]EstExp 11-17'!$K$38</f>
        <v>323370</v>
      </c>
    </row>
    <row r="39" spans="1:14">
      <c r="A39" s="1496" t="s">
        <v>208</v>
      </c>
      <c r="B39" s="589">
        <v>2140</v>
      </c>
      <c r="C39" s="1927">
        <f>_xll.cw_map("BR","10-ED-&gt;3-2140-1")</f>
        <v>78698</v>
      </c>
      <c r="D39" s="1927">
        <f>_xll.cw_map("BR","10-ED-&gt;3-2140-2")</f>
        <v>8292</v>
      </c>
      <c r="E39" s="1927">
        <f>_xll.cw_map("BR","10-ED-&gt;3-2140-3")</f>
        <v>235</v>
      </c>
      <c r="F39" s="1927">
        <f>_xll.cw_map("BR","10-ED-&gt;3-2140-4")</f>
        <v>0</v>
      </c>
      <c r="G39" s="1927">
        <f>_xll.cw_map("BR","10-ED-&gt;3-2140-5")</f>
        <v>0</v>
      </c>
      <c r="H39" s="1927">
        <f>_xll.cw_map("BR","10-ED-&gt;3-2140-6")</f>
        <v>0</v>
      </c>
      <c r="I39" s="1926">
        <f>_xll.cw_map("BR","10-ED-&gt;3-2140-7")</f>
        <v>0</v>
      </c>
      <c r="J39" s="1926">
        <f>_xll.cw_map("BR","10-ED-&gt;3-2140-8")</f>
        <v>0</v>
      </c>
      <c r="K39" s="1663">
        <f t="shared" si="2"/>
        <v>87225</v>
      </c>
      <c r="L39" s="1927">
        <f>+'[1]EstExp 11-17'!$K$39</f>
        <v>227877</v>
      </c>
    </row>
    <row r="40" spans="1:14">
      <c r="A40" s="1496" t="s">
        <v>209</v>
      </c>
      <c r="B40" s="589">
        <v>2150</v>
      </c>
      <c r="C40" s="1927">
        <f>_xll.cw_map("BR","10-ED-&gt;3-2150-1")</f>
        <v>96825</v>
      </c>
      <c r="D40" s="1927">
        <f>_xll.cw_map("BR","10-ED-&gt;3-2150-2")</f>
        <v>24923</v>
      </c>
      <c r="E40" s="1927">
        <f>_xll.cw_map("BR","10-ED-&gt;3-2150-3")</f>
        <v>94900</v>
      </c>
      <c r="F40" s="1927">
        <f>_xll.cw_map("BR","10-ED-&gt;3-2150-4")</f>
        <v>3646</v>
      </c>
      <c r="G40" s="1927">
        <f>_xll.cw_map("BR","10-ED-&gt;3-2150-5")</f>
        <v>0</v>
      </c>
      <c r="H40" s="1927">
        <f>_xll.cw_map("BR","10-ED-&gt;3-2150-6")</f>
        <v>0</v>
      </c>
      <c r="I40" s="1926">
        <f>_xll.cw_map("BR","10-ED-&gt;3-2150-7")</f>
        <v>0</v>
      </c>
      <c r="J40" s="1926">
        <f>_xll.cw_map("BR","10-ED-&gt;3-2150-8")</f>
        <v>0</v>
      </c>
      <c r="K40" s="1663">
        <f t="shared" si="2"/>
        <v>220294</v>
      </c>
      <c r="L40" s="1927">
        <f>+'[1]EstExp 11-17'!$K$40</f>
        <v>129930</v>
      </c>
    </row>
    <row r="41" spans="1:14">
      <c r="A41" s="1496" t="s">
        <v>1768</v>
      </c>
      <c r="B41" s="589">
        <v>2190</v>
      </c>
      <c r="C41" s="1927">
        <f>_xll.cw_map("BR","10-ED-&gt;3-2190-1")</f>
        <v>378059</v>
      </c>
      <c r="D41" s="1927">
        <f>_xll.cw_map("BR","10-ED-&gt;3-2190-2")</f>
        <v>88304</v>
      </c>
      <c r="E41" s="1927">
        <f>_xll.cw_map("BR","10-ED-&gt;3-2190-3")</f>
        <v>6999</v>
      </c>
      <c r="F41" s="1927">
        <f>_xll.cw_map("BR","10-ED-&gt;3-2190-4")</f>
        <v>36579</v>
      </c>
      <c r="G41" s="1927">
        <f>_xll.cw_map("BR","10-ED-&gt;3-2190-5")</f>
        <v>0</v>
      </c>
      <c r="H41" s="1927">
        <f>_xll.cw_map("BR","10-ED-&gt;3-2190-6")</f>
        <v>0</v>
      </c>
      <c r="I41" s="1926">
        <f>_xll.cw_map("BR","10-ED-&gt;3-2190-7")</f>
        <v>0</v>
      </c>
      <c r="J41" s="1926">
        <f>_xll.cw_map("BR","10-ED-&gt;3-2190-8")</f>
        <v>0</v>
      </c>
      <c r="K41" s="1663">
        <f t="shared" si="2"/>
        <v>509941</v>
      </c>
      <c r="L41" s="1927">
        <f>+'[1]EstExp 11-17'!$K$41</f>
        <v>484058</v>
      </c>
    </row>
    <row r="42" spans="1:14" ht="12.75" customHeight="1" thickBot="1">
      <c r="A42" s="1660" t="s">
        <v>581</v>
      </c>
      <c r="B42" s="1661" t="s">
        <v>740</v>
      </c>
      <c r="C42" s="1662">
        <f>SUM(C36:C41)</f>
        <v>1815668</v>
      </c>
      <c r="D42" s="1662">
        <f t="shared" ref="D42:L42" si="3">SUM(D36:D41)</f>
        <v>377015</v>
      </c>
      <c r="E42" s="1662">
        <f t="shared" si="3"/>
        <v>313802</v>
      </c>
      <c r="F42" s="1662">
        <f t="shared" si="3"/>
        <v>50485</v>
      </c>
      <c r="G42" s="1662">
        <f t="shared" si="3"/>
        <v>0</v>
      </c>
      <c r="H42" s="1662">
        <f t="shared" si="3"/>
        <v>0</v>
      </c>
      <c r="I42" s="1662">
        <f t="shared" si="3"/>
        <v>4680</v>
      </c>
      <c r="J42" s="1662">
        <f t="shared" si="3"/>
        <v>0</v>
      </c>
      <c r="K42" s="1662">
        <f t="shared" si="3"/>
        <v>2561650</v>
      </c>
      <c r="L42" s="1662">
        <f t="shared" si="3"/>
        <v>2654716</v>
      </c>
    </row>
    <row r="43" spans="1:14" ht="15.75" customHeight="1" thickTop="1">
      <c r="A43" s="599" t="s">
        <v>613</v>
      </c>
      <c r="B43" s="600"/>
      <c r="C43" s="601"/>
      <c r="D43" s="601"/>
      <c r="E43" s="601"/>
      <c r="F43" s="601"/>
      <c r="G43" s="601"/>
      <c r="H43" s="601"/>
      <c r="I43" s="591"/>
      <c r="J43" s="591"/>
      <c r="K43" s="601"/>
      <c r="L43" s="601"/>
    </row>
    <row r="44" spans="1:14">
      <c r="A44" s="1496" t="s">
        <v>868</v>
      </c>
      <c r="B44" s="589">
        <v>2210</v>
      </c>
      <c r="C44" s="1928">
        <f>_xll.cw_map("BR","10-ED-&gt;3-2210-1")</f>
        <v>829887</v>
      </c>
      <c r="D44" s="1928">
        <f>_xll.cw_map("BR","10-ED-&gt;3-2210-2")</f>
        <v>134774</v>
      </c>
      <c r="E44" s="1928">
        <f>_xll.cw_map("BR","10-ED-&gt;3-2210-3")</f>
        <v>440401</v>
      </c>
      <c r="F44" s="1928">
        <f>_xll.cw_map("BR","10-ED-&gt;3-2210-4")</f>
        <v>23484</v>
      </c>
      <c r="G44" s="1928">
        <f>_xll.cw_map("BR","10-ED-&gt;3-2210-5")</f>
        <v>0</v>
      </c>
      <c r="H44" s="1928">
        <f>_xll.cw_map("BR","10-ED-&gt;3-2210-6")</f>
        <v>2179</v>
      </c>
      <c r="I44" s="1926">
        <f>_xll.cw_map("BR","10-ED-&gt;3-2210-7")</f>
        <v>0</v>
      </c>
      <c r="J44" s="1926">
        <f>_xll.cw_map("BR","10-ED-&gt;3-2210-8")</f>
        <v>0</v>
      </c>
      <c r="K44" s="1664">
        <f>SUM(C44:J44)</f>
        <v>1430725</v>
      </c>
      <c r="L44" s="1927">
        <f>+'[1]EstExp 11-17'!$K$44</f>
        <v>1286807</v>
      </c>
    </row>
    <row r="45" spans="1:14">
      <c r="A45" s="1496" t="s">
        <v>869</v>
      </c>
      <c r="B45" s="589">
        <v>2220</v>
      </c>
      <c r="C45" s="1927">
        <f>_xll.cw_map("BR","10-ED-&gt;3-2220-1")</f>
        <v>158281</v>
      </c>
      <c r="D45" s="1927">
        <f>_xll.cw_map("BR","10-ED-&gt;3-2220-2")</f>
        <v>28090</v>
      </c>
      <c r="E45" s="1927">
        <f>_xll.cw_map("BR","10-ED-&gt;3-2220-3")</f>
        <v>0</v>
      </c>
      <c r="F45" s="1927">
        <f>_xll.cw_map("BR","10-ED-&gt;3-2220-4")</f>
        <v>10833</v>
      </c>
      <c r="G45" s="1927">
        <f>_xll.cw_map("BR","10-ED-&gt;3-2220-5")</f>
        <v>0</v>
      </c>
      <c r="H45" s="1927">
        <f>_xll.cw_map("BR","10-ED-&gt;3-2220-6")</f>
        <v>0</v>
      </c>
      <c r="I45" s="1926">
        <f>_xll.cw_map("BR","10-ED-&gt;3-2220-7")</f>
        <v>0</v>
      </c>
      <c r="J45" s="1926">
        <f>_xll.cw_map("BR","10-ED-&gt;3-2220-8")</f>
        <v>0</v>
      </c>
      <c r="K45" s="1664">
        <f>SUM(C45:J45)</f>
        <v>197204</v>
      </c>
      <c r="L45" s="1927">
        <f>+'[1]EstExp 11-17'!$K$45</f>
        <v>289516</v>
      </c>
    </row>
    <row r="46" spans="1:14">
      <c r="A46" s="1496" t="s">
        <v>870</v>
      </c>
      <c r="B46" s="589">
        <v>2230</v>
      </c>
      <c r="C46" s="1927">
        <f>_xll.cw_map("BR","10-ED-&gt;3-2230-1")</f>
        <v>336</v>
      </c>
      <c r="D46" s="1927">
        <f>_xll.cw_map("BR","10-ED-&gt;3-2230-2")</f>
        <v>5</v>
      </c>
      <c r="E46" s="1927">
        <f>_xll.cw_map("BR","10-ED-&gt;3-2230-3")</f>
        <v>397915</v>
      </c>
      <c r="F46" s="1927">
        <f>_xll.cw_map("BR","10-ED-&gt;3-2230-4")</f>
        <v>19653</v>
      </c>
      <c r="G46" s="1927">
        <f>_xll.cw_map("BR","10-ED-&gt;3-2230-5")</f>
        <v>0</v>
      </c>
      <c r="H46" s="1927">
        <f>_xll.cw_map("BR","10-ED-&gt;3-2230-6")</f>
        <v>0</v>
      </c>
      <c r="I46" s="1926">
        <f>_xll.cw_map("BR","10-ED-&gt;3-2230-7")</f>
        <v>0</v>
      </c>
      <c r="J46" s="1926">
        <f>_xll.cw_map("BR","10-ED-&gt;3-2230-8")</f>
        <v>0</v>
      </c>
      <c r="K46" s="1664">
        <f>SUM(C46:J46)</f>
        <v>417909</v>
      </c>
      <c r="L46" s="1927">
        <f>+'[1]EstExp 11-17'!$K$46</f>
        <v>658091</v>
      </c>
    </row>
    <row r="47" spans="1:14" ht="12.75" customHeight="1" thickBot="1">
      <c r="A47" s="1660" t="s">
        <v>582</v>
      </c>
      <c r="B47" s="1661" t="s">
        <v>32</v>
      </c>
      <c r="C47" s="1662">
        <f>SUM(C44:C46)</f>
        <v>988504</v>
      </c>
      <c r="D47" s="1662">
        <f t="shared" ref="D47:K47" si="4">SUM(D44:D46)</f>
        <v>162869</v>
      </c>
      <c r="E47" s="1662">
        <f t="shared" si="4"/>
        <v>838316</v>
      </c>
      <c r="F47" s="1662">
        <f t="shared" si="4"/>
        <v>53970</v>
      </c>
      <c r="G47" s="1662">
        <f t="shared" si="4"/>
        <v>0</v>
      </c>
      <c r="H47" s="1662">
        <f t="shared" si="4"/>
        <v>2179</v>
      </c>
      <c r="I47" s="1662">
        <f t="shared" si="4"/>
        <v>0</v>
      </c>
      <c r="J47" s="1662">
        <f t="shared" si="4"/>
        <v>0</v>
      </c>
      <c r="K47" s="1662">
        <f t="shared" si="4"/>
        <v>2045838</v>
      </c>
      <c r="L47" s="1662">
        <f>SUM(L44:L46)</f>
        <v>2234414</v>
      </c>
    </row>
    <row r="48" spans="1:14" ht="15.75" customHeight="1" thickTop="1">
      <c r="A48" s="599" t="s">
        <v>631</v>
      </c>
      <c r="B48" s="600"/>
      <c r="C48" s="601"/>
      <c r="D48" s="601"/>
      <c r="E48" s="601"/>
      <c r="F48" s="601"/>
      <c r="G48" s="601"/>
      <c r="H48" s="601"/>
      <c r="I48" s="591"/>
      <c r="J48" s="591"/>
      <c r="K48" s="601"/>
      <c r="L48" s="601"/>
    </row>
    <row r="49" spans="1:14">
      <c r="A49" s="1496" t="s">
        <v>871</v>
      </c>
      <c r="B49" s="589">
        <v>2310</v>
      </c>
      <c r="C49" s="1928">
        <f>_xll.cw_map("BR","10-ED-&gt;3-2310-1")</f>
        <v>532</v>
      </c>
      <c r="D49" s="1928">
        <f>_xll.cw_map("BR","10-ED-&gt;3-2310-2")</f>
        <v>54</v>
      </c>
      <c r="E49" s="1928">
        <f>_xll.cw_map("BR","10-ED-&gt;3-2310-3")</f>
        <v>357677</v>
      </c>
      <c r="F49" s="1928">
        <f>_xll.cw_map("BR","10-ED-&gt;3-2310-4")</f>
        <v>12033</v>
      </c>
      <c r="G49" s="1928">
        <f>_xll.cw_map("BR","10-ED-&gt;3-2310-5")</f>
        <v>0</v>
      </c>
      <c r="H49" s="1928">
        <f>_xll.cw_map("BR","10-ED-&gt;3-2310-6")</f>
        <v>6260</v>
      </c>
      <c r="I49" s="1926">
        <f>_xll.cw_map("BR","10-ED-&gt;3-2310-7")</f>
        <v>0</v>
      </c>
      <c r="J49" s="1926">
        <f>_xll.cw_map("BR","10-ED-&gt;3-2310-8")</f>
        <v>0</v>
      </c>
      <c r="K49" s="1664">
        <f>SUM(C49:J49)</f>
        <v>376556</v>
      </c>
      <c r="L49" s="1927">
        <f>+'[1]EstExp 11-17'!$K$49</f>
        <v>512000</v>
      </c>
    </row>
    <row r="50" spans="1:14">
      <c r="A50" s="1496" t="s">
        <v>872</v>
      </c>
      <c r="B50" s="589">
        <v>2320</v>
      </c>
      <c r="C50" s="1927">
        <f>_xll.cw_map("BR","10-ED-&gt;3-2320-1")</f>
        <v>289247</v>
      </c>
      <c r="D50" s="1927">
        <f>_xll.cw_map("BR","10-ED-&gt;3-2320-2")</f>
        <v>67169</v>
      </c>
      <c r="E50" s="1927">
        <f>_xll.cw_map("BR","10-ED-&gt;3-2320-3")</f>
        <v>13360</v>
      </c>
      <c r="F50" s="1927">
        <f>_xll.cw_map("BR","10-ED-&gt;3-2320-4")</f>
        <v>51606</v>
      </c>
      <c r="G50" s="1927">
        <f>_xll.cw_map("BR","10-ED-&gt;3-2320-5")</f>
        <v>0</v>
      </c>
      <c r="H50" s="1927">
        <f>_xll.cw_map("BR","10-ED-&gt;3-2320-6")</f>
        <v>12777</v>
      </c>
      <c r="I50" s="1926">
        <f>_xll.cw_map("BR","10-ED-&gt;3-2320-7")</f>
        <v>2284</v>
      </c>
      <c r="J50" s="1926">
        <f>_xll.cw_map("BR","10-ED-&gt;3-2320-8")</f>
        <v>0</v>
      </c>
      <c r="K50" s="1664">
        <f>SUM(C50:J50)</f>
        <v>436443</v>
      </c>
      <c r="L50" s="1927">
        <f>+'[1]EstExp 11-17'!$K$50</f>
        <v>464390</v>
      </c>
    </row>
    <row r="51" spans="1:14">
      <c r="A51" s="1496" t="s">
        <v>44</v>
      </c>
      <c r="B51" s="589">
        <v>2330</v>
      </c>
      <c r="C51" s="1927">
        <f>_xll.cw_map("BR","10-ED-&gt;3-2330-1")</f>
        <v>594629</v>
      </c>
      <c r="D51" s="1927">
        <f>_xll.cw_map("BR","10-ED-&gt;3-2330-2")</f>
        <v>142895</v>
      </c>
      <c r="E51" s="1927">
        <f>_xll.cw_map("BR","10-ED-&gt;3-2330-3")</f>
        <v>1934</v>
      </c>
      <c r="F51" s="1927">
        <f>_xll.cw_map("BR","10-ED-&gt;3-2330-4")</f>
        <v>3148</v>
      </c>
      <c r="G51" s="1927">
        <f>_xll.cw_map("BR","10-ED-&gt;3-2330-5")</f>
        <v>0</v>
      </c>
      <c r="H51" s="1927">
        <f>_xll.cw_map("BR","10-ED-&gt;3-2330-6")</f>
        <v>0</v>
      </c>
      <c r="I51" s="1926">
        <f>_xll.cw_map("BR","10-ED-&gt;3-2330-7")</f>
        <v>0</v>
      </c>
      <c r="J51" s="1926">
        <f>_xll.cw_map("BR","10-ED-&gt;3-2330-8")</f>
        <v>0</v>
      </c>
      <c r="K51" s="1664">
        <f>SUM(C51:J51)</f>
        <v>742606</v>
      </c>
      <c r="L51" s="1930">
        <f>+'[1]EstExp 11-17'!$K$51</f>
        <v>783042</v>
      </c>
    </row>
    <row r="52" spans="1:14" ht="22.5">
      <c r="A52" s="1497" t="s">
        <v>316</v>
      </c>
      <c r="B52" s="602" t="s">
        <v>384</v>
      </c>
      <c r="C52" s="1930">
        <f>_xll.cw_map("BR","10-ED-&gt;3-2360-1")+_xll.cw_map("BR","10-ED-&gt;3-2361-1")+_xll.cw_map("BR","10-ED-&gt;3-2362-1")+_xll.cw_map("BR","10-ED-&gt;3-2363-1")+_xll.cw_map("BR","10-ED-&gt;3-2364-1")+_xll.cw_map("BR","10-ED-&gt;3-2365-1")+_xll.cw_map("BR","10-ED-&gt;3-2366-1")+_xll.cw_map("BR","10-ED-&gt;3-2367-1")+_xll.cw_map("BR","10-ED-&gt;3-2368-1")+_xll.cw_map("BR","10-ED-&gt;3-2369-1")</f>
        <v>0</v>
      </c>
      <c r="D52" s="1930">
        <f>_xll.cw_map("BR","10-ED-&gt;3-2360-2")+_xll.cw_map("BR","10-ED-&gt;3-2361-2")+_xll.cw_map("BR","10-ED-&gt;3-2362-2")+_xll.cw_map("BR","10-ED-&gt;3-2363-2")+_xll.cw_map("BR","10-ED-&gt;3-2364-2")+_xll.cw_map("BR","10-ED-&gt;3-2365-2")+_xll.cw_map("BR","10-ED-&gt;3-2366-2")+_xll.cw_map("BR","10-ED-&gt;3-2367-2")+_xll.cw_map("BR","10-ED-&gt;3-2368-2")+_xll.cw_map("BR","10-ED-&gt;3-2369-2")</f>
        <v>0</v>
      </c>
      <c r="E52" s="1930">
        <f>_xll.cw_map("BR","10-ED-&gt;3-2360-3")+_xll.cw_map("BR","10-ED-&gt;3-2361-3")+_xll.cw_map("BR","10-ED-&gt;3-2362-3")+_xll.cw_map("BR","10-ED-&gt;3-2363-3")+_xll.cw_map("BR","10-ED-&gt;3-2364-3")+_xll.cw_map("BR","10-ED-&gt;3-2365-3")+_xll.cw_map("BR","10-ED-&gt;3-2366-3")+_xll.cw_map("BR","10-ED-&gt;3-2367-3")+_xll.cw_map("BR","10-ED-&gt;3-2368-3")+_xll.cw_map("BR","10-ED-&gt;3-2369-3")</f>
        <v>0</v>
      </c>
      <c r="F52" s="1930">
        <f>_xll.cw_map("BR","10-ED-&gt;3-2360-4")+_xll.cw_map("BR","10-ED-&gt;3-2361-4")+_xll.cw_map("BR","10-ED-&gt;3-2362-4")+_xll.cw_map("BR","10-ED-&gt;3-2363-4")+_xll.cw_map("BR","10-ED-&gt;3-2364-4")+_xll.cw_map("BR","10-ED-&gt;3-2365-4")+_xll.cw_map("BR","10-ED-&gt;3-2366-4")+_xll.cw_map("BR","10-ED-&gt;3-2367-4")+_xll.cw_map("BR","10-ED-&gt;3-2368-4")+_xll.cw_map("BR","10-ED-&gt;3-2369-4")</f>
        <v>0</v>
      </c>
      <c r="G52" s="1930">
        <f>_xll.cw_map("BR","10-ED-&gt;3-2360-5")+_xll.cw_map("BR","10-ED-&gt;3-2361-5")+_xll.cw_map("BR","10-ED-&gt;3-2362-5")+_xll.cw_map("BR","10-ED-&gt;3-2363-5")+_xll.cw_map("BR","10-ED-&gt;3-2364-5")+_xll.cw_map("BR","10-ED-&gt;3-2365-5")+_xll.cw_map("BR","10-ED-&gt;3-2366-5")+_xll.cw_map("BR","10-ED-&gt;3-2367-5")+_xll.cw_map("BR","10-ED-&gt;3-2368-5")+_xll.cw_map("BR","10-ED-&gt;3-2369-5")</f>
        <v>0</v>
      </c>
      <c r="H52" s="1930">
        <f>_xll.cw_map("BR","10-ED-&gt;3-2360-6")+_xll.cw_map("BR","10-ED-&gt;3-2361-6")+_xll.cw_map("BR","10-ED-&gt;3-2362-6")+_xll.cw_map("BR","10-ED-&gt;3-2363-6")+_xll.cw_map("BR","10-ED-&gt;3-2364-6")+_xll.cw_map("BR","10-ED-&gt;3-2365-6")+_xll.cw_map("BR","10-ED-&gt;3-2366-6")+_xll.cw_map("BR","10-ED-&gt;3-2367-6")+_xll.cw_map("BR","10-ED-&gt;3-2368-6")+_xll.cw_map("BR","10-ED-&gt;3-2369-6")</f>
        <v>0</v>
      </c>
      <c r="I52" s="1930">
        <f>_xll.cw_map("BR","10-ED-&gt;3-2360-7")+_xll.cw_map("BR","10-ED-&gt;3-2361-7")+_xll.cw_map("BR","10-ED-&gt;3-2362-7")+_xll.cw_map("BR","10-ED-&gt;3-2363-7")+_xll.cw_map("BR","10-ED-&gt;3-2364-7")+_xll.cw_map("BR","10-ED-&gt;3-2365-7")+_xll.cw_map("BR","10-ED-&gt;3-2366-7")+_xll.cw_map("BR","10-ED-&gt;3-2367-7")+_xll.cw_map("BR","10-ED-&gt;3-2368-7")+_xll.cw_map("BR","10-ED-&gt;3-2369-7")</f>
        <v>0</v>
      </c>
      <c r="J52" s="1930">
        <f>_xll.cw_map("BR","10-ED-&gt;3-2360-8")+_xll.cw_map("BR","10-ED-&gt;3-2361-8")+_xll.cw_map("BR","10-ED-&gt;3-2362-8")+_xll.cw_map("BR","10-ED-&gt;3-2363-8")+_xll.cw_map("BR","10-ED-&gt;3-2364-8")+_xll.cw_map("BR","10-ED-&gt;3-2365-8")+_xll.cw_map("BR","10-ED-&gt;3-2366-8")+_xll.cw_map("BR","10-ED-&gt;3-2367-8")+_xll.cw_map("BR","10-ED-&gt;3-2368-8")+_xll.cw_map("BR","10-ED-&gt;3-2369-8")</f>
        <v>0</v>
      </c>
      <c r="K52" s="1664">
        <f>SUM(C52:J52)</f>
        <v>0</v>
      </c>
      <c r="L52" s="1930">
        <f>+'[1]EstExp 11-17'!$K$52</f>
        <v>0</v>
      </c>
    </row>
    <row r="53" spans="1:14" ht="12.75" customHeight="1" thickBot="1">
      <c r="A53" s="1660" t="s">
        <v>741</v>
      </c>
      <c r="B53" s="1661" t="s">
        <v>33</v>
      </c>
      <c r="C53" s="1662">
        <f>SUM(C49:C52)</f>
        <v>884408</v>
      </c>
      <c r="D53" s="1662">
        <f t="shared" ref="D53:L53" si="5">SUM(D49:D52)</f>
        <v>210118</v>
      </c>
      <c r="E53" s="1662">
        <f t="shared" si="5"/>
        <v>372971</v>
      </c>
      <c r="F53" s="1662">
        <f t="shared" si="5"/>
        <v>66787</v>
      </c>
      <c r="G53" s="1662">
        <f t="shared" si="5"/>
        <v>0</v>
      </c>
      <c r="H53" s="1662">
        <f t="shared" si="5"/>
        <v>19037</v>
      </c>
      <c r="I53" s="1662">
        <f t="shared" si="5"/>
        <v>2284</v>
      </c>
      <c r="J53" s="1662">
        <f t="shared" si="5"/>
        <v>0</v>
      </c>
      <c r="K53" s="1662">
        <f t="shared" si="5"/>
        <v>1555605</v>
      </c>
      <c r="L53" s="1662">
        <f t="shared" si="5"/>
        <v>1759432</v>
      </c>
    </row>
    <row r="54" spans="1:14" ht="15.75" customHeight="1" thickTop="1">
      <c r="A54" s="599" t="s">
        <v>632</v>
      </c>
      <c r="B54" s="600"/>
      <c r="C54" s="601"/>
      <c r="D54" s="601"/>
      <c r="E54" s="601"/>
      <c r="F54" s="601"/>
      <c r="G54" s="601"/>
      <c r="H54" s="601"/>
      <c r="I54" s="591"/>
      <c r="J54" s="591"/>
      <c r="K54" s="601"/>
      <c r="L54" s="601"/>
    </row>
    <row r="55" spans="1:14">
      <c r="A55" s="1496" t="s">
        <v>1127</v>
      </c>
      <c r="B55" s="589">
        <v>2410</v>
      </c>
      <c r="C55" s="1928">
        <f>_xll.cw_map("BR","10-ED-&gt;3-2410-1")</f>
        <v>2083025</v>
      </c>
      <c r="D55" s="1928">
        <f>_xll.cw_map("BR","10-ED-&gt;3-2410-2")</f>
        <v>470434</v>
      </c>
      <c r="E55" s="1928">
        <f>_xll.cw_map("BR","10-ED-&gt;3-2410-3")</f>
        <v>2809</v>
      </c>
      <c r="F55" s="1928">
        <f>_xll.cw_map("BR","10-ED-&gt;3-2410-4")</f>
        <v>13820</v>
      </c>
      <c r="G55" s="1928">
        <f>_xll.cw_map("BR","10-ED-&gt;3-2410-5")</f>
        <v>0</v>
      </c>
      <c r="H55" s="1928">
        <f>_xll.cw_map("BR","10-ED-&gt;3-2410-6")</f>
        <v>994</v>
      </c>
      <c r="I55" s="1926">
        <f>_xll.cw_map("BR","10-ED-&gt;3-2410-7")</f>
        <v>0</v>
      </c>
      <c r="J55" s="1926">
        <f>_xll.cw_map("BR","10-ED-&gt;3-2410-8")</f>
        <v>0</v>
      </c>
      <c r="K55" s="1664">
        <f>SUM(C55:J55)</f>
        <v>2571082</v>
      </c>
      <c r="L55" s="1928">
        <f>+'[1]EstExp 11-17'!$K$55</f>
        <v>2681825</v>
      </c>
    </row>
    <row r="56" spans="1:14" ht="12.75" customHeight="1">
      <c r="A56" s="1500" t="s">
        <v>394</v>
      </c>
      <c r="B56" s="603">
        <v>2490</v>
      </c>
      <c r="C56" s="1927">
        <f>_xll.cw_map("BR","10-ED-&gt;3-2490-1")</f>
        <v>1042390</v>
      </c>
      <c r="D56" s="1927">
        <f>_xll.cw_map("BR","10-ED-&gt;3-2490-2")</f>
        <v>203704</v>
      </c>
      <c r="E56" s="1927">
        <f>_xll.cw_map("BR","10-ED-&gt;3-2490-3")</f>
        <v>780</v>
      </c>
      <c r="F56" s="1927">
        <f>_xll.cw_map("BR","10-ED-&gt;3-2490-4")</f>
        <v>0</v>
      </c>
      <c r="G56" s="1927">
        <f>_xll.cw_map("BR","10-ED-&gt;3-2490-5")</f>
        <v>0</v>
      </c>
      <c r="H56" s="1927">
        <f>_xll.cw_map("BR","10-ED-&gt;3-2490-6")</f>
        <v>0</v>
      </c>
      <c r="I56" s="1926">
        <f>_xll.cw_map("BR","10-ED-&gt;3-2490-7")</f>
        <v>0</v>
      </c>
      <c r="J56" s="1926">
        <f>_xll.cw_map("BR","10-ED-&gt;3-2490-8")</f>
        <v>0</v>
      </c>
      <c r="K56" s="1664">
        <f>SUM(C56:J56)</f>
        <v>1246874</v>
      </c>
      <c r="L56" s="1927">
        <f>+'[1]EstExp 11-17'!$K$56</f>
        <v>1382283</v>
      </c>
    </row>
    <row r="57" spans="1:14" s="342" customFormat="1" ht="12.75" customHeight="1" thickBot="1">
      <c r="A57" s="1660" t="s">
        <v>281</v>
      </c>
      <c r="B57" s="1665" t="s">
        <v>34</v>
      </c>
      <c r="C57" s="1666">
        <f>SUM(C55:C56)</f>
        <v>3125415</v>
      </c>
      <c r="D57" s="1666">
        <f t="shared" ref="D57:K57" si="6">SUM(D55:D56)</f>
        <v>674138</v>
      </c>
      <c r="E57" s="1666">
        <f t="shared" si="6"/>
        <v>3589</v>
      </c>
      <c r="F57" s="1666">
        <f t="shared" si="6"/>
        <v>13820</v>
      </c>
      <c r="G57" s="1666">
        <f t="shared" si="6"/>
        <v>0</v>
      </c>
      <c r="H57" s="1666">
        <f t="shared" si="6"/>
        <v>994</v>
      </c>
      <c r="I57" s="1666">
        <f t="shared" si="6"/>
        <v>0</v>
      </c>
      <c r="J57" s="1666">
        <f t="shared" si="6"/>
        <v>0</v>
      </c>
      <c r="K57" s="1666">
        <f t="shared" si="6"/>
        <v>3817956</v>
      </c>
      <c r="L57" s="1662">
        <f>SUM(L55:L56)</f>
        <v>4064108</v>
      </c>
      <c r="M57" s="584"/>
      <c r="N57" s="584"/>
    </row>
    <row r="58" spans="1:14" s="342" customFormat="1" ht="15.75" customHeight="1" thickTop="1">
      <c r="A58" s="599" t="s">
        <v>633</v>
      </c>
      <c r="B58" s="600"/>
      <c r="C58" s="604"/>
      <c r="D58" s="601"/>
      <c r="E58" s="601"/>
      <c r="F58" s="601"/>
      <c r="G58" s="601"/>
      <c r="H58" s="601"/>
      <c r="I58" s="591"/>
      <c r="J58" s="591"/>
      <c r="K58" s="601"/>
      <c r="L58" s="601"/>
      <c r="M58" s="584"/>
      <c r="N58" s="584"/>
    </row>
    <row r="59" spans="1:14" s="342" customFormat="1">
      <c r="A59" s="1496" t="s">
        <v>1128</v>
      </c>
      <c r="B59" s="589">
        <v>2510</v>
      </c>
      <c r="C59" s="1928">
        <f>_xll.cw_map("BR","10-ED-&gt;3-2510-1")</f>
        <v>113595</v>
      </c>
      <c r="D59" s="1928">
        <f>_xll.cw_map("BR","10-ED-&gt;3-2510-2")</f>
        <v>3149</v>
      </c>
      <c r="E59" s="1928">
        <f>_xll.cw_map("BR","10-ED-&gt;3-2510-3")</f>
        <v>485</v>
      </c>
      <c r="F59" s="1928">
        <f>_xll.cw_map("BR","10-ED-&gt;3-2510-4")</f>
        <v>2833</v>
      </c>
      <c r="G59" s="1928">
        <f>_xll.cw_map("BR","10-ED-&gt;3-2510-5")</f>
        <v>0</v>
      </c>
      <c r="H59" s="1928">
        <f>_xll.cw_map("BR","10-ED-&gt;3-2510-6")</f>
        <v>10</v>
      </c>
      <c r="I59" s="1926">
        <f>_xll.cw_map("BR","10-ED-&gt;3-2510-7")</f>
        <v>0</v>
      </c>
      <c r="J59" s="1926">
        <f>_xll.cw_map("BR","10-ED-&gt;3-2510-8")</f>
        <v>0</v>
      </c>
      <c r="K59" s="1664">
        <f t="shared" ref="K59:K64" si="7">SUM(C59:J59)</f>
        <v>120072</v>
      </c>
      <c r="L59" s="1927">
        <f>+'[1]EstExp 11-17'!$K$59</f>
        <v>170800</v>
      </c>
      <c r="M59" s="584"/>
      <c r="N59" s="584"/>
    </row>
    <row r="60" spans="1:14" s="342" customFormat="1">
      <c r="A60" s="1496" t="s">
        <v>483</v>
      </c>
      <c r="B60" s="589">
        <v>2520</v>
      </c>
      <c r="C60" s="1927">
        <f>_xll.cw_map("BR","10-ED-&gt;3-2520-1")</f>
        <v>196907</v>
      </c>
      <c r="D60" s="1927">
        <f>_xll.cw_map("BR","10-ED-&gt;3-2520-2")</f>
        <v>54420</v>
      </c>
      <c r="E60" s="1927">
        <f>_xll.cw_map("BR","10-ED-&gt;3-2520-3")</f>
        <v>191377</v>
      </c>
      <c r="F60" s="1927">
        <f>_xll.cw_map("BR","10-ED-&gt;3-2520-4")</f>
        <v>22029</v>
      </c>
      <c r="G60" s="1927">
        <f>_xll.cw_map("BR","10-ED-&gt;3-2520-5")</f>
        <v>0</v>
      </c>
      <c r="H60" s="1927">
        <f>_xll.cw_map("BR","10-ED-&gt;3-2520-6")</f>
        <v>0</v>
      </c>
      <c r="I60" s="1926">
        <f>_xll.cw_map("BR","10-ED-&gt;3-2520-7")</f>
        <v>0</v>
      </c>
      <c r="J60" s="1926">
        <f>_xll.cw_map("BR","10-ED-&gt;3-2520-8")</f>
        <v>0</v>
      </c>
      <c r="K60" s="1664">
        <f t="shared" si="7"/>
        <v>464733</v>
      </c>
      <c r="L60" s="1927">
        <f>+'[1]EstExp 11-17'!$K$60</f>
        <v>491412</v>
      </c>
      <c r="M60" s="584"/>
      <c r="N60" s="584"/>
    </row>
    <row r="61" spans="1:14" s="342" customFormat="1">
      <c r="A61" s="1496" t="s">
        <v>206</v>
      </c>
      <c r="B61" s="589">
        <v>2540</v>
      </c>
      <c r="C61" s="1927">
        <f>_xll.cw_map("BR","10-ED-&gt;3-2540-1")</f>
        <v>0</v>
      </c>
      <c r="D61" s="1927">
        <f>_xll.cw_map("BR","10-ED-&gt;3-2540-2")</f>
        <v>0</v>
      </c>
      <c r="E61" s="1927">
        <f>_xll.cw_map("BR","10-ED-&gt;3-2540-3")</f>
        <v>0</v>
      </c>
      <c r="F61" s="1927">
        <f>_xll.cw_map("BR","10-ED-&gt;3-2540-4")</f>
        <v>0</v>
      </c>
      <c r="G61" s="1927">
        <f>_xll.cw_map("BR","10-ED-&gt;3-2540-5")</f>
        <v>0</v>
      </c>
      <c r="H61" s="1927">
        <f>_xll.cw_map("BR","10-ED-&gt;3-2540-6")</f>
        <v>0</v>
      </c>
      <c r="I61" s="1926">
        <f>_xll.cw_map("BR","10-ED-&gt;3-2540-7")</f>
        <v>0</v>
      </c>
      <c r="J61" s="1926">
        <f>_xll.cw_map("BR","10-ED-&gt;3-2540-8")</f>
        <v>0</v>
      </c>
      <c r="K61" s="1664">
        <f t="shared" si="7"/>
        <v>0</v>
      </c>
      <c r="L61" s="1927">
        <f>+'[1]EstExp 11-17'!$K$61</f>
        <v>0</v>
      </c>
      <c r="M61" s="584"/>
      <c r="N61" s="584"/>
    </row>
    <row r="62" spans="1:14" s="342" customFormat="1">
      <c r="A62" s="1496" t="s">
        <v>1010</v>
      </c>
      <c r="B62" s="589">
        <v>2550</v>
      </c>
      <c r="C62" s="1927">
        <f>_xll.cw_map("BR","10-ED-&gt;3-2550-1")</f>
        <v>0</v>
      </c>
      <c r="D62" s="1927">
        <f>_xll.cw_map("BR","10-ED-&gt;3-2550-2")</f>
        <v>0</v>
      </c>
      <c r="E62" s="1927">
        <f>_xll.cw_map("BR","10-ED-&gt;3-2550-3")</f>
        <v>34089</v>
      </c>
      <c r="F62" s="1927">
        <f>_xll.cw_map("BR","10-ED-&gt;3-2550-4")</f>
        <v>0</v>
      </c>
      <c r="G62" s="1927">
        <f>_xll.cw_map("BR","10-ED-&gt;3-2550-5")</f>
        <v>0</v>
      </c>
      <c r="H62" s="1927">
        <f>_xll.cw_map("BR","10-ED-&gt;3-2550-6")</f>
        <v>0</v>
      </c>
      <c r="I62" s="1926">
        <f>_xll.cw_map("BR","10-ED-&gt;3-2550-7")</f>
        <v>0</v>
      </c>
      <c r="J62" s="1926">
        <f>_xll.cw_map("BR","10-ED-&gt;3-2550-8")</f>
        <v>0</v>
      </c>
      <c r="K62" s="1664">
        <f t="shared" si="7"/>
        <v>34089</v>
      </c>
      <c r="L62" s="1927">
        <f>+'[1]EstExp 11-17'!$K$62</f>
        <v>38395</v>
      </c>
      <c r="M62" s="584"/>
      <c r="N62" s="584"/>
    </row>
    <row r="63" spans="1:14" s="584" customFormat="1">
      <c r="A63" s="1496" t="s">
        <v>102</v>
      </c>
      <c r="B63" s="589">
        <v>2560</v>
      </c>
      <c r="C63" s="1927">
        <f>_xll.cw_map("BR","10-ED-&gt;3-2560-1")</f>
        <v>971226</v>
      </c>
      <c r="D63" s="1927">
        <f>_xll.cw_map("BR","10-ED-&gt;3-2560-2")</f>
        <v>144164</v>
      </c>
      <c r="E63" s="1927">
        <f>_xll.cw_map("BR","10-ED-&gt;3-2560-3")</f>
        <v>53780</v>
      </c>
      <c r="F63" s="1927">
        <f>_xll.cw_map("BR","10-ED-&gt;3-2560-4")</f>
        <v>914233</v>
      </c>
      <c r="G63" s="1927">
        <f>_xll.cw_map("BR","10-ED-&gt;3-2560-5")</f>
        <v>0</v>
      </c>
      <c r="H63" s="1927">
        <f>_xll.cw_map("BR","10-ED-&gt;3-2560-6")</f>
        <v>960</v>
      </c>
      <c r="I63" s="1926">
        <f>_xll.cw_map("BR","10-ED-&gt;3-2560-7")</f>
        <v>1056</v>
      </c>
      <c r="J63" s="1926">
        <f>_xll.cw_map("BR","10-ED-&gt;3-2560-8")</f>
        <v>0</v>
      </c>
      <c r="K63" s="1664">
        <f t="shared" si="7"/>
        <v>2085419</v>
      </c>
      <c r="L63" s="1928">
        <f>+'[1]EstExp 11-17'!$K$63</f>
        <v>2340367</v>
      </c>
    </row>
    <row r="64" spans="1:14" s="584" customFormat="1">
      <c r="A64" s="1501" t="s">
        <v>103</v>
      </c>
      <c r="B64" s="605">
        <v>2570</v>
      </c>
      <c r="C64" s="1928">
        <f>_xll.cw_map("BR","10-ED-&gt;3-2570-1")</f>
        <v>0</v>
      </c>
      <c r="D64" s="1928">
        <f>_xll.cw_map("BR","10-ED-&gt;3-2570-2")</f>
        <v>0</v>
      </c>
      <c r="E64" s="1928">
        <f>_xll.cw_map("BR","10-ED-&gt;3-2570-3")</f>
        <v>132154</v>
      </c>
      <c r="F64" s="1928">
        <f>_xll.cw_map("BR","10-ED-&gt;3-2570-4")</f>
        <v>0</v>
      </c>
      <c r="G64" s="1928">
        <f>_xll.cw_map("BR","10-ED-&gt;3-2570-5")</f>
        <v>9390</v>
      </c>
      <c r="H64" s="1928">
        <f>_xll.cw_map("BR","10-ED-&gt;3-2570-6")</f>
        <v>0</v>
      </c>
      <c r="I64" s="1926">
        <f>_xll.cw_map("BR","10-ED-&gt;3-2570-7")</f>
        <v>0</v>
      </c>
      <c r="J64" s="1926">
        <f>_xll.cw_map("BR","10-ED-&gt;3-2570-8")</f>
        <v>0</v>
      </c>
      <c r="K64" s="1664">
        <f t="shared" si="7"/>
        <v>141544</v>
      </c>
      <c r="L64" s="1928">
        <f>+'[1]EstExp 11-17'!$K$64</f>
        <v>320600</v>
      </c>
    </row>
    <row r="65" spans="1:14" s="342" customFormat="1" ht="12.75" customHeight="1" thickBot="1">
      <c r="A65" s="1660" t="s">
        <v>743</v>
      </c>
      <c r="B65" s="1661" t="s">
        <v>35</v>
      </c>
      <c r="C65" s="1662">
        <f>SUM(C59:C64)</f>
        <v>1281728</v>
      </c>
      <c r="D65" s="1662">
        <f t="shared" ref="D65:L65" si="8">SUM(D59:D64)</f>
        <v>201733</v>
      </c>
      <c r="E65" s="1662">
        <f t="shared" si="8"/>
        <v>411885</v>
      </c>
      <c r="F65" s="1662">
        <f t="shared" si="8"/>
        <v>939095</v>
      </c>
      <c r="G65" s="1662">
        <f t="shared" si="8"/>
        <v>9390</v>
      </c>
      <c r="H65" s="1662">
        <f t="shared" si="8"/>
        <v>970</v>
      </c>
      <c r="I65" s="1662">
        <f t="shared" si="8"/>
        <v>1056</v>
      </c>
      <c r="J65" s="1662">
        <f t="shared" si="8"/>
        <v>0</v>
      </c>
      <c r="K65" s="1662">
        <f t="shared" si="8"/>
        <v>2845857</v>
      </c>
      <c r="L65" s="1662">
        <f t="shared" si="8"/>
        <v>3361574</v>
      </c>
      <c r="M65" s="584"/>
      <c r="N65" s="584"/>
    </row>
    <row r="66" spans="1:14" s="342" customFormat="1" ht="15.75" customHeight="1" thickTop="1">
      <c r="A66" s="599" t="s">
        <v>634</v>
      </c>
      <c r="B66" s="606"/>
      <c r="C66" s="591"/>
      <c r="D66" s="591"/>
      <c r="E66" s="591"/>
      <c r="F66" s="591"/>
      <c r="G66" s="591"/>
      <c r="H66" s="591"/>
      <c r="I66" s="591"/>
      <c r="J66" s="591"/>
      <c r="K66" s="601"/>
      <c r="L66" s="601"/>
      <c r="M66" s="584"/>
      <c r="N66" s="584"/>
    </row>
    <row r="67" spans="1:14" s="342" customFormat="1">
      <c r="A67" s="1496" t="s">
        <v>1120</v>
      </c>
      <c r="B67" s="589">
        <v>2610</v>
      </c>
      <c r="C67" s="1927">
        <f>_xll.cw_map("BR","10-ED-&gt;3-2610-1")</f>
        <v>0</v>
      </c>
      <c r="D67" s="1927">
        <f>_xll.cw_map("BR","10-ED-&gt;3-2610-2")</f>
        <v>0</v>
      </c>
      <c r="E67" s="1927">
        <f>_xll.cw_map("BR","10-ED-&gt;3-2610-3")</f>
        <v>0</v>
      </c>
      <c r="F67" s="1927">
        <f>_xll.cw_map("BR","10-ED-&gt;3-2610-4")</f>
        <v>0</v>
      </c>
      <c r="G67" s="1927">
        <f>_xll.cw_map("BR","10-ED-&gt;3-2610-5")</f>
        <v>0</v>
      </c>
      <c r="H67" s="1927">
        <f>_xll.cw_map("BR","10-ED-&gt;3-2610-6")</f>
        <v>0</v>
      </c>
      <c r="I67" s="1926">
        <f>_xll.cw_map("BR","10-ED-&gt;3-2610-7")</f>
        <v>0</v>
      </c>
      <c r="J67" s="1926">
        <f>_xll.cw_map("BR","10-ED-&gt;3-2610-8")</f>
        <v>0</v>
      </c>
      <c r="K67" s="1664">
        <f>SUM(C67:J67)</f>
        <v>0</v>
      </c>
      <c r="L67" s="1927">
        <f>+'[1]EstExp 11-17'!$K$67</f>
        <v>0</v>
      </c>
      <c r="M67" s="584"/>
      <c r="N67" s="584"/>
    </row>
    <row r="68" spans="1:14" s="342" customFormat="1">
      <c r="A68" s="1496" t="s">
        <v>628</v>
      </c>
      <c r="B68" s="589">
        <v>2620</v>
      </c>
      <c r="C68" s="1927">
        <f>_xll.cw_map("BR","10-ED-&gt;3-2620-1")</f>
        <v>0</v>
      </c>
      <c r="D68" s="1927">
        <f>_xll.cw_map("BR","10-ED-&gt;3-2620-2")</f>
        <v>0</v>
      </c>
      <c r="E68" s="1927">
        <f>_xll.cw_map("BR","10-ED-&gt;3-2620-3")</f>
        <v>0</v>
      </c>
      <c r="F68" s="1927">
        <f>_xll.cw_map("BR","10-ED-&gt;3-2620-4")</f>
        <v>0</v>
      </c>
      <c r="G68" s="1927">
        <f>_xll.cw_map("BR","10-ED-&gt;3-2620-5")</f>
        <v>0</v>
      </c>
      <c r="H68" s="1927">
        <f>_xll.cw_map("BR","10-ED-&gt;3-2620-6")</f>
        <v>0</v>
      </c>
      <c r="I68" s="1926">
        <f>_xll.cw_map("BR","10-ED-&gt;3-2620-7")</f>
        <v>0</v>
      </c>
      <c r="J68" s="1926">
        <f>_xll.cw_map("BR","10-ED-&gt;3-2620-8")</f>
        <v>0</v>
      </c>
      <c r="K68" s="1664">
        <f>SUM(C68:J68)</f>
        <v>0</v>
      </c>
      <c r="L68" s="1927">
        <f>+'[1]EstExp 11-17'!$K$68</f>
        <v>0</v>
      </c>
      <c r="M68" s="584"/>
      <c r="N68" s="584"/>
    </row>
    <row r="69" spans="1:14" s="342" customFormat="1">
      <c r="A69" s="1496" t="s">
        <v>1121</v>
      </c>
      <c r="B69" s="589">
        <v>2630</v>
      </c>
      <c r="C69" s="1927">
        <f>_xll.cw_map("BR","10-ED-&gt;3-2630-1")</f>
        <v>2520</v>
      </c>
      <c r="D69" s="1927">
        <f>_xll.cw_map("BR","10-ED-&gt;3-2630-2")</f>
        <v>0</v>
      </c>
      <c r="E69" s="1927">
        <f>_xll.cw_map("BR","10-ED-&gt;3-2630-3")</f>
        <v>96328</v>
      </c>
      <c r="F69" s="1927">
        <f>_xll.cw_map("BR","10-ED-&gt;3-2630-4")</f>
        <v>2057</v>
      </c>
      <c r="G69" s="1927">
        <f>_xll.cw_map("BR","10-ED-&gt;3-2630-5")</f>
        <v>0</v>
      </c>
      <c r="H69" s="1927">
        <f>_xll.cw_map("BR","10-ED-&gt;3-2630-6")</f>
        <v>0</v>
      </c>
      <c r="I69" s="1926">
        <f>_xll.cw_map("BR","10-ED-&gt;3-2630-7")</f>
        <v>0</v>
      </c>
      <c r="J69" s="1926">
        <f>_xll.cw_map("BR","10-ED-&gt;3-2630-8")</f>
        <v>0</v>
      </c>
      <c r="K69" s="1664">
        <f>SUM(C69:J69)</f>
        <v>100905</v>
      </c>
      <c r="L69" s="1927">
        <f>+'[1]EstExp 11-17'!$K$69</f>
        <v>92000</v>
      </c>
      <c r="M69" s="584"/>
      <c r="N69" s="584"/>
    </row>
    <row r="70" spans="1:14" s="342" customFormat="1">
      <c r="A70" s="1496" t="s">
        <v>423</v>
      </c>
      <c r="B70" s="589">
        <v>2640</v>
      </c>
      <c r="C70" s="1927">
        <f>_xll.cw_map("BR","10-ED-&gt;3-2640-1")</f>
        <v>276585</v>
      </c>
      <c r="D70" s="1927">
        <f>_xll.cw_map("BR","10-ED-&gt;3-2640-2")</f>
        <v>185866</v>
      </c>
      <c r="E70" s="1927">
        <f>_xll.cw_map("BR","10-ED-&gt;3-2640-3")</f>
        <v>97291</v>
      </c>
      <c r="F70" s="1927">
        <f>_xll.cw_map("BR","10-ED-&gt;3-2640-4")</f>
        <v>8903</v>
      </c>
      <c r="G70" s="1927">
        <f>_xll.cw_map("BR","10-ED-&gt;3-2640-5")</f>
        <v>0</v>
      </c>
      <c r="H70" s="1927">
        <f>_xll.cw_map("BR","10-ED-&gt;3-2640-6")</f>
        <v>0</v>
      </c>
      <c r="I70" s="1926">
        <f>_xll.cw_map("BR","10-ED-&gt;3-2640-7")</f>
        <v>0</v>
      </c>
      <c r="J70" s="1926">
        <f>_xll.cw_map("BR","10-ED-&gt;3-2640-8")</f>
        <v>0</v>
      </c>
      <c r="K70" s="1664">
        <f>SUM(C70:J70)</f>
        <v>568645</v>
      </c>
      <c r="L70" s="1927">
        <f>+'[1]EstExp 11-17'!$K$70</f>
        <v>555062</v>
      </c>
      <c r="M70" s="584"/>
      <c r="N70" s="584"/>
    </row>
    <row r="71" spans="1:14" s="342" customFormat="1">
      <c r="A71" s="1496" t="s">
        <v>424</v>
      </c>
      <c r="B71" s="589">
        <v>2660</v>
      </c>
      <c r="C71" s="1927">
        <f>_xll.cw_map("BR","10-ED-&gt;3-2660-1")</f>
        <v>439850</v>
      </c>
      <c r="D71" s="1927">
        <f>_xll.cw_map("BR","10-ED-&gt;3-2660-2")</f>
        <v>114263</v>
      </c>
      <c r="E71" s="1927">
        <f>_xll.cw_map("BR","10-ED-&gt;3-2660-3")</f>
        <v>262284</v>
      </c>
      <c r="F71" s="1927">
        <f>_xll.cw_map("BR","10-ED-&gt;3-2660-4")</f>
        <v>136739</v>
      </c>
      <c r="G71" s="1927">
        <f>_xll.cw_map("BR","10-ED-&gt;3-2660-5")</f>
        <v>0</v>
      </c>
      <c r="H71" s="1927">
        <f>_xll.cw_map("BR","10-ED-&gt;3-2660-6")</f>
        <v>0</v>
      </c>
      <c r="I71" s="1926">
        <f>_xll.cw_map("BR","10-ED-&gt;3-2660-7")</f>
        <v>192834</v>
      </c>
      <c r="J71" s="1926">
        <f>_xll.cw_map("BR","10-ED-&gt;3-2660-8")</f>
        <v>0</v>
      </c>
      <c r="K71" s="1664">
        <f>SUM(C71:J71)</f>
        <v>1145970</v>
      </c>
      <c r="L71" s="1927">
        <f>+'[1]EstExp 11-17'!$K$71</f>
        <v>1285839</v>
      </c>
      <c r="M71" s="584"/>
      <c r="N71" s="584"/>
    </row>
    <row r="72" spans="1:14" s="342" customFormat="1" ht="12.75" customHeight="1" thickBot="1">
      <c r="A72" s="1660" t="s">
        <v>37</v>
      </c>
      <c r="B72" s="1667" t="s">
        <v>36</v>
      </c>
      <c r="C72" s="1662">
        <f>SUM(C67:C71)</f>
        <v>718955</v>
      </c>
      <c r="D72" s="1662">
        <f t="shared" ref="D72:K72" si="9">SUM(D67:D71)</f>
        <v>300129</v>
      </c>
      <c r="E72" s="1662">
        <f t="shared" si="9"/>
        <v>455903</v>
      </c>
      <c r="F72" s="1662">
        <f t="shared" si="9"/>
        <v>147699</v>
      </c>
      <c r="G72" s="1662">
        <f t="shared" si="9"/>
        <v>0</v>
      </c>
      <c r="H72" s="1662">
        <f t="shared" si="9"/>
        <v>0</v>
      </c>
      <c r="I72" s="1662">
        <f t="shared" si="9"/>
        <v>192834</v>
      </c>
      <c r="J72" s="1662">
        <f t="shared" si="9"/>
        <v>0</v>
      </c>
      <c r="K72" s="1662">
        <f t="shared" si="9"/>
        <v>1815520</v>
      </c>
      <c r="L72" s="1662">
        <f>SUM(L67:L71)</f>
        <v>1932901</v>
      </c>
      <c r="M72" s="584"/>
      <c r="N72" s="584"/>
    </row>
    <row r="73" spans="1:14" s="342" customFormat="1" ht="14.25" thickTop="1" thickBot="1">
      <c r="A73" s="1502" t="s">
        <v>1037</v>
      </c>
      <c r="B73" s="607" t="s">
        <v>595</v>
      </c>
      <c r="C73" s="1946">
        <f>_xll.cw_map("BR","10-ED-&gt;3-2900-1")</f>
        <v>37523</v>
      </c>
      <c r="D73" s="1946">
        <f>_xll.cw_map("BR","10-ED-&gt;3-2900-2")</f>
        <v>6413</v>
      </c>
      <c r="E73" s="1946">
        <f>_xll.cw_map("BR","10-ED-&gt;3-2900-3")</f>
        <v>0</v>
      </c>
      <c r="F73" s="1946">
        <f>_xll.cw_map("BR","10-ED-&gt;3-2900-4")</f>
        <v>0</v>
      </c>
      <c r="G73" s="1946">
        <f>_xll.cw_map("BR","10-ED-&gt;3-2900-5")</f>
        <v>0</v>
      </c>
      <c r="H73" s="1946">
        <f>_xll.cw_map("BR","10-ED-&gt;3-2900-6")</f>
        <v>0</v>
      </c>
      <c r="I73" s="1942">
        <f>_xll.cw_map("BR","10-ED-&gt;3-2900-7")</f>
        <v>0</v>
      </c>
      <c r="J73" s="1942">
        <f>_xll.cw_map("BR","10-ED-&gt;3-2900-8")</f>
        <v>0</v>
      </c>
      <c r="K73" s="1662">
        <f>SUM(C73:J73)</f>
        <v>43936</v>
      </c>
      <c r="L73" s="1944">
        <f>+'[1]EstExp 11-17'!$K$73</f>
        <v>47169</v>
      </c>
      <c r="M73" s="584"/>
      <c r="N73" s="584"/>
    </row>
    <row r="74" spans="1:14" ht="12.75" customHeight="1" thickTop="1" thickBot="1">
      <c r="A74" s="1660" t="s">
        <v>865</v>
      </c>
      <c r="B74" s="1668">
        <v>2000</v>
      </c>
      <c r="C74" s="1669">
        <f>SUM(C42,C47,C53,C57,C65,C72,C73)</f>
        <v>8852201</v>
      </c>
      <c r="D74" s="1669">
        <f t="shared" ref="D74:K74" si="10">SUM(D42,D47,D53,D57,D65,D72,D73)</f>
        <v>1932415</v>
      </c>
      <c r="E74" s="1669">
        <f t="shared" si="10"/>
        <v>2396466</v>
      </c>
      <c r="F74" s="1669">
        <f t="shared" si="10"/>
        <v>1271856</v>
      </c>
      <c r="G74" s="1669">
        <f t="shared" si="10"/>
        <v>9390</v>
      </c>
      <c r="H74" s="1669">
        <f t="shared" si="10"/>
        <v>23180</v>
      </c>
      <c r="I74" s="1669">
        <f t="shared" si="10"/>
        <v>200854</v>
      </c>
      <c r="J74" s="1669">
        <f t="shared" si="10"/>
        <v>0</v>
      </c>
      <c r="K74" s="1669">
        <f t="shared" si="10"/>
        <v>14686362</v>
      </c>
      <c r="L74" s="1669">
        <f>SUM(L42,L47,L53,L57,L65,L72,L73)</f>
        <v>16054314</v>
      </c>
    </row>
    <row r="75" spans="1:14" s="258" customFormat="1" ht="15.75" customHeight="1" thickTop="1" thickBot="1">
      <c r="A75" s="1602" t="s">
        <v>49</v>
      </c>
      <c r="B75" s="1603" t="s">
        <v>596</v>
      </c>
      <c r="C75" s="1946">
        <f>_xll.cw_map("BR","10-ED-&gt;3-3000-1")</f>
        <v>0</v>
      </c>
      <c r="D75" s="1946">
        <f>_xll.cw_map("BR","10-ED-&gt;3-3000-2")</f>
        <v>0</v>
      </c>
      <c r="E75" s="1946">
        <f>_xll.cw_map("BR","10-ED-&gt;3-3000-3")</f>
        <v>30213</v>
      </c>
      <c r="F75" s="1946">
        <f>_xll.cw_map("BR","10-ED-&gt;3-3000-4")</f>
        <v>6065</v>
      </c>
      <c r="G75" s="1946">
        <f>_xll.cw_map("BR","10-ED-&gt;3-3000-5")</f>
        <v>0</v>
      </c>
      <c r="H75" s="1946">
        <f>_xll.cw_map("BR","10-ED-&gt;3-3000-6")</f>
        <v>0</v>
      </c>
      <c r="I75" s="1942">
        <f>_xll.cw_map("BR","10-ED-&gt;3-3000-7")</f>
        <v>0</v>
      </c>
      <c r="J75" s="1942">
        <f>_xll.cw_map("BR","10-ED-&gt;3-3000-8")</f>
        <v>0</v>
      </c>
      <c r="K75" s="1662">
        <f>SUM(C75:J75)</f>
        <v>36278</v>
      </c>
      <c r="L75" s="1944">
        <f>+'[1]EstExp 11-17'!$K$75</f>
        <v>16154</v>
      </c>
      <c r="M75" s="588"/>
      <c r="N75" s="588"/>
    </row>
    <row r="76" spans="1:14" s="608" customFormat="1" ht="15.75" customHeight="1" thickTop="1">
      <c r="A76" s="1604" t="s">
        <v>383</v>
      </c>
      <c r="B76" s="1601" t="s">
        <v>915</v>
      </c>
      <c r="C76" s="593"/>
      <c r="D76" s="593"/>
      <c r="E76" s="591"/>
      <c r="F76" s="593"/>
      <c r="G76" s="593"/>
      <c r="H76" s="591"/>
      <c r="I76" s="591"/>
      <c r="J76" s="591"/>
      <c r="K76" s="591"/>
      <c r="L76" s="591"/>
      <c r="M76" s="183"/>
      <c r="N76" s="183"/>
    </row>
    <row r="77" spans="1:14" s="258" customFormat="1" ht="15.75" customHeight="1">
      <c r="A77" s="596" t="s">
        <v>635</v>
      </c>
      <c r="B77" s="597"/>
      <c r="C77" s="591"/>
      <c r="D77" s="591"/>
      <c r="E77" s="598"/>
      <c r="F77" s="591"/>
      <c r="G77" s="591"/>
      <c r="H77" s="598"/>
      <c r="I77" s="591"/>
      <c r="J77" s="591"/>
      <c r="K77" s="598"/>
      <c r="L77" s="598"/>
      <c r="M77" s="588"/>
      <c r="N77" s="588"/>
    </row>
    <row r="78" spans="1:14">
      <c r="A78" s="1496" t="s">
        <v>517</v>
      </c>
      <c r="B78" s="589">
        <v>4110</v>
      </c>
      <c r="C78" s="591"/>
      <c r="D78" s="591"/>
      <c r="E78" s="1928">
        <f>_xll.cw_map("BR","10-ED-&gt;3-4110-3")</f>
        <v>0</v>
      </c>
      <c r="F78" s="591"/>
      <c r="G78" s="591"/>
      <c r="H78" s="1968">
        <f>_xll.cw_map("BR","10-ED-&gt;3-4110-6")</f>
        <v>0</v>
      </c>
      <c r="I78" s="473"/>
      <c r="J78" s="473"/>
      <c r="K78" s="1663">
        <f t="shared" ref="K78:K83" si="11">SUM(C78:J78)</f>
        <v>0</v>
      </c>
      <c r="L78" s="1927">
        <f>+'[1]EstExp 11-17'!$K$78</f>
        <v>32100</v>
      </c>
    </row>
    <row r="79" spans="1:14">
      <c r="A79" s="1496" t="s">
        <v>322</v>
      </c>
      <c r="B79" s="589">
        <v>4120</v>
      </c>
      <c r="C79" s="591"/>
      <c r="D79" s="591"/>
      <c r="E79" s="1927">
        <f>_xll.cw_map("BR","10-ED-&gt;3-4120-3")</f>
        <v>0</v>
      </c>
      <c r="F79" s="591"/>
      <c r="G79" s="591"/>
      <c r="H79" s="1927">
        <f>_xll.cw_map("BR","10-ED-&gt;3-4120-6")</f>
        <v>0</v>
      </c>
      <c r="I79" s="473"/>
      <c r="J79" s="473"/>
      <c r="K79" s="1663">
        <f t="shared" si="11"/>
        <v>0</v>
      </c>
      <c r="L79" s="1927">
        <f>+'[1]EstExp 11-17'!$K$79</f>
        <v>0</v>
      </c>
    </row>
    <row r="80" spans="1:14">
      <c r="A80" s="1496" t="s">
        <v>323</v>
      </c>
      <c r="B80" s="589">
        <v>4130</v>
      </c>
      <c r="C80" s="591"/>
      <c r="D80" s="591"/>
      <c r="E80" s="1927">
        <f>_xll.cw_map("BR","10-ED-&gt;3-4130-3")</f>
        <v>0</v>
      </c>
      <c r="F80" s="591"/>
      <c r="G80" s="591"/>
      <c r="H80" s="1927">
        <f>_xll.cw_map("BR","10-ED-&gt;3-4130-6")</f>
        <v>0</v>
      </c>
      <c r="I80" s="473"/>
      <c r="J80" s="473"/>
      <c r="K80" s="1663">
        <f t="shared" si="11"/>
        <v>0</v>
      </c>
      <c r="L80" s="1927">
        <f>+'[1]EstExp 11-17'!$K$80</f>
        <v>0</v>
      </c>
    </row>
    <row r="81" spans="1:12">
      <c r="A81" s="1496" t="s">
        <v>721</v>
      </c>
      <c r="B81" s="589">
        <v>4140</v>
      </c>
      <c r="C81" s="591"/>
      <c r="D81" s="591"/>
      <c r="E81" s="1927">
        <f>_xll.cw_map("BR","10-ED-&gt;3-4140-3")</f>
        <v>0</v>
      </c>
      <c r="F81" s="591"/>
      <c r="G81" s="591"/>
      <c r="H81" s="1927">
        <f>_xll.cw_map("BR","10-ED-&gt;3-4140-6")</f>
        <v>0</v>
      </c>
      <c r="I81" s="473"/>
      <c r="J81" s="473"/>
      <c r="K81" s="1663">
        <f t="shared" si="11"/>
        <v>0</v>
      </c>
      <c r="L81" s="1927">
        <f>+'[1]EstExp 11-17'!$K$81</f>
        <v>0</v>
      </c>
    </row>
    <row r="82" spans="1:12">
      <c r="A82" s="1496" t="s">
        <v>88</v>
      </c>
      <c r="B82" s="589">
        <v>4170</v>
      </c>
      <c r="C82" s="591"/>
      <c r="D82" s="591"/>
      <c r="E82" s="1927">
        <f>_xll.cw_map("BR","10-ED-&gt;3-4170-3")</f>
        <v>0</v>
      </c>
      <c r="F82" s="591"/>
      <c r="G82" s="591"/>
      <c r="H82" s="1927">
        <f>_xll.cw_map("BR","10-ED-&gt;3-4170-6")</f>
        <v>0</v>
      </c>
      <c r="I82" s="473"/>
      <c r="J82" s="473"/>
      <c r="K82" s="1663">
        <f t="shared" si="11"/>
        <v>0</v>
      </c>
      <c r="L82" s="1927">
        <f>+'[1]EstExp 11-17'!$K$82</f>
        <v>0</v>
      </c>
    </row>
    <row r="83" spans="1:12">
      <c r="A83" s="1500" t="s">
        <v>722</v>
      </c>
      <c r="B83" s="603">
        <v>4190</v>
      </c>
      <c r="C83" s="591"/>
      <c r="D83" s="591"/>
      <c r="E83" s="1927">
        <f>_xll.cw_map("BR","10-ED-&gt;3-4190-3")</f>
        <v>0</v>
      </c>
      <c r="F83" s="591"/>
      <c r="G83" s="591"/>
      <c r="H83" s="1927">
        <f>_xll.cw_map("BR","10-ED-&gt;3-4190-6")</f>
        <v>828</v>
      </c>
      <c r="I83" s="473"/>
      <c r="J83" s="473"/>
      <c r="K83" s="1663">
        <f t="shared" si="11"/>
        <v>828</v>
      </c>
      <c r="L83" s="1927">
        <f>+'[1]EstExp 11-17'!$K$83</f>
        <v>0</v>
      </c>
    </row>
    <row r="84" spans="1:12" ht="13.5" thickBot="1">
      <c r="A84" s="1660" t="s">
        <v>1565</v>
      </c>
      <c r="B84" s="1670">
        <v>4100</v>
      </c>
      <c r="C84" s="591"/>
      <c r="D84" s="591"/>
      <c r="E84" s="1662">
        <f>SUM(E78:E83)</f>
        <v>0</v>
      </c>
      <c r="F84" s="591"/>
      <c r="G84" s="591"/>
      <c r="H84" s="1662">
        <f>SUM(H78:H83)</f>
        <v>828</v>
      </c>
      <c r="I84" s="473"/>
      <c r="J84" s="473"/>
      <c r="K84" s="1662">
        <f>SUM(K78:K83)</f>
        <v>828</v>
      </c>
      <c r="L84" s="1662">
        <f>SUM(L78:L83)</f>
        <v>32100</v>
      </c>
    </row>
    <row r="85" spans="1:12" ht="12.75" customHeight="1" thickTop="1" thickBot="1">
      <c r="A85" s="1503" t="s">
        <v>273</v>
      </c>
      <c r="B85" s="609">
        <v>4210</v>
      </c>
      <c r="C85" s="591"/>
      <c r="D85" s="591"/>
      <c r="E85" s="610"/>
      <c r="F85" s="591"/>
      <c r="G85" s="591"/>
      <c r="H85" s="1938">
        <f>_xll.cw_map("BR","10-ED-&gt;3-4210-6")</f>
        <v>0</v>
      </c>
      <c r="I85" s="473"/>
      <c r="J85" s="473"/>
      <c r="K85" s="1669">
        <f>H85</f>
        <v>0</v>
      </c>
      <c r="L85" s="1941">
        <f>+'[1]EstExp 11-17'!$K$85</f>
        <v>50000</v>
      </c>
    </row>
    <row r="86" spans="1:12" ht="12.75" customHeight="1" thickTop="1" thickBot="1">
      <c r="A86" s="1504" t="s">
        <v>723</v>
      </c>
      <c r="B86" s="611">
        <v>4220</v>
      </c>
      <c r="C86" s="591"/>
      <c r="D86" s="591"/>
      <c r="E86" s="612"/>
      <c r="F86" s="591"/>
      <c r="G86" s="591"/>
      <c r="H86" s="1926">
        <f>_xll.cw_map("BR","10-ED-&gt;3-4220-6")</f>
        <v>1913009</v>
      </c>
      <c r="I86" s="473"/>
      <c r="J86" s="473"/>
      <c r="K86" s="1669">
        <f t="shared" ref="K86:K98" si="12">H86</f>
        <v>1913009</v>
      </c>
      <c r="L86" s="1941">
        <f>+'[1]EstExp 11-17'!$K$86</f>
        <v>2250000</v>
      </c>
    </row>
    <row r="87" spans="1:12" ht="14.25" thickTop="1" thickBot="1">
      <c r="A87" s="1505" t="s">
        <v>724</v>
      </c>
      <c r="B87" s="613">
        <v>4230</v>
      </c>
      <c r="C87" s="591"/>
      <c r="D87" s="591"/>
      <c r="E87" s="612"/>
      <c r="F87" s="591"/>
      <c r="G87" s="591"/>
      <c r="H87" s="1926">
        <f>_xll.cw_map("BR","10-ED-&gt;3-4230-6")</f>
        <v>0</v>
      </c>
      <c r="I87" s="473"/>
      <c r="J87" s="473"/>
      <c r="K87" s="1669">
        <f t="shared" si="12"/>
        <v>0</v>
      </c>
      <c r="L87" s="1941">
        <f>+'[1]EstExp 11-17'!$K$87</f>
        <v>0</v>
      </c>
    </row>
    <row r="88" spans="1:12" ht="12.75" customHeight="1" thickTop="1" thickBot="1">
      <c r="A88" s="1505" t="s">
        <v>789</v>
      </c>
      <c r="B88" s="613">
        <v>4240</v>
      </c>
      <c r="C88" s="591"/>
      <c r="D88" s="591"/>
      <c r="E88" s="612"/>
      <c r="F88" s="591"/>
      <c r="G88" s="591"/>
      <c r="H88" s="1926">
        <f>_xll.cw_map("BR","10-ED-&gt;3-4240-6")</f>
        <v>0</v>
      </c>
      <c r="I88" s="473"/>
      <c r="J88" s="473"/>
      <c r="K88" s="1669">
        <f t="shared" si="12"/>
        <v>0</v>
      </c>
      <c r="L88" s="1941">
        <f>+'[1]EstExp 11-17'!$K$88</f>
        <v>20000</v>
      </c>
    </row>
    <row r="89" spans="1:12" ht="12.75" customHeight="1" thickTop="1" thickBot="1">
      <c r="A89" s="1505" t="s">
        <v>725</v>
      </c>
      <c r="B89" s="613">
        <v>4270</v>
      </c>
      <c r="C89" s="591"/>
      <c r="D89" s="591"/>
      <c r="E89" s="612"/>
      <c r="F89" s="591"/>
      <c r="G89" s="591"/>
      <c r="H89" s="1926">
        <f>_xll.cw_map("BR","10-ED-&gt;3-4270-6")</f>
        <v>1056</v>
      </c>
      <c r="I89" s="473"/>
      <c r="J89" s="473"/>
      <c r="K89" s="1669">
        <f t="shared" si="12"/>
        <v>1056</v>
      </c>
      <c r="L89" s="1941">
        <f>+'[1]EstExp 11-17'!$K$89</f>
        <v>20000</v>
      </c>
    </row>
    <row r="90" spans="1:12" ht="12.75" customHeight="1" thickTop="1" thickBot="1">
      <c r="A90" s="1505" t="s">
        <v>710</v>
      </c>
      <c r="B90" s="613">
        <v>4280</v>
      </c>
      <c r="C90" s="591"/>
      <c r="D90" s="591"/>
      <c r="E90" s="612"/>
      <c r="F90" s="591"/>
      <c r="G90" s="591"/>
      <c r="H90" s="1926">
        <f>_xll.cw_map("BR","10-ED-&gt;3-4280-6")</f>
        <v>0</v>
      </c>
      <c r="I90" s="473"/>
      <c r="J90" s="473"/>
      <c r="K90" s="1669">
        <f t="shared" si="12"/>
        <v>0</v>
      </c>
      <c r="L90" s="1941">
        <f>+'[1]EstExp 11-17'!$K$90</f>
        <v>10000</v>
      </c>
    </row>
    <row r="91" spans="1:12" ht="12.75" customHeight="1" thickTop="1" thickBot="1">
      <c r="A91" s="1505" t="s">
        <v>711</v>
      </c>
      <c r="B91" s="613">
        <v>4290</v>
      </c>
      <c r="C91" s="591"/>
      <c r="D91" s="591"/>
      <c r="E91" s="612"/>
      <c r="F91" s="591"/>
      <c r="G91" s="591"/>
      <c r="H91" s="1926">
        <f>_xll.cw_map("BR","10-ED-&gt;3-4290-6")</f>
        <v>0</v>
      </c>
      <c r="I91" s="473"/>
      <c r="J91" s="473"/>
      <c r="K91" s="1669">
        <f t="shared" si="12"/>
        <v>0</v>
      </c>
      <c r="L91" s="1941">
        <f>+'[1]EstExp 11-17'!$K$91</f>
        <v>50000</v>
      </c>
    </row>
    <row r="92" spans="1:12" ht="14.25" thickTop="1" thickBot="1">
      <c r="A92" s="1672" t="s">
        <v>1641</v>
      </c>
      <c r="B92" s="1670">
        <v>4200</v>
      </c>
      <c r="C92" s="591"/>
      <c r="D92" s="591"/>
      <c r="E92" s="612"/>
      <c r="F92" s="591"/>
      <c r="G92" s="591"/>
      <c r="H92" s="1662">
        <f>SUM(H85:H91)</f>
        <v>1914065</v>
      </c>
      <c r="I92" s="473"/>
      <c r="J92" s="473"/>
      <c r="K92" s="1669">
        <f t="shared" si="12"/>
        <v>1914065</v>
      </c>
      <c r="L92" s="1662">
        <f>SUM(L85:L91)</f>
        <v>2400000</v>
      </c>
    </row>
    <row r="93" spans="1:12" ht="14.25" thickTop="1" thickBot="1">
      <c r="A93" s="1504" t="s">
        <v>712</v>
      </c>
      <c r="B93" s="614">
        <v>4310</v>
      </c>
      <c r="C93" s="591"/>
      <c r="D93" s="591"/>
      <c r="E93" s="612"/>
      <c r="F93" s="591"/>
      <c r="G93" s="591"/>
      <c r="H93" s="1926">
        <f>_xll.cw_map("BR","10-ED-&gt;3-4310-6")</f>
        <v>0</v>
      </c>
      <c r="I93" s="473"/>
      <c r="J93" s="473"/>
      <c r="K93" s="1669">
        <f t="shared" si="12"/>
        <v>0</v>
      </c>
      <c r="L93" s="1941">
        <f>+'[1]EstExp 11-17'!$K$93</f>
        <v>0</v>
      </c>
    </row>
    <row r="94" spans="1:12" ht="12.75" customHeight="1" thickTop="1" thickBot="1">
      <c r="A94" s="1505" t="s">
        <v>713</v>
      </c>
      <c r="B94" s="613">
        <v>4320</v>
      </c>
      <c r="C94" s="591"/>
      <c r="D94" s="591"/>
      <c r="E94" s="612"/>
      <c r="F94" s="591"/>
      <c r="G94" s="591"/>
      <c r="H94" s="1926">
        <f>_xll.cw_map("BR","10-ED-&gt;3-4320-6")</f>
        <v>0</v>
      </c>
      <c r="I94" s="473"/>
      <c r="J94" s="473"/>
      <c r="K94" s="1669">
        <f t="shared" si="12"/>
        <v>0</v>
      </c>
      <c r="L94" s="1941">
        <f>+'[1]EstExp 11-17'!$K$94</f>
        <v>0</v>
      </c>
    </row>
    <row r="95" spans="1:12" ht="15" customHeight="1" thickTop="1" thickBot="1">
      <c r="A95" s="1505" t="s">
        <v>1568</v>
      </c>
      <c r="B95" s="613">
        <v>4330</v>
      </c>
      <c r="C95" s="591"/>
      <c r="D95" s="591"/>
      <c r="E95" s="612"/>
      <c r="F95" s="591"/>
      <c r="G95" s="591"/>
      <c r="H95" s="1926">
        <f>_xll.cw_map("BR","10-ED-&gt;3-4330-6")</f>
        <v>0</v>
      </c>
      <c r="I95" s="473"/>
      <c r="J95" s="473"/>
      <c r="K95" s="1669">
        <f t="shared" si="12"/>
        <v>0</v>
      </c>
      <c r="L95" s="1941">
        <f>+'[1]EstExp 11-17'!$K$95</f>
        <v>0</v>
      </c>
    </row>
    <row r="96" spans="1:12" ht="14.25" thickTop="1" thickBot="1">
      <c r="A96" s="1505" t="s">
        <v>714</v>
      </c>
      <c r="B96" s="613">
        <v>4340</v>
      </c>
      <c r="C96" s="591"/>
      <c r="D96" s="591"/>
      <c r="E96" s="612"/>
      <c r="F96" s="591"/>
      <c r="G96" s="591"/>
      <c r="H96" s="1926">
        <f>_xll.cw_map("BR","10-ED-&gt;3-4340-6")</f>
        <v>0</v>
      </c>
      <c r="I96" s="473"/>
      <c r="J96" s="473"/>
      <c r="K96" s="1669">
        <f t="shared" si="12"/>
        <v>0</v>
      </c>
      <c r="L96" s="1941">
        <f>+'[1]EstExp 11-17'!$K$96</f>
        <v>0</v>
      </c>
    </row>
    <row r="97" spans="1:14" ht="12.75" customHeight="1" thickTop="1" thickBot="1">
      <c r="A97" s="1505" t="s">
        <v>787</v>
      </c>
      <c r="B97" s="613">
        <v>4370</v>
      </c>
      <c r="C97" s="591"/>
      <c r="D97" s="591"/>
      <c r="E97" s="612"/>
      <c r="F97" s="591"/>
      <c r="G97" s="591"/>
      <c r="H97" s="1926">
        <f>_xll.cw_map("BR","10-ED-&gt;3-4370-6")</f>
        <v>0</v>
      </c>
      <c r="I97" s="473"/>
      <c r="J97" s="473"/>
      <c r="K97" s="1669">
        <f t="shared" si="12"/>
        <v>0</v>
      </c>
      <c r="L97" s="1941">
        <f>+'[1]EstExp 11-17'!$K$97</f>
        <v>0</v>
      </c>
    </row>
    <row r="98" spans="1:14" ht="14.25" thickTop="1" thickBot="1">
      <c r="A98" s="1505" t="s">
        <v>788</v>
      </c>
      <c r="B98" s="613">
        <v>4380</v>
      </c>
      <c r="C98" s="591"/>
      <c r="D98" s="591"/>
      <c r="E98" s="616"/>
      <c r="F98" s="591"/>
      <c r="G98" s="591"/>
      <c r="H98" s="1926">
        <f>_xll.cw_map("BR","10-ED-&gt;3-4380-6")</f>
        <v>0</v>
      </c>
      <c r="I98" s="473"/>
      <c r="J98" s="473"/>
      <c r="K98" s="1669">
        <f t="shared" si="12"/>
        <v>0</v>
      </c>
      <c r="L98" s="1941">
        <f>+'[1]EstExp 11-17'!$K$98</f>
        <v>0</v>
      </c>
    </row>
    <row r="99" spans="1:14" ht="14.25" thickTop="1" thickBot="1">
      <c r="A99" s="1505" t="s">
        <v>385</v>
      </c>
      <c r="B99" s="613">
        <v>4390</v>
      </c>
      <c r="C99" s="591"/>
      <c r="D99" s="591"/>
      <c r="E99" s="1940">
        <f>_xll.cw_map("BR","10-ED-&gt;3-4390-3")</f>
        <v>0</v>
      </c>
      <c r="F99" s="591"/>
      <c r="G99" s="591"/>
      <c r="H99" s="1926">
        <f>_xll.cw_map("BR","10-ED-&gt;3-4390-6")</f>
        <v>0</v>
      </c>
      <c r="I99" s="473"/>
      <c r="J99" s="473"/>
      <c r="K99" s="1669">
        <f>SUM(E99,H99)</f>
        <v>0</v>
      </c>
      <c r="L99" s="1941">
        <f>+'[1]EstExp 11-17'!$K$99</f>
        <v>0</v>
      </c>
    </row>
    <row r="100" spans="1:14" ht="14.25" thickTop="1" thickBot="1">
      <c r="A100" s="1672" t="s">
        <v>1566</v>
      </c>
      <c r="B100" s="1673">
        <v>4300</v>
      </c>
      <c r="C100" s="591"/>
      <c r="D100" s="591"/>
      <c r="E100" s="1669">
        <f>SUM(E93:E99)</f>
        <v>0</v>
      </c>
      <c r="F100" s="591"/>
      <c r="G100" s="591"/>
      <c r="H100" s="1669">
        <f>SUM(H93:H99)</f>
        <v>0</v>
      </c>
      <c r="I100" s="473"/>
      <c r="J100" s="473"/>
      <c r="K100" s="1669">
        <f>SUM(K93:K99)</f>
        <v>0</v>
      </c>
      <c r="L100" s="1669">
        <f>SUM(L93:L99)</f>
        <v>0</v>
      </c>
    </row>
    <row r="101" spans="1:14" ht="12.75" customHeight="1" thickTop="1" thickBot="1">
      <c r="A101" s="1502" t="s">
        <v>1569</v>
      </c>
      <c r="B101" s="617" t="s">
        <v>988</v>
      </c>
      <c r="C101" s="591"/>
      <c r="D101" s="591"/>
      <c r="E101" s="1942">
        <f>_xll.cw_map("BR","10-ED-&gt;3-4400-3")</f>
        <v>0</v>
      </c>
      <c r="F101" s="591"/>
      <c r="G101" s="591"/>
      <c r="H101" s="1942">
        <f>_xll.cw_map("BR","10-ED-&gt;3-4400-6")</f>
        <v>0</v>
      </c>
      <c r="I101" s="473"/>
      <c r="J101" s="473"/>
      <c r="K101" s="1671">
        <f>SUM(C101:J101)</f>
        <v>0</v>
      </c>
      <c r="L101" s="1941">
        <f>+'[1]EstExp 11-17'!$K$101</f>
        <v>0</v>
      </c>
    </row>
    <row r="102" spans="1:14" ht="12.75" customHeight="1" thickTop="1" thickBot="1">
      <c r="A102" s="1660" t="s">
        <v>1567</v>
      </c>
      <c r="B102" s="1670">
        <v>4000</v>
      </c>
      <c r="C102" s="591"/>
      <c r="D102" s="591"/>
      <c r="E102" s="1669">
        <f>SUM(E84,E92,E100,E101)</f>
        <v>0</v>
      </c>
      <c r="F102" s="591"/>
      <c r="G102" s="591"/>
      <c r="H102" s="1669">
        <f>SUM(H84,H92,H100,H101)</f>
        <v>1914893</v>
      </c>
      <c r="I102" s="473"/>
      <c r="J102" s="473"/>
      <c r="K102" s="1669">
        <f>SUM(K84,K92,K100,K101)</f>
        <v>1914893</v>
      </c>
      <c r="L102" s="1669">
        <f>SUM(L84,L92,L100,L101)</f>
        <v>2432100</v>
      </c>
    </row>
    <row r="103" spans="1:14" s="608" customFormat="1" ht="15.75" customHeight="1" thickTop="1">
      <c r="A103" s="1604" t="s">
        <v>534</v>
      </c>
      <c r="B103" s="1601" t="s">
        <v>513</v>
      </c>
      <c r="C103" s="591"/>
      <c r="D103" s="591"/>
      <c r="E103" s="591"/>
      <c r="F103" s="591"/>
      <c r="G103" s="591"/>
      <c r="H103" s="593"/>
      <c r="I103" s="466"/>
      <c r="J103" s="466"/>
      <c r="K103" s="593"/>
      <c r="L103" s="593"/>
      <c r="M103" s="183"/>
      <c r="N103" s="183"/>
    </row>
    <row r="104" spans="1:14" s="620" customFormat="1" ht="15.75" customHeight="1">
      <c r="A104" s="618" t="s">
        <v>636</v>
      </c>
      <c r="B104" s="619"/>
      <c r="C104" s="591"/>
      <c r="D104" s="591"/>
      <c r="E104" s="591"/>
      <c r="F104" s="591"/>
      <c r="G104" s="591"/>
      <c r="H104" s="598"/>
      <c r="I104" s="466"/>
      <c r="J104" s="466"/>
      <c r="K104" s="598"/>
      <c r="L104" s="598"/>
      <c r="M104" s="588"/>
      <c r="N104" s="588"/>
    </row>
    <row r="105" spans="1:14" s="572" customFormat="1">
      <c r="A105" s="1496" t="s">
        <v>89</v>
      </c>
      <c r="B105" s="589">
        <v>5110</v>
      </c>
      <c r="C105" s="591"/>
      <c r="D105" s="591"/>
      <c r="E105" s="591"/>
      <c r="F105" s="591"/>
      <c r="G105" s="591"/>
      <c r="H105" s="1928">
        <f>_xll.cw_map("BR","10-ED-&gt;3-5110-6")</f>
        <v>0</v>
      </c>
      <c r="I105" s="466"/>
      <c r="J105" s="466"/>
      <c r="K105" s="1663">
        <f>H105</f>
        <v>0</v>
      </c>
      <c r="L105" s="1927">
        <f>+'[1]EstExp 11-17'!$K$105</f>
        <v>0</v>
      </c>
      <c r="M105" s="209"/>
      <c r="N105" s="209"/>
    </row>
    <row r="106" spans="1:14" s="572" customFormat="1">
      <c r="A106" s="1496" t="s">
        <v>90</v>
      </c>
      <c r="B106" s="589">
        <v>5120</v>
      </c>
      <c r="C106" s="591"/>
      <c r="D106" s="591"/>
      <c r="E106" s="591"/>
      <c r="F106" s="591"/>
      <c r="G106" s="591"/>
      <c r="H106" s="1927">
        <f>_xll.cw_map("BR","10-ED-&gt;3-5120-6")</f>
        <v>0</v>
      </c>
      <c r="I106" s="466"/>
      <c r="J106" s="466"/>
      <c r="K106" s="1663">
        <f>H106</f>
        <v>0</v>
      </c>
      <c r="L106" s="1927">
        <f>+'[1]EstExp 11-17'!$K$106</f>
        <v>0</v>
      </c>
      <c r="M106" s="209"/>
      <c r="N106" s="209"/>
    </row>
    <row r="107" spans="1:14" s="572" customFormat="1" ht="12.75" customHeight="1">
      <c r="A107" s="1496" t="s">
        <v>1232</v>
      </c>
      <c r="B107" s="589">
        <v>5130</v>
      </c>
      <c r="C107" s="591"/>
      <c r="D107" s="591"/>
      <c r="E107" s="591"/>
      <c r="F107" s="591"/>
      <c r="G107" s="591"/>
      <c r="H107" s="1927">
        <f>_xll.cw_map("BR","10-ED-&gt;3-5130-6")</f>
        <v>0</v>
      </c>
      <c r="I107" s="466"/>
      <c r="J107" s="466"/>
      <c r="K107" s="1663">
        <f>H107</f>
        <v>0</v>
      </c>
      <c r="L107" s="1927">
        <f>+'[1]EstExp 11-17'!$K$107</f>
        <v>0</v>
      </c>
      <c r="M107" s="209"/>
      <c r="N107" s="209"/>
    </row>
    <row r="108" spans="1:14" s="572" customFormat="1">
      <c r="A108" s="1496" t="s">
        <v>91</v>
      </c>
      <c r="B108" s="589" t="s">
        <v>610</v>
      </c>
      <c r="C108" s="591"/>
      <c r="D108" s="591"/>
      <c r="E108" s="591"/>
      <c r="F108" s="591"/>
      <c r="G108" s="591"/>
      <c r="H108" s="1927">
        <f>_xll.cw_map("BR","10-ED-&gt;3-5140-6")</f>
        <v>0</v>
      </c>
      <c r="I108" s="466"/>
      <c r="J108" s="466"/>
      <c r="K108" s="1663">
        <f>H108</f>
        <v>0</v>
      </c>
      <c r="L108" s="1927">
        <f>+'[1]EstExp 11-17'!$K$108</f>
        <v>0</v>
      </c>
      <c r="M108" s="209"/>
      <c r="N108" s="209"/>
    </row>
    <row r="109" spans="1:14" s="572" customFormat="1">
      <c r="A109" s="1496" t="s">
        <v>272</v>
      </c>
      <c r="B109" s="603">
        <v>5150</v>
      </c>
      <c r="C109" s="591"/>
      <c r="D109" s="591"/>
      <c r="E109" s="591"/>
      <c r="F109" s="591"/>
      <c r="G109" s="591"/>
      <c r="H109" s="1927">
        <f>_xll.cw_map("BR","10-ED-&gt;3-5150-6")</f>
        <v>0</v>
      </c>
      <c r="I109" s="466"/>
      <c r="J109" s="466"/>
      <c r="K109" s="1663">
        <f>H109</f>
        <v>0</v>
      </c>
      <c r="L109" s="1927">
        <f>+'[1]EstExp 11-17'!$K$109</f>
        <v>0</v>
      </c>
      <c r="M109" s="209"/>
      <c r="N109" s="209"/>
    </row>
    <row r="110" spans="1:14" s="572" customFormat="1" ht="12.75" customHeight="1" thickBot="1">
      <c r="A110" s="1660" t="s">
        <v>1164</v>
      </c>
      <c r="B110" s="1667" t="s">
        <v>742</v>
      </c>
      <c r="C110" s="591"/>
      <c r="D110" s="591"/>
      <c r="E110" s="591"/>
      <c r="F110" s="591"/>
      <c r="G110" s="591"/>
      <c r="H110" s="1662">
        <f>SUM(H105:H109)</f>
        <v>0</v>
      </c>
      <c r="I110" s="466"/>
      <c r="J110" s="466"/>
      <c r="K110" s="1662">
        <f>SUM(K105:K109)</f>
        <v>0</v>
      </c>
      <c r="L110" s="1662">
        <f>SUM(L105:L109)</f>
        <v>0</v>
      </c>
      <c r="M110" s="209"/>
      <c r="N110" s="209"/>
    </row>
    <row r="111" spans="1:14" s="572" customFormat="1" ht="12.75" customHeight="1" thickTop="1" thickBot="1">
      <c r="A111" s="1506" t="s">
        <v>386</v>
      </c>
      <c r="B111" s="621" t="s">
        <v>38</v>
      </c>
      <c r="C111" s="591"/>
      <c r="D111" s="591"/>
      <c r="E111" s="591"/>
      <c r="F111" s="591"/>
      <c r="G111" s="591"/>
      <c r="H111" s="1938">
        <f>_xll.cw_map("BR","10-ED-&gt;3-5200-6")</f>
        <v>0</v>
      </c>
      <c r="I111" s="466"/>
      <c r="J111" s="466"/>
      <c r="K111" s="1675">
        <f>H111</f>
        <v>0</v>
      </c>
      <c r="L111" s="1940">
        <f>+'[1]EstExp 11-17'!$K$111</f>
        <v>0</v>
      </c>
      <c r="M111" s="209"/>
      <c r="N111" s="209"/>
    </row>
    <row r="112" spans="1:14" s="572" customFormat="1" ht="12.75" customHeight="1" thickTop="1" thickBot="1">
      <c r="A112" s="1660" t="s">
        <v>659</v>
      </c>
      <c r="B112" s="1661" t="s">
        <v>513</v>
      </c>
      <c r="C112" s="591"/>
      <c r="D112" s="591"/>
      <c r="E112" s="591"/>
      <c r="F112" s="591"/>
      <c r="G112" s="591"/>
      <c r="H112" s="1662">
        <f>SUM(H110:H111)</f>
        <v>0</v>
      </c>
      <c r="I112" s="466"/>
      <c r="J112" s="466"/>
      <c r="K112" s="1662">
        <f>SUM(K110:K111)</f>
        <v>0</v>
      </c>
      <c r="L112" s="1669">
        <f>SUM(L110,L111)</f>
        <v>0</v>
      </c>
      <c r="M112" s="209"/>
      <c r="N112" s="209"/>
    </row>
    <row r="113" spans="1:14" s="258" customFormat="1" ht="15.75" customHeight="1" thickTop="1" thickBot="1">
      <c r="A113" s="1598" t="s">
        <v>535</v>
      </c>
      <c r="B113" s="1605" t="s">
        <v>916</v>
      </c>
      <c r="C113" s="598"/>
      <c r="D113" s="598"/>
      <c r="E113" s="591"/>
      <c r="F113" s="591"/>
      <c r="G113" s="591"/>
      <c r="H113" s="598"/>
      <c r="I113" s="466"/>
      <c r="J113" s="466"/>
      <c r="K113" s="598"/>
      <c r="L113" s="1942">
        <f>+'[1]EstExp 11-17'!$K$113</f>
        <v>0</v>
      </c>
      <c r="M113" s="588"/>
      <c r="N113" s="588"/>
    </row>
    <row r="114" spans="1:14" ht="12.75" customHeight="1" thickTop="1" thickBot="1">
      <c r="A114" s="1660" t="s">
        <v>50</v>
      </c>
      <c r="B114" s="1674"/>
      <c r="C114" s="1662">
        <f>SUM(C33,C74,C75,C102,C112,C113)</f>
        <v>30956414</v>
      </c>
      <c r="D114" s="1662">
        <f t="shared" ref="D114:K114" si="13">SUM(D33,D74,D75,D102,D112,D113)</f>
        <v>6173063</v>
      </c>
      <c r="E114" s="1662">
        <f t="shared" si="13"/>
        <v>3011915</v>
      </c>
      <c r="F114" s="1662">
        <f t="shared" si="13"/>
        <v>2619097</v>
      </c>
      <c r="G114" s="1662">
        <f t="shared" si="13"/>
        <v>193214</v>
      </c>
      <c r="H114" s="1662">
        <f>SUM(H33,H74,H75,H102,H112,H113)</f>
        <v>4035257</v>
      </c>
      <c r="I114" s="1662">
        <f t="shared" si="13"/>
        <v>350103</v>
      </c>
      <c r="J114" s="1662">
        <f t="shared" si="13"/>
        <v>0</v>
      </c>
      <c r="K114" s="1662">
        <f t="shared" si="13"/>
        <v>47339063</v>
      </c>
      <c r="L114" s="1662">
        <f>SUM(L33,L74,L75,L102,L112,L113)</f>
        <v>50021887</v>
      </c>
    </row>
    <row r="115" spans="1:14" ht="13.5" thickTop="1">
      <c r="A115" s="2189" t="s">
        <v>1053</v>
      </c>
      <c r="B115" s="2190"/>
      <c r="C115" s="593"/>
      <c r="D115" s="593"/>
      <c r="E115" s="593"/>
      <c r="F115" s="593"/>
      <c r="G115" s="593"/>
      <c r="H115" s="593"/>
      <c r="I115" s="593"/>
      <c r="J115" s="593"/>
      <c r="K115" s="1676">
        <f>'Revenues 9-14'!C275-'Expenditures 15-22'!K114</f>
        <v>1328971</v>
      </c>
      <c r="L115" s="593"/>
    </row>
    <row r="116" spans="1:14" s="179" customFormat="1" ht="9" customHeight="1">
      <c r="A116" s="622"/>
      <c r="B116" s="623"/>
      <c r="C116" s="624"/>
      <c r="D116" s="624"/>
      <c r="E116" s="624"/>
      <c r="F116" s="624"/>
      <c r="G116" s="624"/>
      <c r="H116" s="624"/>
      <c r="I116" s="624"/>
      <c r="J116" s="624"/>
      <c r="K116" s="624"/>
      <c r="L116" s="624"/>
      <c r="M116" s="209"/>
      <c r="N116" s="209"/>
    </row>
    <row r="117" spans="1:14" s="625" customFormat="1" ht="16.7" customHeight="1">
      <c r="A117" s="2194" t="s">
        <v>314</v>
      </c>
      <c r="B117" s="2195"/>
      <c r="C117" s="1618"/>
      <c r="D117" s="1619"/>
      <c r="E117" s="1619"/>
      <c r="F117" s="1619"/>
      <c r="G117" s="1619"/>
      <c r="H117" s="1619"/>
      <c r="I117" s="1619"/>
      <c r="J117" s="1619"/>
      <c r="K117" s="1619"/>
      <c r="L117" s="1620"/>
      <c r="M117" s="174"/>
      <c r="N117" s="174"/>
    </row>
    <row r="118" spans="1:14" ht="15.75" customHeight="1">
      <c r="A118" s="1606" t="s">
        <v>1095</v>
      </c>
      <c r="B118" s="1607" t="s">
        <v>590</v>
      </c>
      <c r="C118" s="591"/>
      <c r="D118" s="591"/>
      <c r="E118" s="591"/>
      <c r="F118" s="591"/>
      <c r="G118" s="591"/>
      <c r="H118" s="591"/>
      <c r="I118" s="591"/>
      <c r="J118" s="591"/>
      <c r="K118" s="591"/>
      <c r="L118" s="591"/>
    </row>
    <row r="119" spans="1:14" ht="15.75" customHeight="1">
      <c r="A119" s="626" t="s">
        <v>612</v>
      </c>
      <c r="B119" s="597"/>
      <c r="C119" s="598"/>
      <c r="D119" s="598"/>
      <c r="E119" s="598"/>
      <c r="F119" s="591"/>
      <c r="G119" s="591"/>
      <c r="H119" s="598"/>
      <c r="I119" s="591"/>
      <c r="J119" s="591"/>
      <c r="K119" s="598"/>
      <c r="L119" s="598"/>
    </row>
    <row r="120" spans="1:14" ht="12.75" customHeight="1" thickBot="1">
      <c r="A120" s="1500" t="s">
        <v>167</v>
      </c>
      <c r="B120" s="603">
        <v>2190</v>
      </c>
      <c r="C120" s="1947">
        <f>_xll.cw_map("BR","20-OM-&gt;3-2190-1")</f>
        <v>0</v>
      </c>
      <c r="D120" s="1947">
        <f>_xll.cw_map("BR","20-OM-&gt;3-2190-2")</f>
        <v>0</v>
      </c>
      <c r="E120" s="1947">
        <f>_xll.cw_map("BR","20-OM-&gt;3-2190-3")</f>
        <v>0</v>
      </c>
      <c r="F120" s="1947">
        <f>_xll.cw_map("BR","20-OM-&gt;3-2190-4")</f>
        <v>0</v>
      </c>
      <c r="G120" s="1947">
        <f>_xll.cw_map("BR","20-OM-&gt;3-2190-5")</f>
        <v>0</v>
      </c>
      <c r="H120" s="1947">
        <f>_xll.cw_map("BR","20-OM-&gt;3-2190-6")</f>
        <v>0</v>
      </c>
      <c r="I120" s="1941">
        <f>_xll.cw_map("BR","20-OM-&gt;3-2190-7")</f>
        <v>0</v>
      </c>
      <c r="J120" s="1941">
        <f>_xll.cw_map("BR","20-OM-&gt;3-2190-8")</f>
        <v>0</v>
      </c>
      <c r="K120" s="1663">
        <f>SUM(C120:J120)</f>
        <v>0</v>
      </c>
      <c r="L120" s="1947">
        <f>+'[1]EstExp 11-17'!$K$120</f>
        <v>0</v>
      </c>
    </row>
    <row r="121" spans="1:14" ht="15.75" customHeight="1" thickTop="1">
      <c r="A121" s="627" t="s">
        <v>633</v>
      </c>
      <c r="B121" s="597"/>
      <c r="C121" s="514"/>
      <c r="D121" s="514"/>
      <c r="E121" s="514"/>
      <c r="F121" s="514"/>
      <c r="G121" s="514"/>
      <c r="H121" s="514"/>
      <c r="I121" s="591"/>
      <c r="J121" s="591"/>
      <c r="K121" s="598"/>
      <c r="L121" s="514"/>
    </row>
    <row r="122" spans="1:14" ht="13.5" thickBot="1">
      <c r="A122" s="1496" t="s">
        <v>1128</v>
      </c>
      <c r="B122" s="589">
        <v>2510</v>
      </c>
      <c r="C122" s="1927">
        <f>_xll.cw_map("BR","20-OM-&gt;3-2510-1")</f>
        <v>0</v>
      </c>
      <c r="D122" s="1927">
        <f>_xll.cw_map("BR","20-OM-&gt;3-2510-2")</f>
        <v>0</v>
      </c>
      <c r="E122" s="1927">
        <f>_xll.cw_map("BR","20-OM-&gt;3-2510-3")</f>
        <v>0</v>
      </c>
      <c r="F122" s="1927">
        <f>_xll.cw_map("BR","20-OM-&gt;3-2510-4")</f>
        <v>0</v>
      </c>
      <c r="G122" s="1927">
        <f>_xll.cw_map("BR","20-OM-&gt;3-2510-5")</f>
        <v>0</v>
      </c>
      <c r="H122" s="1927">
        <f>_xll.cw_map("BR","20-OM-&gt;3-2510-6")</f>
        <v>0</v>
      </c>
      <c r="I122" s="1926">
        <f>_xll.cw_map("BR","20-OM-&gt;3-2510-7")</f>
        <v>0</v>
      </c>
      <c r="J122" s="1926">
        <f>_xll.cw_map("BR","20-OM-&gt;3-2510-8")</f>
        <v>0</v>
      </c>
      <c r="K122" s="1662">
        <f>SUM(C122:J122)</f>
        <v>0</v>
      </c>
      <c r="L122" s="1927">
        <f>+'[1]EstExp 11-17'!$K$122</f>
        <v>0</v>
      </c>
    </row>
    <row r="123" spans="1:14" ht="14.25" thickTop="1" thickBot="1">
      <c r="A123" s="1496" t="s">
        <v>4</v>
      </c>
      <c r="B123" s="589">
        <v>2530</v>
      </c>
      <c r="C123" s="1927">
        <f>_xll.cw_map("BR","20-OM-&gt;3-2530-1")</f>
        <v>0</v>
      </c>
      <c r="D123" s="1927">
        <f>_xll.cw_map("BR","20-OM-&gt;3-2530-2")</f>
        <v>0</v>
      </c>
      <c r="E123" s="1927">
        <f>_xll.cw_map("BR","20-OM-&gt;3-2530-3")</f>
        <v>0</v>
      </c>
      <c r="F123" s="1927">
        <f>_xll.cw_map("BR","20-OM-&gt;3-2530-4")</f>
        <v>0</v>
      </c>
      <c r="G123" s="1927">
        <f>_xll.cw_map("BR","20-OM-&gt;3-2530-5")</f>
        <v>0</v>
      </c>
      <c r="H123" s="1927">
        <f>_xll.cw_map("BR","20-OM-&gt;3-2530-6")</f>
        <v>0</v>
      </c>
      <c r="I123" s="1926">
        <f>_xll.cw_map("BR","20-OM-&gt;3-2530-7")</f>
        <v>0</v>
      </c>
      <c r="J123" s="1926">
        <f>_xll.cw_map("BR","20-OM-&gt;3-2530-8")</f>
        <v>0</v>
      </c>
      <c r="K123" s="1662">
        <f>SUM(C123:J123)</f>
        <v>0</v>
      </c>
      <c r="L123" s="1927">
        <f>+'[1]EstExp 11-17'!$K$123</f>
        <v>0</v>
      </c>
    </row>
    <row r="124" spans="1:14" ht="14.25" thickTop="1" thickBot="1">
      <c r="A124" s="1496" t="s">
        <v>206</v>
      </c>
      <c r="B124" s="589">
        <v>2540</v>
      </c>
      <c r="C124" s="1927">
        <f>_xll.cw_map("BR","20-OM-&gt;3-2540-1")</f>
        <v>2097398</v>
      </c>
      <c r="D124" s="1927">
        <f>_xll.cw_map("BR","20-OM-&gt;3-2540-2")</f>
        <v>493705</v>
      </c>
      <c r="E124" s="1927">
        <f>_xll.cw_map("BR","20-OM-&gt;3-2540-3")</f>
        <v>731310</v>
      </c>
      <c r="F124" s="1927">
        <f>_xll.cw_map("BR","20-OM-&gt;3-2540-4")</f>
        <v>1196538</v>
      </c>
      <c r="G124" s="1927">
        <f>_xll.cw_map("BR","20-OM-&gt;3-2540-5")</f>
        <v>426208</v>
      </c>
      <c r="H124" s="1927">
        <f>_xll.cw_map("BR","20-OM-&gt;3-2540-6")</f>
        <v>0</v>
      </c>
      <c r="I124" s="1926">
        <f>_xll.cw_map("BR","20-OM-&gt;3-2540-7")</f>
        <v>28471</v>
      </c>
      <c r="J124" s="1926">
        <f>_xll.cw_map("BR","20-OM-&gt;3-2540-8")</f>
        <v>0</v>
      </c>
      <c r="K124" s="1662">
        <f>SUM(C124:J124)</f>
        <v>4973630</v>
      </c>
      <c r="L124" s="1927">
        <f>+'[1]EstExp 11-17'!$K$124</f>
        <v>5595392</v>
      </c>
    </row>
    <row r="125" spans="1:14" ht="14.25" thickTop="1" thickBot="1">
      <c r="A125" s="1496" t="s">
        <v>1010</v>
      </c>
      <c r="B125" s="589">
        <v>2550</v>
      </c>
      <c r="C125" s="1927">
        <f>_xll.cw_map("BR","20-OM-&gt;3-2550-1")</f>
        <v>0</v>
      </c>
      <c r="D125" s="1927">
        <f>_xll.cw_map("BR","20-OM-&gt;3-2550-2")</f>
        <v>0</v>
      </c>
      <c r="E125" s="1927">
        <f>_xll.cw_map("BR","20-OM-&gt;3-2550-3")</f>
        <v>0</v>
      </c>
      <c r="F125" s="1927">
        <f>_xll.cw_map("BR","20-OM-&gt;3-2550-4")</f>
        <v>0</v>
      </c>
      <c r="G125" s="1927">
        <f>_xll.cw_map("BR","20-OM-&gt;3-2550-5")</f>
        <v>0</v>
      </c>
      <c r="H125" s="1927">
        <f>_xll.cw_map("BR","20-OM-&gt;3-2550-6")</f>
        <v>0</v>
      </c>
      <c r="I125" s="1926">
        <f>_xll.cw_map("BR","20-OM-&gt;3-2550-7")</f>
        <v>0</v>
      </c>
      <c r="J125" s="1926">
        <f>_xll.cw_map("BR","20-OM-&gt;3-2550-8")</f>
        <v>0</v>
      </c>
      <c r="K125" s="1662">
        <f>SUM(C125:J125)</f>
        <v>0</v>
      </c>
      <c r="L125" s="1927">
        <f>+'[1]EstExp 11-17'!$K$125</f>
        <v>0</v>
      </c>
    </row>
    <row r="126" spans="1:14" ht="14.25" thickTop="1" thickBot="1">
      <c r="A126" s="1496" t="s">
        <v>102</v>
      </c>
      <c r="B126" s="589">
        <v>2560</v>
      </c>
      <c r="C126" s="628"/>
      <c r="D126" s="628"/>
      <c r="E126" s="628"/>
      <c r="F126" s="628"/>
      <c r="G126" s="1927">
        <f>_xll.cw_map("BR","20-OM-&gt;3-2560-5")</f>
        <v>0</v>
      </c>
      <c r="H126" s="628"/>
      <c r="I126" s="1930">
        <f>_xll.cw_map("BR","20-OM-&gt;3-2560-7")</f>
        <v>0</v>
      </c>
      <c r="J126" s="591"/>
      <c r="K126" s="1662">
        <f>SUM(C126:J126)</f>
        <v>0</v>
      </c>
      <c r="L126" s="1927">
        <f>+'[1]EstExp 11-17'!$K$126</f>
        <v>0</v>
      </c>
    </row>
    <row r="127" spans="1:14" ht="12.75" customHeight="1" thickTop="1" thickBot="1">
      <c r="A127" s="1660" t="s">
        <v>743</v>
      </c>
      <c r="B127" s="1661" t="s">
        <v>35</v>
      </c>
      <c r="C127" s="1662">
        <f>SUM(C122:C126)</f>
        <v>2097398</v>
      </c>
      <c r="D127" s="1662">
        <f t="shared" ref="D127:L127" si="14">SUM(D122:D126)</f>
        <v>493705</v>
      </c>
      <c r="E127" s="1662">
        <f t="shared" si="14"/>
        <v>731310</v>
      </c>
      <c r="F127" s="1662">
        <f t="shared" si="14"/>
        <v>1196538</v>
      </c>
      <c r="G127" s="1662">
        <f t="shared" si="14"/>
        <v>426208</v>
      </c>
      <c r="H127" s="1662">
        <f t="shared" si="14"/>
        <v>0</v>
      </c>
      <c r="I127" s="1662">
        <f t="shared" si="14"/>
        <v>28471</v>
      </c>
      <c r="J127" s="1662">
        <f t="shared" si="14"/>
        <v>0</v>
      </c>
      <c r="K127" s="1662">
        <f t="shared" si="14"/>
        <v>4973630</v>
      </c>
      <c r="L127" s="1662">
        <f t="shared" si="14"/>
        <v>5595392</v>
      </c>
    </row>
    <row r="128" spans="1:14" ht="12.75" customHeight="1" thickTop="1" thickBot="1">
      <c r="A128" s="1503" t="s">
        <v>1037</v>
      </c>
      <c r="B128" s="629" t="s">
        <v>595</v>
      </c>
      <c r="C128" s="1944">
        <f>_xll.cw_map("BR","20-OM-&gt;3-2900-1")</f>
        <v>0</v>
      </c>
      <c r="D128" s="1944">
        <f>_xll.cw_map("BR","20-OM-&gt;3-2900-2")</f>
        <v>0</v>
      </c>
      <c r="E128" s="1944">
        <f>_xll.cw_map("BR","20-OM-&gt;3-2900-3")</f>
        <v>0</v>
      </c>
      <c r="F128" s="1944">
        <f>_xll.cw_map("BR","20-OM-&gt;3-2900-4")</f>
        <v>0</v>
      </c>
      <c r="G128" s="1944">
        <f>_xll.cw_map("BR","20-OM-&gt;3-2900-5")</f>
        <v>0</v>
      </c>
      <c r="H128" s="1944">
        <f>_xll.cw_map("BR","20-OM-&gt;3-2900-6")</f>
        <v>0</v>
      </c>
      <c r="I128" s="1942">
        <f>_xll.cw_map("BR","20-OM-&gt;3-2900-7")</f>
        <v>0</v>
      </c>
      <c r="J128" s="1942">
        <f>_xll.cw_map("BR","20-OM-&gt;3-2900-8")</f>
        <v>0</v>
      </c>
      <c r="K128" s="1677">
        <f>SUM(C128:J128)</f>
        <v>0</v>
      </c>
      <c r="L128" s="1944">
        <f>+'[1]EstExp 11-17'!$K$128</f>
        <v>0</v>
      </c>
    </row>
    <row r="129" spans="1:14" ht="12.75" customHeight="1" thickTop="1" thickBot="1">
      <c r="A129" s="1678" t="s">
        <v>865</v>
      </c>
      <c r="B129" s="1679" t="s">
        <v>590</v>
      </c>
      <c r="C129" s="1669">
        <f>SUM(C120,C127,C128)</f>
        <v>2097398</v>
      </c>
      <c r="D129" s="1669">
        <f t="shared" ref="D129:L129" si="15">SUM(D120,D127,D128)</f>
        <v>493705</v>
      </c>
      <c r="E129" s="1669">
        <f t="shared" si="15"/>
        <v>731310</v>
      </c>
      <c r="F129" s="1669">
        <f t="shared" si="15"/>
        <v>1196538</v>
      </c>
      <c r="G129" s="1669">
        <f t="shared" si="15"/>
        <v>426208</v>
      </c>
      <c r="H129" s="1669">
        <f t="shared" si="15"/>
        <v>0</v>
      </c>
      <c r="I129" s="1669">
        <f t="shared" si="15"/>
        <v>28471</v>
      </c>
      <c r="J129" s="1669">
        <f t="shared" si="15"/>
        <v>0</v>
      </c>
      <c r="K129" s="1669">
        <f t="shared" si="15"/>
        <v>4973630</v>
      </c>
      <c r="L129" s="1669">
        <f t="shared" si="15"/>
        <v>5595392</v>
      </c>
    </row>
    <row r="130" spans="1:14" ht="15.75" customHeight="1" thickTop="1" thickBot="1">
      <c r="A130" s="1602" t="s">
        <v>1096</v>
      </c>
      <c r="B130" s="1603" t="s">
        <v>596</v>
      </c>
      <c r="C130" s="1944">
        <f>_xll.cw_map("BR","20-OM-&gt;3-3000-1")</f>
        <v>0</v>
      </c>
      <c r="D130" s="1944">
        <f>_xll.cw_map("BR","20-OM-&gt;3-3000-2")</f>
        <v>0</v>
      </c>
      <c r="E130" s="1944">
        <f>_xll.cw_map("BR","20-OM-&gt;3-3000-3")</f>
        <v>0</v>
      </c>
      <c r="F130" s="1944">
        <f>_xll.cw_map("BR","20-OM-&gt;3-3000-4")</f>
        <v>0</v>
      </c>
      <c r="G130" s="1944">
        <f>_xll.cw_map("BR","20-OM-&gt;3-3000-5")</f>
        <v>0</v>
      </c>
      <c r="H130" s="1944">
        <f>_xll.cw_map("BR","20-OM-&gt;3-3000-6")</f>
        <v>0</v>
      </c>
      <c r="I130" s="1942">
        <f>_xll.cw_map("BR","20-OM-&gt;3-3000-7")</f>
        <v>0</v>
      </c>
      <c r="J130" s="1942">
        <f>_xll.cw_map("BR","20-OM-&gt;3-3000-8")</f>
        <v>0</v>
      </c>
      <c r="K130" s="1662">
        <f>SUM(C130:J130)</f>
        <v>0</v>
      </c>
      <c r="L130" s="1944">
        <f>+'[1]EstExp 11-17'!$K$130</f>
        <v>0</v>
      </c>
    </row>
    <row r="131" spans="1:14" ht="15.75" customHeight="1" thickTop="1">
      <c r="A131" s="1608" t="s">
        <v>637</v>
      </c>
      <c r="B131" s="1601" t="s">
        <v>915</v>
      </c>
      <c r="C131" s="466"/>
      <c r="D131" s="466"/>
      <c r="E131" s="552"/>
      <c r="F131" s="466"/>
      <c r="G131" s="466"/>
      <c r="H131" s="552"/>
      <c r="I131" s="466"/>
      <c r="J131" s="466"/>
      <c r="K131" s="552"/>
      <c r="L131" s="552"/>
    </row>
    <row r="132" spans="1:14" s="383" customFormat="1" ht="13.5" customHeight="1">
      <c r="A132" s="630" t="s">
        <v>635</v>
      </c>
      <c r="B132" s="631"/>
      <c r="C132" s="466"/>
      <c r="D132" s="466"/>
      <c r="E132" s="514"/>
      <c r="F132" s="466"/>
      <c r="G132" s="466"/>
      <c r="H132" s="514"/>
      <c r="I132" s="466"/>
      <c r="J132" s="466"/>
      <c r="K132" s="514"/>
      <c r="L132" s="514"/>
      <c r="M132" s="205"/>
      <c r="N132" s="205"/>
    </row>
    <row r="133" spans="1:14" s="383" customFormat="1" ht="13.5" customHeight="1">
      <c r="A133" s="1482" t="s">
        <v>517</v>
      </c>
      <c r="B133" s="1834" t="s">
        <v>1955</v>
      </c>
      <c r="C133" s="466"/>
      <c r="D133" s="466"/>
      <c r="E133" s="615">
        <f>_xll.cw_map("BR","20-OM-&gt;3-4110-3")</f>
        <v>0</v>
      </c>
      <c r="F133" s="466"/>
      <c r="G133" s="466"/>
      <c r="H133" s="615">
        <f>_xll.cw_map("BR","20-OM-&gt;3-4110-6")</f>
        <v>0</v>
      </c>
      <c r="I133" s="466"/>
      <c r="J133" s="466"/>
      <c r="K133" s="1814">
        <f>SUM(E133,H133)</f>
        <v>0</v>
      </c>
      <c r="L133" s="615">
        <f>+'[1]EstExp 11-17'!$K$133</f>
        <v>0</v>
      </c>
      <c r="M133" s="205"/>
      <c r="N133" s="205"/>
    </row>
    <row r="134" spans="1:14">
      <c r="A134" s="1496" t="s">
        <v>322</v>
      </c>
      <c r="B134" s="589">
        <v>4120</v>
      </c>
      <c r="C134" s="591"/>
      <c r="D134" s="591"/>
      <c r="E134" s="1932">
        <f>_xll.cw_map("BR","20-OM-&gt;3-4120-3")</f>
        <v>0</v>
      </c>
      <c r="F134" s="591"/>
      <c r="G134" s="591"/>
      <c r="H134" s="1928">
        <f>_xll.cw_map("BR","20-OM-&gt;3-4120-6")</f>
        <v>0</v>
      </c>
      <c r="I134" s="473"/>
      <c r="J134" s="591"/>
      <c r="K134" s="1664">
        <f>SUM(E134,H134)</f>
        <v>0</v>
      </c>
      <c r="L134" s="1928">
        <f>+'[1]EstExp 11-17'!$K$134</f>
        <v>0</v>
      </c>
    </row>
    <row r="135" spans="1:14">
      <c r="A135" s="1496" t="s">
        <v>721</v>
      </c>
      <c r="B135" s="589">
        <v>4140</v>
      </c>
      <c r="C135" s="591"/>
      <c r="D135" s="591"/>
      <c r="E135" s="1926">
        <f>_xll.cw_map("BR","20-OM-&gt;3-4140-3")</f>
        <v>0</v>
      </c>
      <c r="F135" s="591"/>
      <c r="G135" s="591"/>
      <c r="H135" s="1927">
        <f>_xll.cw_map("BR","20-OM-&gt;3-4140-6")</f>
        <v>0</v>
      </c>
      <c r="I135" s="473"/>
      <c r="J135" s="591"/>
      <c r="K135" s="1664">
        <f>SUM(E135,H135)</f>
        <v>0</v>
      </c>
      <c r="L135" s="1927">
        <f>+'[1]EstExp 11-17'!$K$135</f>
        <v>0</v>
      </c>
    </row>
    <row r="136" spans="1:14">
      <c r="A136" s="1500" t="s">
        <v>722</v>
      </c>
      <c r="B136" s="603">
        <v>4190</v>
      </c>
      <c r="C136" s="591"/>
      <c r="D136" s="591"/>
      <c r="E136" s="1926">
        <f>_xll.cw_map("BR","20-OM-&gt;3-4190-3")</f>
        <v>0</v>
      </c>
      <c r="F136" s="591"/>
      <c r="G136" s="591"/>
      <c r="H136" s="1927">
        <f>_xll.cw_map("BR","20-OM-&gt;3-4190-6")</f>
        <v>0</v>
      </c>
      <c r="I136" s="473"/>
      <c r="J136" s="591"/>
      <c r="K136" s="1664">
        <f>SUM(E136,H136)</f>
        <v>0</v>
      </c>
      <c r="L136" s="1927">
        <f>+'[1]EstExp 11-17'!$K$136</f>
        <v>0</v>
      </c>
    </row>
    <row r="137" spans="1:14" ht="12.75" customHeight="1" thickBot="1">
      <c r="A137" s="1660" t="s">
        <v>501</v>
      </c>
      <c r="B137" s="1670">
        <v>4100</v>
      </c>
      <c r="C137" s="591"/>
      <c r="D137" s="591"/>
      <c r="E137" s="1662">
        <f>SUM(E133:E136)</f>
        <v>0</v>
      </c>
      <c r="F137" s="591"/>
      <c r="G137" s="591"/>
      <c r="H137" s="1662">
        <f>SUM(H133:H136)</f>
        <v>0</v>
      </c>
      <c r="I137" s="473"/>
      <c r="J137" s="591"/>
      <c r="K137" s="1662">
        <f>SUM(K133:K136)</f>
        <v>0</v>
      </c>
      <c r="L137" s="1662">
        <f>SUM(L133:L136)</f>
        <v>0</v>
      </c>
    </row>
    <row r="138" spans="1:14" ht="12.75" customHeight="1" thickTop="1" thickBot="1">
      <c r="A138" s="1502" t="s">
        <v>98</v>
      </c>
      <c r="B138" s="617" t="s">
        <v>988</v>
      </c>
      <c r="C138" s="591"/>
      <c r="D138" s="591"/>
      <c r="E138" s="475">
        <f>_xll.cw_map("BR","20-OM-&gt;3-4400-3")</f>
        <v>0</v>
      </c>
      <c r="F138" s="591"/>
      <c r="G138" s="591"/>
      <c r="H138" s="1944">
        <f>_xll.cw_map("BR","20-OM-&gt;3-4400-6")</f>
        <v>0</v>
      </c>
      <c r="I138" s="473"/>
      <c r="J138" s="591"/>
      <c r="K138" s="1664">
        <f>SUM(E138,H138)</f>
        <v>0</v>
      </c>
      <c r="L138" s="1944">
        <f>+'[1]EstExp 11-17'!$K$138</f>
        <v>0</v>
      </c>
    </row>
    <row r="139" spans="1:14" ht="12.75" customHeight="1" thickTop="1" thickBot="1">
      <c r="A139" s="1660" t="s">
        <v>1567</v>
      </c>
      <c r="B139" s="1670">
        <v>4000</v>
      </c>
      <c r="C139" s="591"/>
      <c r="D139" s="591"/>
      <c r="E139" s="1662">
        <f>SUM(E137,E138)</f>
        <v>0</v>
      </c>
      <c r="F139" s="591"/>
      <c r="G139" s="591"/>
      <c r="H139" s="1671">
        <f>SUM(H137:H138)</f>
        <v>0</v>
      </c>
      <c r="I139" s="473"/>
      <c r="J139" s="591"/>
      <c r="K139" s="1664">
        <f>SUM(K137,K138)</f>
        <v>0</v>
      </c>
      <c r="L139" s="1671">
        <f>SUM(L137,L138)</f>
        <v>0</v>
      </c>
    </row>
    <row r="140" spans="1:14" ht="15.75" customHeight="1" thickTop="1">
      <c r="A140" s="1604" t="s">
        <v>1097</v>
      </c>
      <c r="B140" s="1605" t="s">
        <v>513</v>
      </c>
      <c r="C140" s="591"/>
      <c r="D140" s="591"/>
      <c r="E140" s="612"/>
      <c r="F140" s="612"/>
      <c r="G140" s="612"/>
      <c r="H140" s="610"/>
      <c r="I140" s="473"/>
      <c r="J140" s="612"/>
      <c r="K140" s="610"/>
      <c r="L140" s="610"/>
    </row>
    <row r="141" spans="1:14" ht="15.75" customHeight="1">
      <c r="A141" s="627" t="s">
        <v>636</v>
      </c>
      <c r="B141" s="597"/>
      <c r="C141" s="591"/>
      <c r="D141" s="591"/>
      <c r="E141" s="591"/>
      <c r="F141" s="591"/>
      <c r="G141" s="591"/>
      <c r="H141" s="598"/>
      <c r="I141" s="466"/>
      <c r="J141" s="591"/>
      <c r="K141" s="598"/>
      <c r="L141" s="598"/>
    </row>
    <row r="142" spans="1:14">
      <c r="A142" s="1496" t="s">
        <v>89</v>
      </c>
      <c r="B142" s="589">
        <v>5110</v>
      </c>
      <c r="C142" s="591"/>
      <c r="D142" s="591"/>
      <c r="E142" s="591"/>
      <c r="F142" s="591"/>
      <c r="G142" s="591"/>
      <c r="H142" s="1928">
        <f>_xll.cw_map("BR","20-OM-&gt;3-5110-6")</f>
        <v>0</v>
      </c>
      <c r="I142" s="466"/>
      <c r="J142" s="591"/>
      <c r="K142" s="1664">
        <f>SUM(H142)</f>
        <v>0</v>
      </c>
      <c r="L142" s="1928">
        <f>+'[1]EstExp 11-17'!$K$142</f>
        <v>0</v>
      </c>
    </row>
    <row r="143" spans="1:14">
      <c r="A143" s="1496" t="s">
        <v>90</v>
      </c>
      <c r="B143" s="589">
        <v>5120</v>
      </c>
      <c r="C143" s="591"/>
      <c r="D143" s="591"/>
      <c r="E143" s="591"/>
      <c r="F143" s="591"/>
      <c r="G143" s="591"/>
      <c r="H143" s="1927">
        <f>_xll.cw_map("BR","20-OM-&gt;3-5120-6")</f>
        <v>0</v>
      </c>
      <c r="I143" s="466"/>
      <c r="J143" s="591"/>
      <c r="K143" s="1664">
        <f>SUM(H143)</f>
        <v>0</v>
      </c>
      <c r="L143" s="1927">
        <f>+'[1]EstExp 11-17'!$K$143</f>
        <v>0</v>
      </c>
    </row>
    <row r="144" spans="1:14" ht="12.75" customHeight="1">
      <c r="A144" s="1496" t="s">
        <v>1232</v>
      </c>
      <c r="B144" s="603" t="s">
        <v>638</v>
      </c>
      <c r="C144" s="591"/>
      <c r="D144" s="591"/>
      <c r="E144" s="591"/>
      <c r="F144" s="591"/>
      <c r="G144" s="591"/>
      <c r="H144" s="1927">
        <f>_xll.cw_map("BR","20-OM-&gt;3-5130-6")</f>
        <v>0</v>
      </c>
      <c r="I144" s="466"/>
      <c r="J144" s="591"/>
      <c r="K144" s="1664">
        <f>SUM(H144)</f>
        <v>0</v>
      </c>
      <c r="L144" s="1927">
        <f>+'[1]EstExp 11-17'!$K$144</f>
        <v>0</v>
      </c>
    </row>
    <row r="145" spans="1:14">
      <c r="A145" s="1496" t="s">
        <v>91</v>
      </c>
      <c r="B145" s="589" t="s">
        <v>610</v>
      </c>
      <c r="C145" s="591"/>
      <c r="D145" s="591"/>
      <c r="E145" s="591"/>
      <c r="F145" s="591"/>
      <c r="G145" s="591"/>
      <c r="H145" s="1927">
        <f>_xll.cw_map("BR","20-OM-&gt;3-5140-6")</f>
        <v>0</v>
      </c>
      <c r="I145" s="466"/>
      <c r="J145" s="591"/>
      <c r="K145" s="1664">
        <f>SUM(H145)</f>
        <v>0</v>
      </c>
      <c r="L145" s="1927">
        <f>+'[1]EstExp 11-17'!$K$145</f>
        <v>0</v>
      </c>
    </row>
    <row r="146" spans="1:14" ht="12.75" customHeight="1">
      <c r="A146" s="1496" t="s">
        <v>640</v>
      </c>
      <c r="B146" s="589" t="s">
        <v>639</v>
      </c>
      <c r="C146" s="591"/>
      <c r="D146" s="591"/>
      <c r="E146" s="591"/>
      <c r="F146" s="591"/>
      <c r="G146" s="591"/>
      <c r="H146" s="1927">
        <f>_xll.cw_map("BR","20-OM-&gt;3-5150-6")</f>
        <v>0</v>
      </c>
      <c r="I146" s="466"/>
      <c r="J146" s="591"/>
      <c r="K146" s="1664">
        <f>SUM(H146)</f>
        <v>0</v>
      </c>
      <c r="L146" s="1927">
        <f>+'[1]EstExp 11-17'!$K$146</f>
        <v>0</v>
      </c>
    </row>
    <row r="147" spans="1:14" ht="12.75" customHeight="1" thickBot="1">
      <c r="A147" s="1507" t="s">
        <v>647</v>
      </c>
      <c r="B147" s="632" t="s">
        <v>742</v>
      </c>
      <c r="C147" s="591"/>
      <c r="D147" s="591"/>
      <c r="E147" s="591"/>
      <c r="F147" s="591"/>
      <c r="G147" s="591"/>
      <c r="H147" s="1680">
        <f>SUM(H142:H146)</f>
        <v>0</v>
      </c>
      <c r="I147" s="466"/>
      <c r="J147" s="591"/>
      <c r="K147" s="1662">
        <f>SUM(K142:K146)</f>
        <v>0</v>
      </c>
      <c r="L147" s="1680">
        <f>SUM(L142:L146)</f>
        <v>0</v>
      </c>
    </row>
    <row r="148" spans="1:14" ht="15.75" customHeight="1" thickTop="1">
      <c r="A148" s="633" t="s">
        <v>1165</v>
      </c>
      <c r="B148" s="634" t="s">
        <v>38</v>
      </c>
      <c r="C148" s="591"/>
      <c r="D148" s="591"/>
      <c r="E148" s="591"/>
      <c r="F148" s="591"/>
      <c r="G148" s="591"/>
      <c r="H148" s="1929">
        <f>_xll.cw_map("BR","20-OM-&gt;3-5200-6")</f>
        <v>0</v>
      </c>
      <c r="I148" s="466"/>
      <c r="J148" s="591"/>
      <c r="K148" s="1664">
        <f>SUM(H148)</f>
        <v>0</v>
      </c>
      <c r="L148" s="1931">
        <f>+'[1]EstExp 11-17'!$K$148</f>
        <v>0</v>
      </c>
    </row>
    <row r="149" spans="1:14" ht="12.75" customHeight="1" thickBot="1">
      <c r="A149" s="1499" t="s">
        <v>659</v>
      </c>
      <c r="B149" s="592" t="s">
        <v>513</v>
      </c>
      <c r="C149" s="591"/>
      <c r="D149" s="591"/>
      <c r="E149" s="591"/>
      <c r="F149" s="591"/>
      <c r="G149" s="591"/>
      <c r="H149" s="1662">
        <f>SUM(H147,H148)</f>
        <v>0</v>
      </c>
      <c r="I149" s="466"/>
      <c r="J149" s="591"/>
      <c r="K149" s="1662">
        <f>SUM(K147:K148)</f>
        <v>0</v>
      </c>
      <c r="L149" s="1662">
        <f>SUM(L142:L146,L148)</f>
        <v>0</v>
      </c>
    </row>
    <row r="150" spans="1:14" ht="15.75" customHeight="1" thickTop="1" thickBot="1">
      <c r="A150" s="1598" t="s">
        <v>1098</v>
      </c>
      <c r="B150" s="1605" t="s">
        <v>916</v>
      </c>
      <c r="C150" s="591"/>
      <c r="D150" s="591"/>
      <c r="E150" s="591"/>
      <c r="F150" s="591"/>
      <c r="G150" s="591"/>
      <c r="H150" s="635"/>
      <c r="I150" s="514"/>
      <c r="J150" s="591"/>
      <c r="K150" s="598"/>
      <c r="L150" s="1946">
        <f>+'[1]EstExp 11-17'!$K$150</f>
        <v>0</v>
      </c>
    </row>
    <row r="151" spans="1:14" ht="12.75" customHeight="1" thickTop="1" thickBot="1">
      <c r="A151" s="2206" t="s">
        <v>641</v>
      </c>
      <c r="B151" s="2186"/>
      <c r="C151" s="1662">
        <f>SUM(C129,C130,C139,C149,C150)</f>
        <v>2097398</v>
      </c>
      <c r="D151" s="1662">
        <f t="shared" ref="D151:K151" si="16">SUM(D129,D130,D139,D149,D150)</f>
        <v>493705</v>
      </c>
      <c r="E151" s="1662">
        <f t="shared" si="16"/>
        <v>731310</v>
      </c>
      <c r="F151" s="1662">
        <f t="shared" si="16"/>
        <v>1196538</v>
      </c>
      <c r="G151" s="1662">
        <f t="shared" si="16"/>
        <v>426208</v>
      </c>
      <c r="H151" s="1662">
        <f t="shared" si="16"/>
        <v>0</v>
      </c>
      <c r="I151" s="1662">
        <f t="shared" si="16"/>
        <v>28471</v>
      </c>
      <c r="J151" s="1662">
        <f t="shared" si="16"/>
        <v>0</v>
      </c>
      <c r="K151" s="1662">
        <f t="shared" si="16"/>
        <v>4973630</v>
      </c>
      <c r="L151" s="1662">
        <f>SUM(L129,L130,L139,L149,L150)</f>
        <v>5595392</v>
      </c>
    </row>
    <row r="152" spans="1:14" ht="12.75" customHeight="1" thickTop="1">
      <c r="A152" s="2209" t="s">
        <v>1240</v>
      </c>
      <c r="B152" s="2210"/>
      <c r="C152" s="593"/>
      <c r="D152" s="593"/>
      <c r="E152" s="593"/>
      <c r="F152" s="593"/>
      <c r="G152" s="593"/>
      <c r="H152" s="593"/>
      <c r="I152" s="593"/>
      <c r="J152" s="591"/>
      <c r="K152" s="1676">
        <f>'Revenues 9-14'!D275-'Expenditures 15-22'!K151</f>
        <v>-394120</v>
      </c>
      <c r="L152" s="593"/>
    </row>
    <row r="153" spans="1:14" s="639" customFormat="1" ht="9" customHeight="1">
      <c r="A153" s="636"/>
      <c r="B153" s="637"/>
      <c r="C153" s="624"/>
      <c r="D153" s="624"/>
      <c r="E153" s="624"/>
      <c r="F153" s="624"/>
      <c r="G153" s="624"/>
      <c r="H153" s="624"/>
      <c r="I153" s="624"/>
      <c r="J153" s="624"/>
      <c r="K153" s="624"/>
      <c r="L153" s="624"/>
      <c r="M153" s="638"/>
      <c r="N153" s="638"/>
    </row>
    <row r="154" spans="1:14" s="641" customFormat="1" ht="16.7" customHeight="1">
      <c r="A154" s="2194" t="s">
        <v>642</v>
      </c>
      <c r="B154" s="2196"/>
      <c r="C154" s="1618"/>
      <c r="D154" s="1619"/>
      <c r="E154" s="1619"/>
      <c r="F154" s="1619"/>
      <c r="G154" s="1619"/>
      <c r="H154" s="1619"/>
      <c r="I154" s="1619"/>
      <c r="J154" s="1619"/>
      <c r="K154" s="1619"/>
      <c r="L154" s="1620"/>
      <c r="M154" s="640"/>
      <c r="N154" s="640"/>
    </row>
    <row r="155" spans="1:14" s="595" customFormat="1" ht="15.75" customHeight="1" thickBot="1">
      <c r="A155" s="1609" t="s">
        <v>83</v>
      </c>
      <c r="B155" s="1610" t="s">
        <v>915</v>
      </c>
      <c r="C155" s="591"/>
      <c r="D155" s="591"/>
      <c r="E155" s="591"/>
      <c r="F155" s="591"/>
      <c r="G155" s="591"/>
      <c r="H155" s="1835"/>
      <c r="I155" s="591"/>
      <c r="J155" s="591"/>
      <c r="K155" s="1818"/>
      <c r="L155" s="1835"/>
      <c r="M155" s="594"/>
      <c r="N155" s="594"/>
    </row>
    <row r="156" spans="1:14" s="595" customFormat="1" ht="15.75" customHeight="1" thickTop="1">
      <c r="A156" s="1815" t="s">
        <v>1956</v>
      </c>
      <c r="B156" s="1816"/>
      <c r="C156" s="591"/>
      <c r="D156" s="591"/>
      <c r="E156" s="591"/>
      <c r="F156" s="591"/>
      <c r="G156" s="591"/>
      <c r="H156" s="1836"/>
      <c r="I156" s="591"/>
      <c r="J156" s="591"/>
      <c r="K156" s="1817"/>
      <c r="L156" s="1836"/>
      <c r="M156" s="594"/>
      <c r="N156" s="594"/>
    </row>
    <row r="157" spans="1:14" s="595" customFormat="1" ht="12">
      <c r="A157" s="1819" t="s">
        <v>517</v>
      </c>
      <c r="B157" s="1820" t="s">
        <v>1955</v>
      </c>
      <c r="C157" s="591"/>
      <c r="D157" s="591"/>
      <c r="E157" s="591"/>
      <c r="F157" s="591"/>
      <c r="G157" s="591"/>
      <c r="H157" s="615">
        <f>_xll.cw_map("BR","30-DS-&gt;3-4110-6")</f>
        <v>0</v>
      </c>
      <c r="I157" s="591"/>
      <c r="J157" s="591"/>
      <c r="K157" s="1663">
        <f>H157</f>
        <v>0</v>
      </c>
      <c r="L157" s="465">
        <f>+'[1]EstExp 11-17'!$K$157</f>
        <v>0</v>
      </c>
      <c r="M157" s="594"/>
      <c r="N157" s="594"/>
    </row>
    <row r="158" spans="1:14" s="595" customFormat="1" ht="12">
      <c r="A158" s="1819" t="s">
        <v>322</v>
      </c>
      <c r="B158" s="1820" t="s">
        <v>1957</v>
      </c>
      <c r="C158" s="591"/>
      <c r="D158" s="591"/>
      <c r="E158" s="591"/>
      <c r="F158" s="591"/>
      <c r="G158" s="591"/>
      <c r="H158" s="465">
        <f>_xll.cw_map("BR","30-DS-&gt;3-4120-6")</f>
        <v>0</v>
      </c>
      <c r="I158" s="591"/>
      <c r="J158" s="591"/>
      <c r="K158" s="1663">
        <f>H158</f>
        <v>0</v>
      </c>
      <c r="L158" s="1969">
        <f>'[1]EstExp 11-17'!$K$158</f>
        <v>0</v>
      </c>
      <c r="M158" s="594"/>
      <c r="N158" s="594"/>
    </row>
    <row r="159" spans="1:14" s="595" customFormat="1" ht="12">
      <c r="A159" s="1819" t="s">
        <v>1958</v>
      </c>
      <c r="B159" s="1820" t="s">
        <v>579</v>
      </c>
      <c r="C159" s="591"/>
      <c r="D159" s="591"/>
      <c r="E159" s="591"/>
      <c r="F159" s="591"/>
      <c r="G159" s="591"/>
      <c r="H159" s="465">
        <f>_xll.cw_map("BR","30-DS-&gt;3-4190-6")</f>
        <v>0</v>
      </c>
      <c r="I159" s="591"/>
      <c r="J159" s="591"/>
      <c r="K159" s="1663">
        <f>H159</f>
        <v>0</v>
      </c>
      <c r="L159" s="465">
        <f>'[1]EstExp 11-17'!$K$159</f>
        <v>0</v>
      </c>
      <c r="M159" s="594"/>
      <c r="N159" s="594"/>
    </row>
    <row r="160" spans="1:14" s="595" customFormat="1" ht="15.75" customHeight="1" thickBot="1">
      <c r="A160" s="1821" t="s">
        <v>1959</v>
      </c>
      <c r="B160" s="1822" t="s">
        <v>915</v>
      </c>
      <c r="C160" s="591"/>
      <c r="D160" s="591"/>
      <c r="E160" s="591"/>
      <c r="F160" s="591"/>
      <c r="G160" s="591"/>
      <c r="H160" s="1680">
        <f>SUM(H157:H159)</f>
        <v>0</v>
      </c>
      <c r="I160" s="591"/>
      <c r="J160" s="591"/>
      <c r="K160" s="1662">
        <f>SUM(K157:K159)</f>
        <v>0</v>
      </c>
      <c r="L160" s="1680">
        <f>SUM(L157:L159)</f>
        <v>0</v>
      </c>
      <c r="M160" s="594"/>
      <c r="N160" s="594"/>
    </row>
    <row r="161" spans="1:14" s="258" customFormat="1" ht="15.75" customHeight="1" thickTop="1">
      <c r="A161" s="1604" t="s">
        <v>84</v>
      </c>
      <c r="B161" s="1605" t="s">
        <v>513</v>
      </c>
      <c r="C161" s="591"/>
      <c r="D161" s="591"/>
      <c r="E161" s="591"/>
      <c r="F161" s="591"/>
      <c r="G161" s="591"/>
      <c r="H161" s="591"/>
      <c r="I161" s="591"/>
      <c r="J161" s="591"/>
      <c r="K161" s="591"/>
      <c r="L161" s="591"/>
      <c r="M161" s="588"/>
      <c r="N161" s="588"/>
    </row>
    <row r="162" spans="1:14" s="258" customFormat="1" ht="15.75" customHeight="1">
      <c r="A162" s="627" t="s">
        <v>636</v>
      </c>
      <c r="B162" s="597"/>
      <c r="C162" s="591"/>
      <c r="D162" s="591"/>
      <c r="E162" s="591"/>
      <c r="F162" s="591"/>
      <c r="G162" s="591"/>
      <c r="H162" s="591"/>
      <c r="I162" s="591"/>
      <c r="J162" s="591"/>
      <c r="K162" s="598"/>
      <c r="L162" s="598"/>
      <c r="M162" s="588"/>
      <c r="N162" s="588"/>
    </row>
    <row r="163" spans="1:14">
      <c r="A163" s="1496" t="s">
        <v>89</v>
      </c>
      <c r="B163" s="589">
        <v>5110</v>
      </c>
      <c r="C163" s="591"/>
      <c r="D163" s="591"/>
      <c r="E163" s="591"/>
      <c r="F163" s="591"/>
      <c r="G163" s="591"/>
      <c r="H163" s="1927">
        <f>_xll.cw_map("BR","30-DS-&gt;3-5110-6")</f>
        <v>0</v>
      </c>
      <c r="I163" s="591"/>
      <c r="J163" s="591"/>
      <c r="K163" s="1663">
        <f>SUM(C163:J163)</f>
        <v>0</v>
      </c>
      <c r="L163" s="1927">
        <f>+'[1]EstExp 11-17'!$K$163</f>
        <v>0</v>
      </c>
    </row>
    <row r="164" spans="1:14">
      <c r="A164" s="1496" t="s">
        <v>90</v>
      </c>
      <c r="B164" s="589">
        <v>5120</v>
      </c>
      <c r="C164" s="591"/>
      <c r="D164" s="591"/>
      <c r="E164" s="591"/>
      <c r="F164" s="591"/>
      <c r="G164" s="591"/>
      <c r="H164" s="1927">
        <f>_xll.cw_map("BR","30-DS-&gt;3-5120-6")</f>
        <v>0</v>
      </c>
      <c r="I164" s="591"/>
      <c r="J164" s="591"/>
      <c r="K164" s="1663">
        <f>SUM(C164:J164)</f>
        <v>0</v>
      </c>
      <c r="L164" s="1927">
        <f>+'[1]EstExp 11-17'!$K$164</f>
        <v>0</v>
      </c>
    </row>
    <row r="165" spans="1:14" ht="12.75" customHeight="1">
      <c r="A165" s="1496" t="s">
        <v>1232</v>
      </c>
      <c r="B165" s="589" t="s">
        <v>638</v>
      </c>
      <c r="C165" s="591"/>
      <c r="D165" s="591"/>
      <c r="E165" s="591"/>
      <c r="F165" s="591"/>
      <c r="G165" s="591"/>
      <c r="H165" s="1927">
        <f>_xll.cw_map("BR","30-DS-&gt;3-5130-6")</f>
        <v>0</v>
      </c>
      <c r="I165" s="591"/>
      <c r="J165" s="591"/>
      <c r="K165" s="1663">
        <f>SUM(C165:J165)</f>
        <v>0</v>
      </c>
      <c r="L165" s="1927">
        <f>+'[1]EstExp 11-17'!$K$165</f>
        <v>0</v>
      </c>
    </row>
    <row r="166" spans="1:14">
      <c r="A166" s="1496" t="s">
        <v>91</v>
      </c>
      <c r="B166" s="603" t="s">
        <v>610</v>
      </c>
      <c r="C166" s="591"/>
      <c r="D166" s="591"/>
      <c r="E166" s="591"/>
      <c r="F166" s="591"/>
      <c r="G166" s="591"/>
      <c r="H166" s="1927">
        <f>_xll.cw_map("BR","30-DS-&gt;3-5140-6")</f>
        <v>0</v>
      </c>
      <c r="I166" s="591"/>
      <c r="J166" s="591"/>
      <c r="K166" s="1663">
        <f>SUM(C166:J166)</f>
        <v>0</v>
      </c>
      <c r="L166" s="1927">
        <f>+'[1]EstExp 11-17'!$K$166</f>
        <v>0</v>
      </c>
    </row>
    <row r="167" spans="1:14" ht="12.75" customHeight="1">
      <c r="A167" s="1496" t="s">
        <v>640</v>
      </c>
      <c r="B167" s="589" t="s">
        <v>639</v>
      </c>
      <c r="C167" s="591"/>
      <c r="D167" s="591"/>
      <c r="E167" s="591"/>
      <c r="F167" s="591"/>
      <c r="G167" s="591"/>
      <c r="H167" s="1927">
        <f>_xll.cw_map("BR","30-DS-&gt;3-5150-6")</f>
        <v>0</v>
      </c>
      <c r="I167" s="591"/>
      <c r="J167" s="591"/>
      <c r="K167" s="1663">
        <f>SUM(C167:J167)</f>
        <v>0</v>
      </c>
      <c r="L167" s="1927">
        <f>+'[1]EstExp 11-17'!$K$167</f>
        <v>0</v>
      </c>
    </row>
    <row r="168" spans="1:14" ht="13.5" thickBot="1">
      <c r="A168" s="1660" t="s">
        <v>294</v>
      </c>
      <c r="B168" s="1667" t="s">
        <v>742</v>
      </c>
      <c r="C168" s="591"/>
      <c r="D168" s="591"/>
      <c r="E168" s="591"/>
      <c r="F168" s="591"/>
      <c r="G168" s="591"/>
      <c r="H168" s="1662">
        <f>SUM(H163:H167)</f>
        <v>0</v>
      </c>
      <c r="I168" s="591"/>
      <c r="J168" s="591"/>
      <c r="K168" s="1662">
        <f>SUM(K163:K167)</f>
        <v>0</v>
      </c>
      <c r="L168" s="1662">
        <f>SUM(L163:L167)</f>
        <v>0</v>
      </c>
    </row>
    <row r="169" spans="1:14" ht="15.75" customHeight="1" thickTop="1" thickBot="1">
      <c r="A169" s="642" t="s">
        <v>85</v>
      </c>
      <c r="B169" s="643" t="s">
        <v>38</v>
      </c>
      <c r="C169" s="591"/>
      <c r="D169" s="591"/>
      <c r="E169" s="591"/>
      <c r="F169" s="591"/>
      <c r="G169" s="591"/>
      <c r="H169" s="1944">
        <f>_xll.cw_map("BR","30-DS-&gt;3-5200-6")-475</f>
        <v>1052692</v>
      </c>
      <c r="I169" s="591"/>
      <c r="J169" s="591"/>
      <c r="K169" s="1663">
        <f>SUM(C169:H169)</f>
        <v>1052692</v>
      </c>
      <c r="L169" s="1944">
        <f>+'[1]EstExp 11-17'!$K$169</f>
        <v>1033077</v>
      </c>
    </row>
    <row r="170" spans="1:14" ht="33.75" customHeight="1" thickTop="1" thickBot="1">
      <c r="A170" s="642" t="s">
        <v>1769</v>
      </c>
      <c r="B170" s="644" t="s">
        <v>31</v>
      </c>
      <c r="C170" s="591"/>
      <c r="D170" s="591"/>
      <c r="E170" s="591"/>
      <c r="F170" s="591"/>
      <c r="G170" s="591"/>
      <c r="H170" s="1944">
        <f>_xll.cw_map("BR","30-DS-&gt;3-5300-6")</f>
        <v>4079700</v>
      </c>
      <c r="I170" s="591"/>
      <c r="J170" s="591"/>
      <c r="K170" s="1663">
        <f>SUM(C170:J170)</f>
        <v>4079700</v>
      </c>
      <c r="L170" s="1944">
        <f>+'[1]EstExp 11-17'!$K$170</f>
        <v>3920000</v>
      </c>
    </row>
    <row r="171" spans="1:14" ht="15.75" customHeight="1" thickTop="1" thickBot="1">
      <c r="A171" s="596" t="s">
        <v>790</v>
      </c>
      <c r="B171" s="645" t="s">
        <v>86</v>
      </c>
      <c r="C171" s="591"/>
      <c r="D171" s="591"/>
      <c r="E171" s="1947"/>
      <c r="F171" s="591"/>
      <c r="G171" s="591"/>
      <c r="H171" s="1944">
        <f>_xll.cw_map("BR","30-DS-&gt;3-5400-6")+475+475</f>
        <v>1425</v>
      </c>
      <c r="I171" s="473"/>
      <c r="J171" s="591"/>
      <c r="K171" s="1663">
        <f>SUM(C171:J171)</f>
        <v>1425</v>
      </c>
      <c r="L171" s="1944">
        <f>+'[1]EstExp 11-17'!$K$171</f>
        <v>5000</v>
      </c>
    </row>
    <row r="172" spans="1:14" ht="12.75" customHeight="1" thickTop="1" thickBot="1">
      <c r="A172" s="1660" t="s">
        <v>659</v>
      </c>
      <c r="B172" s="1661" t="s">
        <v>513</v>
      </c>
      <c r="C172" s="591"/>
      <c r="D172" s="591"/>
      <c r="E172" s="1669">
        <f>SUM(E168,E169,E170,E171)</f>
        <v>0</v>
      </c>
      <c r="F172" s="591"/>
      <c r="G172" s="591"/>
      <c r="H172" s="1669">
        <f>SUM(H168,H169,H170,H171)</f>
        <v>5133817</v>
      </c>
      <c r="I172" s="612"/>
      <c r="J172" s="591"/>
      <c r="K172" s="1669">
        <f>SUM(K168,K169,K170,K171)</f>
        <v>5133817</v>
      </c>
      <c r="L172" s="1669">
        <f>SUM(L168,L169,L170,L171)</f>
        <v>4958077</v>
      </c>
    </row>
    <row r="173" spans="1:14" ht="15.75" customHeight="1" thickTop="1" thickBot="1">
      <c r="A173" s="1611" t="s">
        <v>87</v>
      </c>
      <c r="B173" s="1603" t="s">
        <v>916</v>
      </c>
      <c r="C173" s="591"/>
      <c r="D173" s="591"/>
      <c r="E173" s="598"/>
      <c r="F173" s="591"/>
      <c r="G173" s="591"/>
      <c r="H173" s="601"/>
      <c r="I173" s="612"/>
      <c r="J173" s="591"/>
      <c r="K173" s="598"/>
      <c r="L173" s="1944">
        <f>+'[1]EstExp 11-17'!$K$173</f>
        <v>0</v>
      </c>
    </row>
    <row r="174" spans="1:14" ht="12.75" customHeight="1" thickTop="1" thickBot="1">
      <c r="A174" s="1681" t="s">
        <v>92</v>
      </c>
      <c r="B174" s="1682"/>
      <c r="C174" s="591"/>
      <c r="D174" s="591"/>
      <c r="E174" s="1669">
        <f>SUM(E155,E172,E173)</f>
        <v>0</v>
      </c>
      <c r="F174" s="591"/>
      <c r="G174" s="591"/>
      <c r="H174" s="1669">
        <f>SUM(H160,H172,H173)</f>
        <v>5133817</v>
      </c>
      <c r="I174" s="612"/>
      <c r="J174" s="591"/>
      <c r="K174" s="1669">
        <f>SUM(K160,K172,K173)</f>
        <v>5133817</v>
      </c>
      <c r="L174" s="1669">
        <f>SUM(L160,L172,L173)</f>
        <v>4958077</v>
      </c>
    </row>
    <row r="175" spans="1:14" ht="13.5" thickTop="1">
      <c r="A175" s="2189" t="s">
        <v>1053</v>
      </c>
      <c r="B175" s="2190"/>
      <c r="C175" s="591"/>
      <c r="D175" s="591"/>
      <c r="E175" s="591"/>
      <c r="F175" s="591"/>
      <c r="G175" s="591"/>
      <c r="H175" s="593"/>
      <c r="I175" s="591"/>
      <c r="J175" s="591"/>
      <c r="K175" s="1676">
        <f>'Revenues 9-14'!E275-'Expenditures 15-22'!K174</f>
        <v>-814649</v>
      </c>
      <c r="L175" s="593"/>
    </row>
    <row r="176" spans="1:14" s="639" customFormat="1" ht="9" customHeight="1">
      <c r="A176" s="636"/>
      <c r="B176" s="646"/>
      <c r="C176" s="624"/>
      <c r="D176" s="624"/>
      <c r="E176" s="624"/>
      <c r="F176" s="624"/>
      <c r="G176" s="624"/>
      <c r="H176" s="624"/>
      <c r="I176" s="624"/>
      <c r="J176" s="624"/>
      <c r="K176" s="624"/>
      <c r="L176" s="624"/>
      <c r="M176" s="638"/>
      <c r="N176" s="638"/>
    </row>
    <row r="177" spans="1:14" s="342" customFormat="1" ht="16.7" customHeight="1">
      <c r="A177" s="1546" t="s">
        <v>994</v>
      </c>
      <c r="B177" s="1547"/>
      <c r="C177" s="1543"/>
      <c r="D177" s="1544"/>
      <c r="E177" s="1544"/>
      <c r="F177" s="1544"/>
      <c r="G177" s="1544"/>
      <c r="H177" s="1544"/>
      <c r="I177" s="1544"/>
      <c r="J177" s="1544"/>
      <c r="K177" s="1544"/>
      <c r="L177" s="1545"/>
      <c r="M177" s="584"/>
      <c r="N177" s="584"/>
    </row>
    <row r="178" spans="1:14" s="647" customFormat="1" ht="15.75" customHeight="1">
      <c r="A178" s="1612" t="s">
        <v>995</v>
      </c>
      <c r="B178" s="1613"/>
      <c r="C178" s="591"/>
      <c r="D178" s="591"/>
      <c r="E178" s="591"/>
      <c r="F178" s="591"/>
      <c r="G178" s="591"/>
      <c r="H178" s="591"/>
      <c r="I178" s="591"/>
      <c r="J178" s="591"/>
      <c r="K178" s="591"/>
      <c r="L178" s="591"/>
      <c r="M178" s="638"/>
      <c r="N178" s="638"/>
    </row>
    <row r="179" spans="1:14" s="647" customFormat="1" ht="15.75" customHeight="1">
      <c r="A179" s="648" t="s">
        <v>612</v>
      </c>
      <c r="B179" s="597"/>
      <c r="C179" s="598"/>
      <c r="D179" s="598"/>
      <c r="E179" s="598"/>
      <c r="F179" s="591"/>
      <c r="G179" s="591"/>
      <c r="H179" s="598"/>
      <c r="I179" s="591"/>
      <c r="J179" s="591"/>
      <c r="K179" s="598"/>
      <c r="L179" s="598"/>
      <c r="M179" s="638"/>
      <c r="N179" s="638"/>
    </row>
    <row r="180" spans="1:14" ht="12.75" customHeight="1" thickBot="1">
      <c r="A180" s="1496" t="s">
        <v>167</v>
      </c>
      <c r="B180" s="589">
        <v>2190</v>
      </c>
      <c r="C180" s="1947">
        <f>_xll.cw_map("BR","40-TRANS-&gt;3-2190-1")</f>
        <v>0</v>
      </c>
      <c r="D180" s="1947">
        <f>_xll.cw_map("BR","40-TRANS-&gt;3-2190-2")</f>
        <v>0</v>
      </c>
      <c r="E180" s="1947">
        <f>_xll.cw_map("BR","40-TRANS-&gt;3-2190-3")</f>
        <v>0</v>
      </c>
      <c r="F180" s="1947">
        <f>_xll.cw_map("BR","40-TRANS-&gt;3-2190-4")</f>
        <v>0</v>
      </c>
      <c r="G180" s="1947">
        <f>_xll.cw_map("BR","40-TRANS-&gt;3-2190-5")</f>
        <v>0</v>
      </c>
      <c r="H180" s="1947">
        <f>_xll.cw_map("BR","40-TRANS-&gt;3-2190-6")</f>
        <v>0</v>
      </c>
      <c r="I180" s="1941">
        <f>_xll.cw_map("BR","40-TRANS-&gt;3-2190-7")</f>
        <v>0</v>
      </c>
      <c r="J180" s="1941">
        <f>_xll.cw_map("BR","40-TRANS-&gt;3-2190-8")</f>
        <v>0</v>
      </c>
      <c r="K180" s="1663">
        <f>SUM(C180:J180)</f>
        <v>0</v>
      </c>
      <c r="L180" s="1947">
        <f>+'[1]EstExp 11-17'!$K$180</f>
        <v>0</v>
      </c>
    </row>
    <row r="181" spans="1:14" ht="15.75" customHeight="1" thickTop="1">
      <c r="A181" s="599" t="s">
        <v>633</v>
      </c>
      <c r="B181" s="649"/>
      <c r="C181" s="555"/>
      <c r="D181" s="555"/>
      <c r="E181" s="555"/>
      <c r="F181" s="555"/>
      <c r="G181" s="555"/>
      <c r="H181" s="555"/>
      <c r="I181" s="466"/>
      <c r="J181" s="466"/>
      <c r="K181" s="555"/>
      <c r="L181" s="555"/>
    </row>
    <row r="182" spans="1:14" ht="12.75" customHeight="1" thickBot="1">
      <c r="A182" s="1496" t="s">
        <v>1010</v>
      </c>
      <c r="B182" s="589">
        <v>2550</v>
      </c>
      <c r="C182" s="1947">
        <f>_xll.cw_map("BR","40-TRANS-&gt;3-2550-1")</f>
        <v>12500</v>
      </c>
      <c r="D182" s="1947">
        <f>_xll.cw_map("BR","40-TRANS-&gt;3-2550-2")</f>
        <v>0</v>
      </c>
      <c r="E182" s="1947">
        <f>_xll.cw_map("BR","40-TRANS-&gt;3-2550-3")+63688</f>
        <v>4799250</v>
      </c>
      <c r="F182" s="1947">
        <f>_xll.cw_map("BR","40-TRANS-&gt;3-2550-4")</f>
        <v>11541</v>
      </c>
      <c r="G182" s="1947"/>
      <c r="H182" s="1947">
        <f>_xll.cw_map("BR","40-TRANS-&gt;3-2550-6")</f>
        <v>0</v>
      </c>
      <c r="I182" s="1941">
        <f>_xll.cw_map("BR","40-TRANS-&gt;3-2550-7")</f>
        <v>0</v>
      </c>
      <c r="J182" s="1941">
        <f>_xll.cw_map("BR","40-TRANS-&gt;3-2550-8")</f>
        <v>0</v>
      </c>
      <c r="K182" s="1663">
        <f>SUM(C182:J182)</f>
        <v>4823291</v>
      </c>
      <c r="L182" s="1947">
        <f>+'[1]EstExp 11-17'!$K$182</f>
        <v>4809729</v>
      </c>
    </row>
    <row r="183" spans="1:14" ht="12.75" customHeight="1" thickTop="1" thickBot="1">
      <c r="A183" s="1501" t="s">
        <v>1037</v>
      </c>
      <c r="B183" s="650">
        <v>2900</v>
      </c>
      <c r="C183" s="1946">
        <f>_xll.cw_map("BR","40-TRANS-&gt;3-2900-1")</f>
        <v>0</v>
      </c>
      <c r="D183" s="1946">
        <f>_xll.cw_map("BR","40-TRANS-&gt;3-2900-2")</f>
        <v>0</v>
      </c>
      <c r="E183" s="1946">
        <f>_xll.cw_map("BR","40-TRANS-&gt;3-2900-3")</f>
        <v>0</v>
      </c>
      <c r="F183" s="1946">
        <f>_xll.cw_map("BR","40-TRANS-&gt;3-2900-4")</f>
        <v>0</v>
      </c>
      <c r="G183" s="1946">
        <f>_xll.cw_map("BR","40-TRANS-&gt;3-2900-5")</f>
        <v>0</v>
      </c>
      <c r="H183" s="1946">
        <f>_xll.cw_map("BR","40-TRANS-&gt;3-2900-6")</f>
        <v>0</v>
      </c>
      <c r="I183" s="1942">
        <f>_xll.cw_map("BR","40-TRANS-&gt;3-2900-7")</f>
        <v>0</v>
      </c>
      <c r="J183" s="1942">
        <f>_xll.cw_map("BR","40-TRANS-&gt;3-2900-8")</f>
        <v>0</v>
      </c>
      <c r="K183" s="1669">
        <f>SUM(C183:J183)</f>
        <v>0</v>
      </c>
      <c r="L183" s="1946">
        <f>+'[1]EstExp 11-17'!$K$183</f>
        <v>0</v>
      </c>
    </row>
    <row r="184" spans="1:14" ht="12.75" customHeight="1" thickTop="1" thickBot="1">
      <c r="A184" s="1683" t="s">
        <v>865</v>
      </c>
      <c r="B184" s="1661" t="s">
        <v>590</v>
      </c>
      <c r="C184" s="1669">
        <f>SUM(C180,C182,C183)</f>
        <v>12500</v>
      </c>
      <c r="D184" s="1669">
        <f t="shared" ref="D184:J184" si="17">SUM(D180,D182,D183)</f>
        <v>0</v>
      </c>
      <c r="E184" s="1669">
        <f t="shared" si="17"/>
        <v>4799250</v>
      </c>
      <c r="F184" s="1669">
        <f t="shared" si="17"/>
        <v>11541</v>
      </c>
      <c r="G184" s="1669">
        <f t="shared" si="17"/>
        <v>0</v>
      </c>
      <c r="H184" s="1669">
        <f t="shared" si="17"/>
        <v>0</v>
      </c>
      <c r="I184" s="1669">
        <f t="shared" si="17"/>
        <v>0</v>
      </c>
      <c r="J184" s="1669">
        <f t="shared" si="17"/>
        <v>0</v>
      </c>
      <c r="K184" s="1669">
        <f>SUM(K180,K182,K183)</f>
        <v>4823291</v>
      </c>
      <c r="L184" s="1669">
        <f>SUM(L180, L182:L183)</f>
        <v>4809729</v>
      </c>
    </row>
    <row r="185" spans="1:14" ht="15.75" customHeight="1" thickTop="1" thickBot="1">
      <c r="A185" s="1614" t="s">
        <v>996</v>
      </c>
      <c r="B185" s="1603">
        <v>3000</v>
      </c>
      <c r="C185" s="1967">
        <f>_xll.cw_map("BR","40-TRANS-&gt;3-3000-1")</f>
        <v>0</v>
      </c>
      <c r="D185" s="1967">
        <f>_xll.cw_map("BR","40-TRANS-&gt;3-3000-2")</f>
        <v>0</v>
      </c>
      <c r="E185" s="1967">
        <f>_xll.cw_map("BR","40-TRANS-&gt;3-3000-3")</f>
        <v>0</v>
      </c>
      <c r="F185" s="1967">
        <f>_xll.cw_map("BR","40-TRANS-&gt;3-3000-4")</f>
        <v>0</v>
      </c>
      <c r="G185" s="1967">
        <f>_xll.cw_map("BR","40-TRANS-&gt;3-3000-5")</f>
        <v>0</v>
      </c>
      <c r="H185" s="1967">
        <f>_xll.cw_map("BR","40-TRANS-&gt;3-3000-6")</f>
        <v>0</v>
      </c>
      <c r="I185" s="1966">
        <f>_xll.cw_map("BR","40-TRANS-&gt;3-3000-7")</f>
        <v>0</v>
      </c>
      <c r="J185" s="1966">
        <f>_xll.cw_map("BR","40-TRANS-&gt;3-3000-8")</f>
        <v>0</v>
      </c>
      <c r="K185" s="1662">
        <f>SUM(C185:J185)</f>
        <v>0</v>
      </c>
      <c r="L185" s="1944">
        <f>+'[1]EstExp 11-17'!$K$185</f>
        <v>0</v>
      </c>
    </row>
    <row r="186" spans="1:14" s="647" customFormat="1" ht="15.75" customHeight="1" thickTop="1">
      <c r="A186" s="1598" t="s">
        <v>93</v>
      </c>
      <c r="B186" s="1601" t="s">
        <v>915</v>
      </c>
      <c r="C186" s="591"/>
      <c r="D186" s="591"/>
      <c r="E186" s="591"/>
      <c r="F186" s="591"/>
      <c r="G186" s="591"/>
      <c r="H186" s="591"/>
      <c r="I186" s="591"/>
      <c r="J186" s="591"/>
      <c r="K186" s="591"/>
      <c r="L186" s="591"/>
      <c r="M186" s="638"/>
      <c r="N186" s="638"/>
    </row>
    <row r="187" spans="1:14" s="647" customFormat="1" ht="15.75" customHeight="1">
      <c r="A187" s="596" t="s">
        <v>1193</v>
      </c>
      <c r="B187" s="597"/>
      <c r="C187" s="591"/>
      <c r="D187" s="591"/>
      <c r="E187" s="591"/>
      <c r="F187" s="591"/>
      <c r="G187" s="591"/>
      <c r="H187" s="591"/>
      <c r="I187" s="591"/>
      <c r="J187" s="591"/>
      <c r="K187" s="591"/>
      <c r="L187" s="591"/>
      <c r="M187" s="638"/>
      <c r="N187" s="638"/>
    </row>
    <row r="188" spans="1:14">
      <c r="A188" s="1496" t="s">
        <v>517</v>
      </c>
      <c r="B188" s="589">
        <v>4110</v>
      </c>
      <c r="C188" s="591"/>
      <c r="D188" s="591"/>
      <c r="E188" s="1927">
        <f>_xll.cw_map("BR","40-TRANS-&gt;3-4110-3")</f>
        <v>0</v>
      </c>
      <c r="F188" s="591"/>
      <c r="G188" s="591"/>
      <c r="H188" s="1927">
        <f>_xll.cw_map("BR","40-TRANS-&gt;3-4110-6")</f>
        <v>0</v>
      </c>
      <c r="I188" s="473"/>
      <c r="J188" s="591"/>
      <c r="K188" s="1663">
        <f t="shared" ref="K188:K193" si="18">SUM(E188,H188)</f>
        <v>0</v>
      </c>
      <c r="L188" s="1927">
        <f>+'[1]EstExp 11-17'!$K$188</f>
        <v>0</v>
      </c>
    </row>
    <row r="189" spans="1:14">
      <c r="A189" s="1496" t="s">
        <v>322</v>
      </c>
      <c r="B189" s="589">
        <v>4120</v>
      </c>
      <c r="C189" s="591"/>
      <c r="D189" s="591"/>
      <c r="E189" s="1927">
        <f>_xll.cw_map("BR","40-TRANS-&gt;3-4120-3")</f>
        <v>0</v>
      </c>
      <c r="F189" s="591"/>
      <c r="G189" s="591"/>
      <c r="H189" s="1927">
        <f>_xll.cw_map("BR","40-TRANS-&gt;3-4120-6")</f>
        <v>0</v>
      </c>
      <c r="I189" s="473"/>
      <c r="J189" s="591"/>
      <c r="K189" s="1663">
        <f t="shared" si="18"/>
        <v>0</v>
      </c>
      <c r="L189" s="1927">
        <f>+'[1]EstExp 11-17'!$K$189</f>
        <v>0</v>
      </c>
    </row>
    <row r="190" spans="1:14">
      <c r="A190" s="1496" t="s">
        <v>323</v>
      </c>
      <c r="B190" s="603">
        <v>4130</v>
      </c>
      <c r="C190" s="591"/>
      <c r="D190" s="591"/>
      <c r="E190" s="1927">
        <f>_xll.cw_map("BR","40-TRANS-&gt;3-4130-3")</f>
        <v>0</v>
      </c>
      <c r="F190" s="591"/>
      <c r="G190" s="591"/>
      <c r="H190" s="1927">
        <f>_xll.cw_map("BR","40-TRANS-&gt;3-4130-6")</f>
        <v>0</v>
      </c>
      <c r="I190" s="473"/>
      <c r="J190" s="591"/>
      <c r="K190" s="1663">
        <f t="shared" si="18"/>
        <v>0</v>
      </c>
      <c r="L190" s="1927">
        <f>+'[1]EstExp 11-17'!$K$190</f>
        <v>0</v>
      </c>
    </row>
    <row r="191" spans="1:14">
      <c r="A191" s="1496" t="s">
        <v>721</v>
      </c>
      <c r="B191" s="589">
        <v>4140</v>
      </c>
      <c r="C191" s="591"/>
      <c r="D191" s="591"/>
      <c r="E191" s="1927">
        <f>_xll.cw_map("BR","40-TRANS-&gt;3-4140-3")</f>
        <v>0</v>
      </c>
      <c r="F191" s="591"/>
      <c r="G191" s="591"/>
      <c r="H191" s="1927">
        <f>_xll.cw_map("BR","40-TRANS-&gt;3-4140-6")</f>
        <v>0</v>
      </c>
      <c r="I191" s="473"/>
      <c r="J191" s="591"/>
      <c r="K191" s="1663">
        <f t="shared" si="18"/>
        <v>0</v>
      </c>
      <c r="L191" s="1927">
        <f>+'[1]EstExp 11-17'!$K$191</f>
        <v>0</v>
      </c>
    </row>
    <row r="192" spans="1:14">
      <c r="A192" s="1496" t="s">
        <v>88</v>
      </c>
      <c r="B192" s="589">
        <v>4170</v>
      </c>
      <c r="C192" s="591"/>
      <c r="D192" s="591"/>
      <c r="E192" s="1927">
        <f>_xll.cw_map("BR","40-TRANS-&gt;3-4170-3")</f>
        <v>0</v>
      </c>
      <c r="F192" s="591"/>
      <c r="G192" s="591"/>
      <c r="H192" s="1927">
        <f>_xll.cw_map("BR","40-TRANS-&gt;3-4170-6")</f>
        <v>0</v>
      </c>
      <c r="I192" s="473"/>
      <c r="J192" s="591"/>
      <c r="K192" s="1663">
        <f t="shared" si="18"/>
        <v>0</v>
      </c>
      <c r="L192" s="1927">
        <f>+'[1]EstExp 11-17'!$K$192</f>
        <v>0</v>
      </c>
    </row>
    <row r="193" spans="1:14">
      <c r="A193" s="1500" t="s">
        <v>722</v>
      </c>
      <c r="B193" s="603">
        <v>4190</v>
      </c>
      <c r="C193" s="591"/>
      <c r="D193" s="591"/>
      <c r="E193" s="1927">
        <f>_xll.cw_map("BR","40-TRANS-&gt;3-4190-3")</f>
        <v>0</v>
      </c>
      <c r="F193" s="591"/>
      <c r="G193" s="591"/>
      <c r="H193" s="1927">
        <f>_xll.cw_map("BR","40-TRANS-&gt;3-4190-6")</f>
        <v>0</v>
      </c>
      <c r="I193" s="473"/>
      <c r="J193" s="591"/>
      <c r="K193" s="1663">
        <f t="shared" si="18"/>
        <v>0</v>
      </c>
      <c r="L193" s="1927">
        <f>+'[1]EstExp 11-17'!$K$193</f>
        <v>0</v>
      </c>
    </row>
    <row r="194" spans="1:14" ht="12.75" customHeight="1" thickBot="1">
      <c r="A194" s="1660" t="s">
        <v>1202</v>
      </c>
      <c r="B194" s="1661" t="s">
        <v>580</v>
      </c>
      <c r="C194" s="591"/>
      <c r="D194" s="591"/>
      <c r="E194" s="1662">
        <f>SUM(E188:E193)</f>
        <v>0</v>
      </c>
      <c r="F194" s="591"/>
      <c r="G194" s="591"/>
      <c r="H194" s="1662">
        <f>SUM(H188:H193)</f>
        <v>0</v>
      </c>
      <c r="I194" s="473"/>
      <c r="J194" s="591"/>
      <c r="K194" s="1662">
        <f>SUM(K188:K193)</f>
        <v>0</v>
      </c>
      <c r="L194" s="1662">
        <f>SUM(L188:L193)</f>
        <v>0</v>
      </c>
    </row>
    <row r="195" spans="1:14" ht="15.75" customHeight="1" thickTop="1" thickBot="1">
      <c r="A195" s="642" t="s">
        <v>94</v>
      </c>
      <c r="B195" s="651" t="s">
        <v>988</v>
      </c>
      <c r="C195" s="591"/>
      <c r="D195" s="591"/>
      <c r="E195" s="1944">
        <f>_xll.cw_map("BR","40-TRANS-&gt;3-4400-3")</f>
        <v>0</v>
      </c>
      <c r="F195" s="591"/>
      <c r="G195" s="591"/>
      <c r="H195" s="1944">
        <f>_xll.cw_map("BR","40-TRANS-&gt;3-4400-6")</f>
        <v>0</v>
      </c>
      <c r="I195" s="473"/>
      <c r="J195" s="591"/>
      <c r="K195" s="1677">
        <f>SUM(E195,H195)</f>
        <v>0</v>
      </c>
      <c r="L195" s="1944">
        <f>+'[1]EstExp 11-17'!$K$195</f>
        <v>0</v>
      </c>
    </row>
    <row r="196" spans="1:14" ht="12.75" customHeight="1" thickTop="1" thickBot="1">
      <c r="A196" s="1660" t="s">
        <v>1567</v>
      </c>
      <c r="B196" s="1661" t="s">
        <v>915</v>
      </c>
      <c r="C196" s="591"/>
      <c r="D196" s="591"/>
      <c r="E196" s="1669">
        <f>SUM(E194,E195)</f>
        <v>0</v>
      </c>
      <c r="F196" s="591"/>
      <c r="G196" s="591"/>
      <c r="H196" s="1669">
        <f>SUM(H194,H195)</f>
        <v>0</v>
      </c>
      <c r="I196" s="473"/>
      <c r="J196" s="591"/>
      <c r="K196" s="1669">
        <f>SUM(K194,K195)</f>
        <v>0</v>
      </c>
      <c r="L196" s="1669">
        <f>SUM(L194,L195)</f>
        <v>0</v>
      </c>
    </row>
    <row r="197" spans="1:14" s="647" customFormat="1" ht="15.75" customHeight="1" thickTop="1">
      <c r="A197" s="1604" t="s">
        <v>997</v>
      </c>
      <c r="B197" s="1601" t="s">
        <v>513</v>
      </c>
      <c r="C197" s="591"/>
      <c r="D197" s="591"/>
      <c r="E197" s="591"/>
      <c r="F197" s="591"/>
      <c r="G197" s="591"/>
      <c r="H197" s="591"/>
      <c r="I197" s="591"/>
      <c r="J197" s="591"/>
      <c r="K197" s="591"/>
      <c r="L197" s="591"/>
      <c r="M197" s="638"/>
      <c r="N197" s="638"/>
    </row>
    <row r="198" spans="1:14" s="647" customFormat="1" ht="15.75" customHeight="1">
      <c r="A198" s="627" t="s">
        <v>95</v>
      </c>
      <c r="B198" s="597"/>
      <c r="C198" s="591"/>
      <c r="D198" s="591"/>
      <c r="E198" s="591"/>
      <c r="F198" s="591"/>
      <c r="G198" s="591"/>
      <c r="H198" s="591"/>
      <c r="I198" s="591"/>
      <c r="J198" s="591"/>
      <c r="K198" s="591"/>
      <c r="L198" s="591"/>
      <c r="M198" s="638"/>
      <c r="N198" s="638"/>
    </row>
    <row r="199" spans="1:14">
      <c r="A199" s="1496" t="s">
        <v>89</v>
      </c>
      <c r="B199" s="589">
        <v>5110</v>
      </c>
      <c r="C199" s="591"/>
      <c r="D199" s="591"/>
      <c r="E199" s="591"/>
      <c r="F199" s="591"/>
      <c r="G199" s="591"/>
      <c r="H199" s="1927">
        <f>_xll.cw_map("BR","40-TRANS-&gt;3-5110-6")</f>
        <v>0</v>
      </c>
      <c r="I199" s="591"/>
      <c r="J199" s="591"/>
      <c r="K199" s="1663">
        <f>SUM(H199)</f>
        <v>0</v>
      </c>
      <c r="L199" s="1927">
        <f>+'[1]EstExp 11-17'!$K$199</f>
        <v>0</v>
      </c>
    </row>
    <row r="200" spans="1:14">
      <c r="A200" s="1496" t="s">
        <v>90</v>
      </c>
      <c r="B200" s="589">
        <v>5120</v>
      </c>
      <c r="C200" s="591"/>
      <c r="D200" s="591"/>
      <c r="E200" s="591"/>
      <c r="F200" s="591"/>
      <c r="G200" s="591"/>
      <c r="H200" s="1927">
        <f>_xll.cw_map("BR","40-TRANS-&gt;3-5120-6")</f>
        <v>0</v>
      </c>
      <c r="I200" s="591"/>
      <c r="J200" s="591"/>
      <c r="K200" s="1663">
        <f>SUM(H200)</f>
        <v>0</v>
      </c>
      <c r="L200" s="1927">
        <f>+'[1]EstExp 11-17'!$K$200</f>
        <v>0</v>
      </c>
    </row>
    <row r="201" spans="1:14" ht="12.75" customHeight="1">
      <c r="A201" s="1496" t="s">
        <v>1232</v>
      </c>
      <c r="B201" s="603" t="s">
        <v>638</v>
      </c>
      <c r="C201" s="591"/>
      <c r="D201" s="591"/>
      <c r="E201" s="591"/>
      <c r="F201" s="591"/>
      <c r="G201" s="591"/>
      <c r="H201" s="1927">
        <f>_xll.cw_map("BR","40-TRANS-&gt;3-5130-6")</f>
        <v>0</v>
      </c>
      <c r="I201" s="591"/>
      <c r="J201" s="591"/>
      <c r="K201" s="1663">
        <f>SUM(H201)</f>
        <v>0</v>
      </c>
      <c r="L201" s="1927">
        <f>+'[1]EstExp 11-17'!$K$201</f>
        <v>0</v>
      </c>
    </row>
    <row r="202" spans="1:14">
      <c r="A202" s="1496" t="s">
        <v>91</v>
      </c>
      <c r="B202" s="589" t="s">
        <v>610</v>
      </c>
      <c r="C202" s="591"/>
      <c r="D202" s="591"/>
      <c r="E202" s="591"/>
      <c r="F202" s="591"/>
      <c r="G202" s="591"/>
      <c r="H202" s="1927">
        <f>_xll.cw_map("BR","40-TRANS-&gt;3-5140-6")</f>
        <v>0</v>
      </c>
      <c r="I202" s="591"/>
      <c r="J202" s="591"/>
      <c r="K202" s="1663">
        <f>SUM(H202)</f>
        <v>0</v>
      </c>
      <c r="L202" s="1927">
        <f>+'[1]EstExp 11-17'!$K$202</f>
        <v>0</v>
      </c>
    </row>
    <row r="203" spans="1:14">
      <c r="A203" s="1508" t="s">
        <v>640</v>
      </c>
      <c r="B203" s="589" t="s">
        <v>639</v>
      </c>
      <c r="C203" s="591"/>
      <c r="D203" s="591"/>
      <c r="E203" s="591"/>
      <c r="F203" s="591"/>
      <c r="G203" s="591"/>
      <c r="H203" s="1937">
        <f>_xll.cw_map("BR","40-TRANS-&gt;3-5150-6")</f>
        <v>0</v>
      </c>
      <c r="I203" s="591"/>
      <c r="J203" s="591"/>
      <c r="K203" s="1663">
        <f>SUM(H203)</f>
        <v>0</v>
      </c>
      <c r="L203" s="1937">
        <f>+'[1]EstExp 11-17'!$K$203</f>
        <v>0</v>
      </c>
    </row>
    <row r="204" spans="1:14" ht="13.5" thickBot="1">
      <c r="A204" s="1660" t="s">
        <v>294</v>
      </c>
      <c r="B204" s="1661" t="s">
        <v>742</v>
      </c>
      <c r="C204" s="591"/>
      <c r="D204" s="591"/>
      <c r="E204" s="591"/>
      <c r="F204" s="591"/>
      <c r="G204" s="591"/>
      <c r="H204" s="1662">
        <f>SUM(H199:H203)</f>
        <v>0</v>
      </c>
      <c r="I204" s="591"/>
      <c r="J204" s="591"/>
      <c r="K204" s="1662">
        <f>SUM(K199:K203)</f>
        <v>0</v>
      </c>
      <c r="L204" s="1662">
        <f>SUM(L199:L203)</f>
        <v>0</v>
      </c>
    </row>
    <row r="205" spans="1:14" ht="15.75" customHeight="1" thickTop="1" thickBot="1">
      <c r="A205" s="652" t="s">
        <v>85</v>
      </c>
      <c r="B205" s="653" t="s">
        <v>38</v>
      </c>
      <c r="C205" s="591"/>
      <c r="D205" s="591"/>
      <c r="E205" s="591"/>
      <c r="F205" s="591"/>
      <c r="G205" s="591"/>
      <c r="H205" s="1940">
        <f>_xll.cw_map("BR","40-TRANS-&gt;3-5200-6")</f>
        <v>0</v>
      </c>
      <c r="I205" s="591"/>
      <c r="J205" s="591"/>
      <c r="K205" s="1677">
        <f>SUM(H205)</f>
        <v>0</v>
      </c>
      <c r="L205" s="1940">
        <f>+'[1]EstExp 11-17'!$K$205</f>
        <v>0</v>
      </c>
    </row>
    <row r="206" spans="1:14" ht="30" customHeight="1" thickTop="1" thickBot="1">
      <c r="A206" s="654" t="s">
        <v>1770</v>
      </c>
      <c r="B206" s="645" t="s">
        <v>31</v>
      </c>
      <c r="C206" s="591"/>
      <c r="D206" s="591"/>
      <c r="E206" s="591"/>
      <c r="F206" s="591"/>
      <c r="G206" s="591"/>
      <c r="H206" s="1946">
        <f>_xll.cw_map("BR","40-TRANS-&gt;3-5300-6")</f>
        <v>0</v>
      </c>
      <c r="I206" s="591"/>
      <c r="J206" s="591"/>
      <c r="K206" s="1663">
        <f>SUM(H206)</f>
        <v>0</v>
      </c>
      <c r="L206" s="1946">
        <f>+'[1]EstExp 11-17'!$K$206</f>
        <v>0</v>
      </c>
    </row>
    <row r="207" spans="1:14" ht="15.75" customHeight="1" thickTop="1" thickBot="1">
      <c r="A207" s="596" t="s">
        <v>790</v>
      </c>
      <c r="B207" s="645" t="s">
        <v>86</v>
      </c>
      <c r="C207" s="591"/>
      <c r="D207" s="591"/>
      <c r="E207" s="591"/>
      <c r="F207" s="591"/>
      <c r="G207" s="591"/>
      <c r="H207" s="1940">
        <f>_xll.cw_map("BR","40-TRANS-&gt;3-5400-6")</f>
        <v>0</v>
      </c>
      <c r="I207" s="591"/>
      <c r="J207" s="591"/>
      <c r="K207" s="1663">
        <f>H207</f>
        <v>0</v>
      </c>
      <c r="L207" s="1946">
        <f>+'[1]EstExp 11-17'!$K$207</f>
        <v>0</v>
      </c>
    </row>
    <row r="208" spans="1:14" ht="12.75" customHeight="1" thickTop="1" thickBot="1">
      <c r="A208" s="1678" t="s">
        <v>659</v>
      </c>
      <c r="B208" s="1679" t="s">
        <v>513</v>
      </c>
      <c r="C208" s="591"/>
      <c r="D208" s="591"/>
      <c r="E208" s="591"/>
      <c r="F208" s="591"/>
      <c r="G208" s="591"/>
      <c r="H208" s="1669">
        <f>SUM(H204,H205,H206,H207)</f>
        <v>0</v>
      </c>
      <c r="I208" s="591"/>
      <c r="J208" s="591"/>
      <c r="K208" s="1669">
        <f>SUM(K204,K205,K206,K207)</f>
        <v>0</v>
      </c>
      <c r="L208" s="1669">
        <f>SUM(L204,L205,L206,L207)</f>
        <v>0</v>
      </c>
    </row>
    <row r="209" spans="1:14" ht="15.75" customHeight="1" thickTop="1" thickBot="1">
      <c r="A209" s="1598" t="s">
        <v>927</v>
      </c>
      <c r="B209" s="1605" t="s">
        <v>916</v>
      </c>
      <c r="C209" s="598"/>
      <c r="D209" s="598"/>
      <c r="E209" s="598"/>
      <c r="F209" s="598"/>
      <c r="G209" s="598"/>
      <c r="H209" s="598"/>
      <c r="I209" s="591"/>
      <c r="J209" s="591"/>
      <c r="K209" s="598"/>
      <c r="L209" s="1944">
        <f>+'[1]EstExp 11-17'!$K$209</f>
        <v>0</v>
      </c>
    </row>
    <row r="210" spans="1:14" ht="12.75" customHeight="1" thickTop="1" thickBot="1">
      <c r="A210" s="1684" t="s">
        <v>295</v>
      </c>
      <c r="B210" s="1685"/>
      <c r="C210" s="1662">
        <f>SUM(C184,C185)</f>
        <v>12500</v>
      </c>
      <c r="D210" s="1662">
        <f>SUM(D184,D185)</f>
        <v>0</v>
      </c>
      <c r="E210" s="1662">
        <f>SUM(E184,E185,E196)</f>
        <v>4799250</v>
      </c>
      <c r="F210" s="1662">
        <f>SUM(F184,F185)</f>
        <v>11541</v>
      </c>
      <c r="G210" s="1662">
        <f>SUM(G184,G185)</f>
        <v>0</v>
      </c>
      <c r="H210" s="1662">
        <f>SUM(H184,H185,H196,H208,H209)</f>
        <v>0</v>
      </c>
      <c r="I210" s="1662">
        <f>SUM(I184,I185)</f>
        <v>0</v>
      </c>
      <c r="J210" s="1662">
        <f>SUM(J184,J185)</f>
        <v>0</v>
      </c>
      <c r="K210" s="1663">
        <f>SUM(K184,K185,K196,K208,K209)</f>
        <v>4823291</v>
      </c>
      <c r="L210" s="1662">
        <f>SUM(L184,L185,L196,L208,L209)</f>
        <v>4809729</v>
      </c>
    </row>
    <row r="211" spans="1:14" ht="13.5" thickTop="1">
      <c r="A211" s="2189" t="s">
        <v>1053</v>
      </c>
      <c r="B211" s="2190"/>
      <c r="C211" s="593"/>
      <c r="D211" s="593"/>
      <c r="E211" s="593"/>
      <c r="F211" s="593"/>
      <c r="G211" s="593"/>
      <c r="H211" s="593"/>
      <c r="I211" s="591"/>
      <c r="J211" s="591"/>
      <c r="K211" s="1676">
        <f>'Revenues 9-14'!F275-'Expenditures 15-22'!K210</f>
        <v>1694407</v>
      </c>
      <c r="L211" s="593"/>
    </row>
    <row r="212" spans="1:14" s="639" customFormat="1" ht="9" customHeight="1">
      <c r="A212" s="636"/>
      <c r="B212" s="646"/>
      <c r="C212" s="624"/>
      <c r="D212" s="624"/>
      <c r="E212" s="624"/>
      <c r="F212" s="624"/>
      <c r="G212" s="624"/>
      <c r="H212" s="624"/>
      <c r="I212" s="624"/>
      <c r="J212" s="624"/>
      <c r="K212" s="624"/>
      <c r="L212" s="624"/>
      <c r="M212" s="638"/>
      <c r="N212" s="638"/>
    </row>
    <row r="213" spans="1:14" s="342" customFormat="1" ht="16.7" customHeight="1">
      <c r="A213" s="2211" t="s">
        <v>1022</v>
      </c>
      <c r="B213" s="2212"/>
      <c r="C213" s="1543"/>
      <c r="D213" s="1544"/>
      <c r="E213" s="1544"/>
      <c r="F213" s="1544"/>
      <c r="G213" s="1544"/>
      <c r="H213" s="1544"/>
      <c r="I213" s="1544"/>
      <c r="J213" s="1544"/>
      <c r="K213" s="1544"/>
      <c r="L213" s="1545"/>
      <c r="M213" s="584"/>
      <c r="N213" s="584"/>
    </row>
    <row r="214" spans="1:14" s="647" customFormat="1" ht="15.75" customHeight="1">
      <c r="A214" s="1615" t="s">
        <v>928</v>
      </c>
      <c r="B214" s="1607" t="s">
        <v>591</v>
      </c>
      <c r="C214" s="591"/>
      <c r="D214" s="598"/>
      <c r="E214" s="591"/>
      <c r="F214" s="591"/>
      <c r="G214" s="591"/>
      <c r="H214" s="591"/>
      <c r="I214" s="591"/>
      <c r="J214" s="591"/>
      <c r="K214" s="598"/>
      <c r="L214" s="598"/>
      <c r="M214" s="638"/>
      <c r="N214" s="638"/>
    </row>
    <row r="215" spans="1:14">
      <c r="A215" s="1496" t="s">
        <v>1018</v>
      </c>
      <c r="B215" s="589">
        <v>1100</v>
      </c>
      <c r="C215" s="591"/>
      <c r="D215" s="1927">
        <f>_xll.cw_map("BR","50-IMRF-&gt;3-1100-2")</f>
        <v>220528</v>
      </c>
      <c r="E215" s="591"/>
      <c r="F215" s="591"/>
      <c r="G215" s="591"/>
      <c r="H215" s="591"/>
      <c r="I215" s="591"/>
      <c r="J215" s="591"/>
      <c r="K215" s="1663">
        <f>D215</f>
        <v>220528</v>
      </c>
      <c r="L215" s="1927">
        <f>+'[1]EstExp 11-17'!$K$215</f>
        <v>229914</v>
      </c>
    </row>
    <row r="216" spans="1:14">
      <c r="A216" s="1496" t="s">
        <v>165</v>
      </c>
      <c r="B216" s="589" t="s">
        <v>1024</v>
      </c>
      <c r="C216" s="591"/>
      <c r="D216" s="1926">
        <f>_xll.cw_map("BR","50-IMRF-&gt;3-1125-2")</f>
        <v>0</v>
      </c>
      <c r="E216" s="591"/>
      <c r="F216" s="591"/>
      <c r="G216" s="591"/>
      <c r="H216" s="591"/>
      <c r="I216" s="591"/>
      <c r="J216" s="591"/>
      <c r="K216" s="1663">
        <f t="shared" ref="K216:K228" si="19">D216</f>
        <v>0</v>
      </c>
      <c r="L216" s="1927">
        <f>+'[1]EstExp 11-17'!$K$216</f>
        <v>0</v>
      </c>
    </row>
    <row r="217" spans="1:14">
      <c r="A217" s="1496" t="s">
        <v>166</v>
      </c>
      <c r="B217" s="589">
        <v>1200</v>
      </c>
      <c r="C217" s="591"/>
      <c r="D217" s="1927">
        <f>_xll.cw_map("BR","50-IMRF-&gt;3-1200-2")</f>
        <v>260091</v>
      </c>
      <c r="E217" s="591"/>
      <c r="F217" s="591"/>
      <c r="G217" s="591"/>
      <c r="H217" s="591"/>
      <c r="I217" s="591"/>
      <c r="J217" s="591"/>
      <c r="K217" s="1663">
        <f t="shared" si="19"/>
        <v>260091</v>
      </c>
      <c r="L217" s="1927">
        <f>+'[1]EstExp 11-17'!$K$217</f>
        <v>242247</v>
      </c>
    </row>
    <row r="218" spans="1:14">
      <c r="A218" s="1496" t="s">
        <v>296</v>
      </c>
      <c r="B218" s="589" t="s">
        <v>1025</v>
      </c>
      <c r="C218" s="591"/>
      <c r="D218" s="1926">
        <f>_xll.cw_map("BR","50-IMRF-&gt;3-1225-2")</f>
        <v>0</v>
      </c>
      <c r="E218" s="591"/>
      <c r="F218" s="591"/>
      <c r="G218" s="591"/>
      <c r="H218" s="591"/>
      <c r="I218" s="591"/>
      <c r="J218" s="591"/>
      <c r="K218" s="1663">
        <f t="shared" si="19"/>
        <v>0</v>
      </c>
      <c r="L218" s="1927">
        <f>+'[1]EstExp 11-17'!$K$218</f>
        <v>0</v>
      </c>
    </row>
    <row r="219" spans="1:14">
      <c r="A219" s="1496" t="s">
        <v>297</v>
      </c>
      <c r="B219" s="589">
        <v>1250</v>
      </c>
      <c r="C219" s="591"/>
      <c r="D219" s="1927">
        <f>_xll.cw_map("BR","50-IMRF-&gt;3-1250-2")</f>
        <v>3221</v>
      </c>
      <c r="E219" s="591"/>
      <c r="F219" s="591"/>
      <c r="G219" s="591"/>
      <c r="H219" s="591"/>
      <c r="I219" s="591"/>
      <c r="J219" s="591"/>
      <c r="K219" s="1663">
        <f t="shared" si="19"/>
        <v>3221</v>
      </c>
      <c r="L219" s="1927">
        <f>+'[1]EstExp 11-17'!$K$219</f>
        <v>3817</v>
      </c>
    </row>
    <row r="220" spans="1:14">
      <c r="A220" s="1496" t="s">
        <v>298</v>
      </c>
      <c r="B220" s="589" t="s">
        <v>163</v>
      </c>
      <c r="C220" s="591"/>
      <c r="D220" s="1926">
        <f>_xll.cw_map("BR","50-IMRF-&gt;3-1275-2")</f>
        <v>0</v>
      </c>
      <c r="E220" s="591"/>
      <c r="F220" s="591"/>
      <c r="G220" s="591"/>
      <c r="H220" s="591"/>
      <c r="I220" s="591"/>
      <c r="J220" s="591"/>
      <c r="K220" s="1663">
        <f t="shared" si="19"/>
        <v>0</v>
      </c>
      <c r="L220" s="1927">
        <f>+'[1]EstExp 11-17'!$K$220</f>
        <v>0</v>
      </c>
    </row>
    <row r="221" spans="1:14">
      <c r="A221" s="1496" t="s">
        <v>1019</v>
      </c>
      <c r="B221" s="589">
        <v>1300</v>
      </c>
      <c r="C221" s="591"/>
      <c r="D221" s="1927">
        <f>_xll.cw_map("BR","50-IMRF-&gt;3-1300-2")</f>
        <v>0</v>
      </c>
      <c r="E221" s="591"/>
      <c r="F221" s="591"/>
      <c r="G221" s="591"/>
      <c r="H221" s="591"/>
      <c r="I221" s="591"/>
      <c r="J221" s="591"/>
      <c r="K221" s="1663">
        <f t="shared" si="19"/>
        <v>0</v>
      </c>
      <c r="L221" s="1927">
        <f>+'[1]EstExp 11-17'!$K$221</f>
        <v>0</v>
      </c>
    </row>
    <row r="222" spans="1:14">
      <c r="A222" s="1496" t="s">
        <v>747</v>
      </c>
      <c r="B222" s="589">
        <v>1400</v>
      </c>
      <c r="C222" s="591"/>
      <c r="D222" s="1927">
        <f>_xll.cw_map("BR","50-IMRF-&gt;3-1400-2")</f>
        <v>9010</v>
      </c>
      <c r="E222" s="591"/>
      <c r="F222" s="591"/>
      <c r="G222" s="591"/>
      <c r="H222" s="591"/>
      <c r="I222" s="591"/>
      <c r="J222" s="591"/>
      <c r="K222" s="1663">
        <f t="shared" si="19"/>
        <v>9010</v>
      </c>
      <c r="L222" s="1927">
        <f>+'[1]EstExp 11-17'!$K$222</f>
        <v>16961</v>
      </c>
    </row>
    <row r="223" spans="1:14">
      <c r="A223" s="1496" t="s">
        <v>1020</v>
      </c>
      <c r="B223" s="589">
        <v>1500</v>
      </c>
      <c r="C223" s="591"/>
      <c r="D223" s="1927">
        <f>_xll.cw_map("BR","50-IMRF-&gt;3-1500-2")</f>
        <v>164623</v>
      </c>
      <c r="E223" s="591"/>
      <c r="F223" s="591"/>
      <c r="G223" s="591"/>
      <c r="H223" s="591"/>
      <c r="I223" s="591"/>
      <c r="J223" s="591"/>
      <c r="K223" s="1663">
        <f t="shared" si="19"/>
        <v>164623</v>
      </c>
      <c r="L223" s="1927">
        <f>+'[1]EstExp 11-17'!$K$223</f>
        <v>162248</v>
      </c>
    </row>
    <row r="224" spans="1:14">
      <c r="A224" s="1496" t="s">
        <v>1021</v>
      </c>
      <c r="B224" s="589">
        <v>1600</v>
      </c>
      <c r="C224" s="591"/>
      <c r="D224" s="1927">
        <f>_xll.cw_map("BR","50-IMRF-&gt;3-1600-2")</f>
        <v>6009</v>
      </c>
      <c r="E224" s="591"/>
      <c r="F224" s="591"/>
      <c r="G224" s="591"/>
      <c r="H224" s="591"/>
      <c r="I224" s="591"/>
      <c r="J224" s="591"/>
      <c r="K224" s="1663">
        <f t="shared" si="19"/>
        <v>6009</v>
      </c>
      <c r="L224" s="1927">
        <f>+'[1]EstExp 11-17'!$K$224</f>
        <v>6366</v>
      </c>
    </row>
    <row r="225" spans="1:12">
      <c r="A225" s="1496" t="s">
        <v>1044</v>
      </c>
      <c r="B225" s="589">
        <v>1650</v>
      </c>
      <c r="C225" s="591"/>
      <c r="D225" s="1927">
        <f>_xll.cw_map("BR","50-IMRF-&gt;3-1650-2")</f>
        <v>0</v>
      </c>
      <c r="E225" s="591"/>
      <c r="F225" s="591"/>
      <c r="G225" s="591"/>
      <c r="H225" s="591"/>
      <c r="I225" s="591"/>
      <c r="J225" s="591"/>
      <c r="K225" s="1663">
        <f t="shared" si="19"/>
        <v>0</v>
      </c>
      <c r="L225" s="1927">
        <f>+'[1]EstExp 11-17'!$K$225</f>
        <v>0</v>
      </c>
    </row>
    <row r="226" spans="1:12">
      <c r="A226" s="1496" t="s">
        <v>748</v>
      </c>
      <c r="B226" s="589" t="s">
        <v>164</v>
      </c>
      <c r="C226" s="591"/>
      <c r="D226" s="1926">
        <f>_xll.cw_map("BR","50-IMRF-&gt;3-1700-2")</f>
        <v>1073</v>
      </c>
      <c r="E226" s="591"/>
      <c r="F226" s="591"/>
      <c r="G226" s="591"/>
      <c r="H226" s="591"/>
      <c r="I226" s="591"/>
      <c r="J226" s="591"/>
      <c r="K226" s="1663">
        <f t="shared" si="19"/>
        <v>1073</v>
      </c>
      <c r="L226" s="1927">
        <f>+'[1]EstExp 11-17'!$K$226</f>
        <v>1363</v>
      </c>
    </row>
    <row r="227" spans="1:12">
      <c r="A227" s="1496" t="s">
        <v>1148</v>
      </c>
      <c r="B227" s="589">
        <v>1800</v>
      </c>
      <c r="C227" s="591"/>
      <c r="D227" s="1927">
        <f>_xll.cw_map("BR","50-IMRF-&gt;3-1800-2")</f>
        <v>0</v>
      </c>
      <c r="E227" s="591"/>
      <c r="F227" s="591"/>
      <c r="G227" s="591"/>
      <c r="H227" s="591"/>
      <c r="I227" s="591"/>
      <c r="J227" s="591"/>
      <c r="K227" s="1663">
        <f t="shared" si="19"/>
        <v>0</v>
      </c>
      <c r="L227" s="1927">
        <f>+'[1]EstExp 11-17'!$K$227</f>
        <v>316</v>
      </c>
    </row>
    <row r="228" spans="1:12">
      <c r="A228" s="1496" t="s">
        <v>1149</v>
      </c>
      <c r="B228" s="589">
        <v>1900</v>
      </c>
      <c r="C228" s="591"/>
      <c r="D228" s="1927">
        <f>_xll.cw_map("BR","50-IMRF-&gt;3-1900-2")</f>
        <v>0</v>
      </c>
      <c r="E228" s="591"/>
      <c r="F228" s="591"/>
      <c r="G228" s="591"/>
      <c r="H228" s="591"/>
      <c r="I228" s="591"/>
      <c r="J228" s="591"/>
      <c r="K228" s="1663">
        <f t="shared" si="19"/>
        <v>0</v>
      </c>
      <c r="L228" s="1927">
        <f>+'[1]EstExp 11-17'!$K$228</f>
        <v>0</v>
      </c>
    </row>
    <row r="229" spans="1:12" ht="12.75" customHeight="1" thickBot="1">
      <c r="A229" s="1660" t="s">
        <v>739</v>
      </c>
      <c r="B229" s="1667" t="s">
        <v>591</v>
      </c>
      <c r="C229" s="591"/>
      <c r="D229" s="1662">
        <f>SUM(D215:D228)</f>
        <v>664555</v>
      </c>
      <c r="E229" s="591"/>
      <c r="F229" s="591"/>
      <c r="G229" s="591"/>
      <c r="H229" s="591"/>
      <c r="I229" s="591"/>
      <c r="J229" s="591"/>
      <c r="K229" s="1662">
        <f>SUM(K215:K228)</f>
        <v>664555</v>
      </c>
      <c r="L229" s="1662">
        <f>SUM(L215:L228)</f>
        <v>663232</v>
      </c>
    </row>
    <row r="230" spans="1:12" ht="15.75" customHeight="1" thickTop="1">
      <c r="A230" s="1604" t="s">
        <v>929</v>
      </c>
      <c r="B230" s="1605" t="s">
        <v>590</v>
      </c>
      <c r="C230" s="591"/>
      <c r="D230" s="591"/>
      <c r="E230" s="591"/>
      <c r="F230" s="591"/>
      <c r="G230" s="591"/>
      <c r="H230" s="591"/>
      <c r="I230" s="591"/>
      <c r="J230" s="591"/>
      <c r="K230" s="591"/>
      <c r="L230" s="591"/>
    </row>
    <row r="231" spans="1:12" ht="15.75" customHeight="1">
      <c r="A231" s="627" t="s">
        <v>612</v>
      </c>
      <c r="B231" s="597"/>
      <c r="C231" s="591"/>
      <c r="D231" s="591"/>
      <c r="E231" s="591"/>
      <c r="F231" s="591"/>
      <c r="G231" s="591"/>
      <c r="H231" s="591"/>
      <c r="I231" s="591"/>
      <c r="J231" s="591"/>
      <c r="K231" s="591"/>
      <c r="L231" s="591"/>
    </row>
    <row r="232" spans="1:12">
      <c r="A232" s="1496" t="s">
        <v>1150</v>
      </c>
      <c r="B232" s="589">
        <v>2110</v>
      </c>
      <c r="C232" s="591"/>
      <c r="D232" s="1927">
        <f>_xll.cw_map("BR","50-IMRF-&gt;3-2110-2")</f>
        <v>26376</v>
      </c>
      <c r="E232" s="591"/>
      <c r="F232" s="591"/>
      <c r="G232" s="591"/>
      <c r="H232" s="591"/>
      <c r="I232" s="591"/>
      <c r="J232" s="591"/>
      <c r="K232" s="1663">
        <f t="shared" ref="K232:K237" si="20">D232</f>
        <v>26376</v>
      </c>
      <c r="L232" s="1927">
        <f>+'[1]EstExp 11-17'!$K$232</f>
        <v>29249</v>
      </c>
    </row>
    <row r="233" spans="1:12">
      <c r="A233" s="1496" t="s">
        <v>1151</v>
      </c>
      <c r="B233" s="589">
        <v>2120</v>
      </c>
      <c r="C233" s="591"/>
      <c r="D233" s="1927">
        <f>_xll.cw_map("BR","50-IMRF-&gt;3-2120-2")</f>
        <v>10832</v>
      </c>
      <c r="E233" s="591"/>
      <c r="F233" s="591"/>
      <c r="G233" s="591"/>
      <c r="H233" s="591"/>
      <c r="I233" s="591"/>
      <c r="J233" s="591"/>
      <c r="K233" s="1663">
        <f t="shared" si="20"/>
        <v>10832</v>
      </c>
      <c r="L233" s="1927">
        <f>+'[1]EstExp 11-17'!$K$233</f>
        <v>11238</v>
      </c>
    </row>
    <row r="234" spans="1:12">
      <c r="A234" s="1496" t="s">
        <v>207</v>
      </c>
      <c r="B234" s="589">
        <v>2130</v>
      </c>
      <c r="C234" s="591"/>
      <c r="D234" s="1927">
        <f>_xll.cw_map("BR","50-IMRF-&gt;3-2130-2")</f>
        <v>2873</v>
      </c>
      <c r="E234" s="591"/>
      <c r="F234" s="591"/>
      <c r="G234" s="591"/>
      <c r="H234" s="591"/>
      <c r="I234" s="591"/>
      <c r="J234" s="591"/>
      <c r="K234" s="1663">
        <f t="shared" si="20"/>
        <v>2873</v>
      </c>
      <c r="L234" s="1927">
        <f>+'[1]EstExp 11-17'!$K$234</f>
        <v>5211</v>
      </c>
    </row>
    <row r="235" spans="1:12">
      <c r="A235" s="1496" t="s">
        <v>208</v>
      </c>
      <c r="B235" s="589">
        <v>2140</v>
      </c>
      <c r="C235" s="591"/>
      <c r="D235" s="1927">
        <f>_xll.cw_map("BR","50-IMRF-&gt;3-2140-2")</f>
        <v>3544</v>
      </c>
      <c r="E235" s="591"/>
      <c r="F235" s="591"/>
      <c r="G235" s="591"/>
      <c r="H235" s="591"/>
      <c r="I235" s="591"/>
      <c r="J235" s="591"/>
      <c r="K235" s="1663">
        <f t="shared" si="20"/>
        <v>3544</v>
      </c>
      <c r="L235" s="1927">
        <f>+'[1]EstExp 11-17'!$K$235</f>
        <v>3204</v>
      </c>
    </row>
    <row r="236" spans="1:12">
      <c r="A236" s="1496" t="s">
        <v>209</v>
      </c>
      <c r="B236" s="589">
        <v>2150</v>
      </c>
      <c r="C236" s="591"/>
      <c r="D236" s="1927">
        <f>_xll.cw_map("BR","50-IMRF-&gt;3-2150-2")</f>
        <v>1347</v>
      </c>
      <c r="E236" s="591"/>
      <c r="F236" s="591"/>
      <c r="G236" s="591"/>
      <c r="H236" s="591"/>
      <c r="I236" s="591"/>
      <c r="J236" s="591"/>
      <c r="K236" s="1663">
        <f t="shared" si="20"/>
        <v>1347</v>
      </c>
      <c r="L236" s="1927">
        <f>+'[1]EstExp 11-17'!$K$236</f>
        <v>1377</v>
      </c>
    </row>
    <row r="237" spans="1:12">
      <c r="A237" s="1496" t="s">
        <v>167</v>
      </c>
      <c r="B237" s="589">
        <v>2190</v>
      </c>
      <c r="C237" s="591"/>
      <c r="D237" s="1927">
        <f>_xll.cw_map("BR","50-IMRF-&gt;3-2190-2")</f>
        <v>192337</v>
      </c>
      <c r="E237" s="591"/>
      <c r="F237" s="591"/>
      <c r="G237" s="591"/>
      <c r="H237" s="591"/>
      <c r="I237" s="591"/>
      <c r="J237" s="591"/>
      <c r="K237" s="1663">
        <f t="shared" si="20"/>
        <v>192337</v>
      </c>
      <c r="L237" s="1927">
        <f>+'[1]EstExp 11-17'!$K$237</f>
        <v>178313</v>
      </c>
    </row>
    <row r="238" spans="1:12" ht="12.75" customHeight="1" thickBot="1">
      <c r="A238" s="1660" t="s">
        <v>581</v>
      </c>
      <c r="B238" s="1667" t="s">
        <v>740</v>
      </c>
      <c r="C238" s="591"/>
      <c r="D238" s="1662">
        <f>SUM(D232:D237)</f>
        <v>237309</v>
      </c>
      <c r="E238" s="591"/>
      <c r="F238" s="591"/>
      <c r="G238" s="591"/>
      <c r="H238" s="591"/>
      <c r="I238" s="591"/>
      <c r="J238" s="591"/>
      <c r="K238" s="1662">
        <f>SUM(K232:K237)</f>
        <v>237309</v>
      </c>
      <c r="L238" s="1662">
        <f>SUM(L232:L237)</f>
        <v>228592</v>
      </c>
    </row>
    <row r="239" spans="1:12" ht="15.75" customHeight="1" thickTop="1">
      <c r="A239" s="599" t="s">
        <v>613</v>
      </c>
      <c r="B239" s="606"/>
      <c r="C239" s="591"/>
      <c r="D239" s="601"/>
      <c r="E239" s="591"/>
      <c r="F239" s="591"/>
      <c r="G239" s="591"/>
      <c r="H239" s="591"/>
      <c r="I239" s="591"/>
      <c r="J239" s="591"/>
      <c r="K239" s="601"/>
      <c r="L239" s="601"/>
    </row>
    <row r="240" spans="1:12">
      <c r="A240" s="1496" t="s">
        <v>868</v>
      </c>
      <c r="B240" s="589">
        <v>2210</v>
      </c>
      <c r="C240" s="591"/>
      <c r="D240" s="1928">
        <f>_xll.cw_map("BR","50-IMRF-&gt;3-2210-2")</f>
        <v>31946</v>
      </c>
      <c r="E240" s="591"/>
      <c r="F240" s="591"/>
      <c r="G240" s="591"/>
      <c r="H240" s="591"/>
      <c r="I240" s="591"/>
      <c r="J240" s="591"/>
      <c r="K240" s="1664">
        <f>D240</f>
        <v>31946</v>
      </c>
      <c r="L240" s="1927">
        <f>+'[1]EstExp 11-17'!$K$240</f>
        <v>13704</v>
      </c>
    </row>
    <row r="241" spans="1:12">
      <c r="A241" s="1496" t="s">
        <v>869</v>
      </c>
      <c r="B241" s="589">
        <v>2220</v>
      </c>
      <c r="C241" s="591"/>
      <c r="D241" s="1927">
        <f>_xll.cw_map("BR","50-IMRF-&gt;3-2220-2")</f>
        <v>15271</v>
      </c>
      <c r="E241" s="591"/>
      <c r="F241" s="591"/>
      <c r="G241" s="591"/>
      <c r="H241" s="591"/>
      <c r="I241" s="591"/>
      <c r="J241" s="591"/>
      <c r="K241" s="1664">
        <f>D241</f>
        <v>15271</v>
      </c>
      <c r="L241" s="1927">
        <f>+'[1]EstExp 11-17'!$K$241</f>
        <v>25505</v>
      </c>
    </row>
    <row r="242" spans="1:12">
      <c r="A242" s="1496" t="s">
        <v>870</v>
      </c>
      <c r="B242" s="589">
        <v>2230</v>
      </c>
      <c r="C242" s="591"/>
      <c r="D242" s="1927">
        <f>_xll.cw_map("BR","50-IMRF-&gt;3-2230-2")</f>
        <v>5</v>
      </c>
      <c r="E242" s="591"/>
      <c r="F242" s="591"/>
      <c r="G242" s="591"/>
      <c r="H242" s="591"/>
      <c r="I242" s="591"/>
      <c r="J242" s="591"/>
      <c r="K242" s="1664">
        <f>D242</f>
        <v>5</v>
      </c>
      <c r="L242" s="1927">
        <f>+'[1]EstExp 11-17'!$K$242</f>
        <v>1523</v>
      </c>
    </row>
    <row r="243" spans="1:12" ht="12.75" customHeight="1" thickBot="1">
      <c r="A243" s="1686" t="s">
        <v>582</v>
      </c>
      <c r="B243" s="1687">
        <v>2200</v>
      </c>
      <c r="C243" s="591"/>
      <c r="D243" s="1662">
        <f>SUM(D240:D242)</f>
        <v>47222</v>
      </c>
      <c r="E243" s="591"/>
      <c r="F243" s="591"/>
      <c r="G243" s="591"/>
      <c r="H243" s="591"/>
      <c r="I243" s="591"/>
      <c r="J243" s="591"/>
      <c r="K243" s="1662">
        <f>SUM(K240:K242)</f>
        <v>47222</v>
      </c>
      <c r="L243" s="1662">
        <f>SUM(L240:L242)</f>
        <v>40732</v>
      </c>
    </row>
    <row r="244" spans="1:12" ht="15.75" customHeight="1" thickTop="1">
      <c r="A244" s="599" t="s">
        <v>631</v>
      </c>
      <c r="B244" s="655"/>
      <c r="C244" s="591"/>
      <c r="D244" s="601"/>
      <c r="E244" s="591"/>
      <c r="F244" s="591"/>
      <c r="G244" s="591"/>
      <c r="H244" s="591"/>
      <c r="I244" s="591"/>
      <c r="J244" s="591"/>
      <c r="K244" s="601"/>
      <c r="L244" s="601"/>
    </row>
    <row r="245" spans="1:12">
      <c r="A245" s="1496" t="s">
        <v>871</v>
      </c>
      <c r="B245" s="589">
        <v>2310</v>
      </c>
      <c r="C245" s="591"/>
      <c r="D245" s="1928">
        <f>_xll.cw_map("BR","50-IMRF-&gt;3-2310-2")</f>
        <v>0</v>
      </c>
      <c r="E245" s="591"/>
      <c r="F245" s="591"/>
      <c r="G245" s="591"/>
      <c r="H245" s="591"/>
      <c r="I245" s="591"/>
      <c r="J245" s="591"/>
      <c r="K245" s="1664">
        <f>D245</f>
        <v>0</v>
      </c>
      <c r="L245" s="1927">
        <f>+'[1]EstExp 11-17'!$K$245</f>
        <v>0</v>
      </c>
    </row>
    <row r="246" spans="1:12">
      <c r="A246" s="1496" t="s">
        <v>872</v>
      </c>
      <c r="B246" s="589">
        <v>2320</v>
      </c>
      <c r="C246" s="591"/>
      <c r="D246" s="1927">
        <f>_xll.cw_map("BR","50-IMRF-&gt;3-2320-2")</f>
        <v>17906</v>
      </c>
      <c r="E246" s="591"/>
      <c r="F246" s="591"/>
      <c r="G246" s="591"/>
      <c r="H246" s="591"/>
      <c r="I246" s="591"/>
      <c r="J246" s="591"/>
      <c r="K246" s="1664">
        <f t="shared" ref="K246:K256" si="21">D246</f>
        <v>17906</v>
      </c>
      <c r="L246" s="1927">
        <f>+'[1]EstExp 11-17'!$K$246</f>
        <v>17154</v>
      </c>
    </row>
    <row r="247" spans="1:12">
      <c r="A247" s="1496" t="s">
        <v>873</v>
      </c>
      <c r="B247" s="589">
        <v>2330</v>
      </c>
      <c r="C247" s="591"/>
      <c r="D247" s="1927">
        <f>_xll.cw_map("BR","50-IMRF-&gt;3-2330-2")</f>
        <v>22270</v>
      </c>
      <c r="E247" s="591"/>
      <c r="F247" s="591"/>
      <c r="G247" s="591"/>
      <c r="H247" s="591"/>
      <c r="I247" s="591"/>
      <c r="J247" s="591"/>
      <c r="K247" s="1664">
        <f t="shared" si="21"/>
        <v>22270</v>
      </c>
      <c r="L247" s="1927">
        <f>+'[1]EstExp 11-17'!$K$247</f>
        <v>23746</v>
      </c>
    </row>
    <row r="248" spans="1:12">
      <c r="A248" s="1497" t="s">
        <v>317</v>
      </c>
      <c r="B248" s="577" t="s">
        <v>299</v>
      </c>
      <c r="C248" s="591"/>
      <c r="D248" s="1930">
        <f>_xll.cw_map("BR","50-IMRF-&gt;3-2361-2")</f>
        <v>0</v>
      </c>
      <c r="E248" s="591"/>
      <c r="F248" s="591"/>
      <c r="G248" s="591"/>
      <c r="H248" s="591"/>
      <c r="I248" s="591"/>
      <c r="J248" s="591"/>
      <c r="K248" s="1664">
        <f t="shared" si="21"/>
        <v>0</v>
      </c>
      <c r="L248" s="1927">
        <f>+'[1]EstExp 11-17'!$K$248</f>
        <v>0</v>
      </c>
    </row>
    <row r="249" spans="1:12">
      <c r="A249" s="1498" t="s">
        <v>1906</v>
      </c>
      <c r="B249" s="656" t="s">
        <v>300</v>
      </c>
      <c r="C249" s="591"/>
      <c r="D249" s="1930">
        <f>_xll.cw_map("BR","50-IMRF-&gt;3-2362-2")</f>
        <v>0</v>
      </c>
      <c r="E249" s="591"/>
      <c r="F249" s="591"/>
      <c r="G249" s="591"/>
      <c r="H249" s="591"/>
      <c r="I249" s="591"/>
      <c r="J249" s="591"/>
      <c r="K249" s="1664">
        <f t="shared" si="21"/>
        <v>0</v>
      </c>
      <c r="L249" s="1927">
        <f>+'[1]EstExp 11-17'!$K$249</f>
        <v>0</v>
      </c>
    </row>
    <row r="250" spans="1:12">
      <c r="A250" s="1497" t="s">
        <v>1907</v>
      </c>
      <c r="B250" s="577" t="s">
        <v>301</v>
      </c>
      <c r="C250" s="591"/>
      <c r="D250" s="1930">
        <f>_xll.cw_map("BR","50-IMRF-&gt;3-2363-2")</f>
        <v>0</v>
      </c>
      <c r="E250" s="591"/>
      <c r="F250" s="591"/>
      <c r="G250" s="591"/>
      <c r="H250" s="591"/>
      <c r="I250" s="591"/>
      <c r="J250" s="591"/>
      <c r="K250" s="1664">
        <f t="shared" si="21"/>
        <v>0</v>
      </c>
      <c r="L250" s="1927">
        <f>+'[1]EstExp 11-17'!$K$250</f>
        <v>0</v>
      </c>
    </row>
    <row r="251" spans="1:12">
      <c r="A251" s="1497" t="s">
        <v>256</v>
      </c>
      <c r="B251" s="577" t="s">
        <v>302</v>
      </c>
      <c r="C251" s="591"/>
      <c r="D251" s="1930">
        <f>_xll.cw_map("BR","50-IMRF-&gt;3-2364-2")</f>
        <v>0</v>
      </c>
      <c r="E251" s="591"/>
      <c r="F251" s="591"/>
      <c r="G251" s="591"/>
      <c r="H251" s="591"/>
      <c r="I251" s="591"/>
      <c r="J251" s="591"/>
      <c r="K251" s="1664">
        <f t="shared" si="21"/>
        <v>0</v>
      </c>
      <c r="L251" s="1927">
        <f>+'[1]EstExp 11-17'!$K$251</f>
        <v>0</v>
      </c>
    </row>
    <row r="252" spans="1:12">
      <c r="A252" s="1497" t="s">
        <v>726</v>
      </c>
      <c r="B252" s="577" t="s">
        <v>303</v>
      </c>
      <c r="C252" s="591"/>
      <c r="D252" s="1930">
        <f>_xll.cw_map("BR","50-IMRF-&gt;3-2365-2")</f>
        <v>0</v>
      </c>
      <c r="E252" s="591"/>
      <c r="F252" s="591"/>
      <c r="G252" s="591"/>
      <c r="H252" s="591"/>
      <c r="I252" s="591"/>
      <c r="J252" s="591"/>
      <c r="K252" s="1664">
        <f t="shared" si="21"/>
        <v>0</v>
      </c>
      <c r="L252" s="1927">
        <f>+'[1]EstExp 11-17'!$K$252</f>
        <v>0</v>
      </c>
    </row>
    <row r="253" spans="1:12">
      <c r="A253" s="1497" t="s">
        <v>257</v>
      </c>
      <c r="B253" s="577" t="s">
        <v>304</v>
      </c>
      <c r="C253" s="591"/>
      <c r="D253" s="1930">
        <f>_xll.cw_map("BR","50-IMRF-&gt;3-2366-2")</f>
        <v>0</v>
      </c>
      <c r="E253" s="591"/>
      <c r="F253" s="591"/>
      <c r="G253" s="591"/>
      <c r="H253" s="591"/>
      <c r="I253" s="591"/>
      <c r="J253" s="591"/>
      <c r="K253" s="1664">
        <f t="shared" si="21"/>
        <v>0</v>
      </c>
      <c r="L253" s="1927">
        <f>+'[1]EstExp 11-17'!$K$253</f>
        <v>0</v>
      </c>
    </row>
    <row r="254" spans="1:12" ht="22.5">
      <c r="A254" s="1497" t="s">
        <v>1087</v>
      </c>
      <c r="B254" s="656" t="s">
        <v>305</v>
      </c>
      <c r="C254" s="591"/>
      <c r="D254" s="1930">
        <f>_xll.cw_map("BR","50-IMRF-&gt;3-2367-2")</f>
        <v>0</v>
      </c>
      <c r="E254" s="591"/>
      <c r="F254" s="591"/>
      <c r="G254" s="591"/>
      <c r="H254" s="591"/>
      <c r="I254" s="591"/>
      <c r="J254" s="591"/>
      <c r="K254" s="1664">
        <f t="shared" si="21"/>
        <v>0</v>
      </c>
      <c r="L254" s="1927">
        <f>+'[1]EstExp 11-17'!$K$254</f>
        <v>0</v>
      </c>
    </row>
    <row r="255" spans="1:12">
      <c r="A255" s="1497" t="s">
        <v>1088</v>
      </c>
      <c r="B255" s="577" t="s">
        <v>306</v>
      </c>
      <c r="C255" s="591"/>
      <c r="D255" s="1930">
        <f>_xll.cw_map("BR","50-IMRF-&gt;3-2368-2")</f>
        <v>0</v>
      </c>
      <c r="E255" s="591"/>
      <c r="F255" s="591"/>
      <c r="G255" s="591"/>
      <c r="H255" s="591"/>
      <c r="I255" s="591"/>
      <c r="J255" s="591"/>
      <c r="K255" s="1664">
        <f t="shared" si="21"/>
        <v>0</v>
      </c>
      <c r="L255" s="1927">
        <f>+'[1]EstExp 11-17'!$K$255</f>
        <v>0</v>
      </c>
    </row>
    <row r="256" spans="1:12">
      <c r="A256" s="1497" t="s">
        <v>1028</v>
      </c>
      <c r="B256" s="589" t="s">
        <v>307</v>
      </c>
      <c r="C256" s="591"/>
      <c r="D256" s="1930">
        <f>_xll.cw_map("BR","50-IMRF-&gt;3-2369-2")</f>
        <v>0</v>
      </c>
      <c r="E256" s="591"/>
      <c r="F256" s="591"/>
      <c r="G256" s="591"/>
      <c r="H256" s="591"/>
      <c r="I256" s="591"/>
      <c r="J256" s="591"/>
      <c r="K256" s="1664">
        <f t="shared" si="21"/>
        <v>0</v>
      </c>
      <c r="L256" s="1927">
        <f>+'[1]EstExp 11-17'!$K$256</f>
        <v>0</v>
      </c>
    </row>
    <row r="257" spans="1:14" ht="12.75" customHeight="1" thickBot="1">
      <c r="A257" s="1660" t="s">
        <v>741</v>
      </c>
      <c r="B257" s="1688">
        <v>2300</v>
      </c>
      <c r="C257" s="591"/>
      <c r="D257" s="1662">
        <f>SUM(D245:D256)</f>
        <v>40176</v>
      </c>
      <c r="E257" s="591"/>
      <c r="F257" s="591"/>
      <c r="G257" s="591"/>
      <c r="H257" s="591"/>
      <c r="I257" s="591"/>
      <c r="J257" s="591"/>
      <c r="K257" s="1662">
        <f>SUM(K245:K256)</f>
        <v>40176</v>
      </c>
      <c r="L257" s="1662">
        <f>SUM(L245:L256)</f>
        <v>40900</v>
      </c>
    </row>
    <row r="258" spans="1:14" ht="15.75" customHeight="1" thickTop="1">
      <c r="A258" s="599" t="s">
        <v>632</v>
      </c>
      <c r="B258" s="657"/>
      <c r="C258" s="591"/>
      <c r="D258" s="601"/>
      <c r="E258" s="591"/>
      <c r="F258" s="591"/>
      <c r="G258" s="591"/>
      <c r="H258" s="591"/>
      <c r="I258" s="591"/>
      <c r="J258" s="591"/>
      <c r="K258" s="601"/>
      <c r="L258" s="601"/>
    </row>
    <row r="259" spans="1:14">
      <c r="A259" s="1496" t="s">
        <v>1127</v>
      </c>
      <c r="B259" s="658">
        <v>2410</v>
      </c>
      <c r="C259" s="591"/>
      <c r="D259" s="1928">
        <f>_xll.cw_map("BR","50-IMRF-&gt;3-2410-2")</f>
        <v>223168</v>
      </c>
      <c r="E259" s="591"/>
      <c r="F259" s="591"/>
      <c r="G259" s="591"/>
      <c r="H259" s="591"/>
      <c r="I259" s="591"/>
      <c r="J259" s="591"/>
      <c r="K259" s="1664">
        <f>D259</f>
        <v>223168</v>
      </c>
      <c r="L259" s="1928">
        <f>+'[1]EstExp 11-17'!$K$259</f>
        <v>226289</v>
      </c>
    </row>
    <row r="260" spans="1:14" s="572" customFormat="1">
      <c r="A260" s="1514" t="s">
        <v>1905</v>
      </c>
      <c r="B260" s="603">
        <v>2490</v>
      </c>
      <c r="C260" s="591"/>
      <c r="D260" s="1927">
        <f>_xll.cw_map("BR","50-IMRF-&gt;3-2490-2")</f>
        <v>14300</v>
      </c>
      <c r="E260" s="591"/>
      <c r="F260" s="591"/>
      <c r="G260" s="591"/>
      <c r="H260" s="591"/>
      <c r="I260" s="591"/>
      <c r="J260" s="591"/>
      <c r="K260" s="1664">
        <f>D260</f>
        <v>14300</v>
      </c>
      <c r="L260" s="1927">
        <f>+'[1]EstExp 11-17'!$K$260</f>
        <v>27724</v>
      </c>
      <c r="M260" s="209"/>
      <c r="N260" s="209"/>
    </row>
    <row r="261" spans="1:14" ht="12.75" customHeight="1" thickBot="1">
      <c r="A261" s="1684" t="s">
        <v>281</v>
      </c>
      <c r="B261" s="1689" t="s">
        <v>34</v>
      </c>
      <c r="C261" s="591"/>
      <c r="D261" s="1662">
        <f>SUM(D259:D260)</f>
        <v>237468</v>
      </c>
      <c r="E261" s="591"/>
      <c r="F261" s="591"/>
      <c r="G261" s="591"/>
      <c r="H261" s="591"/>
      <c r="I261" s="591"/>
      <c r="J261" s="591"/>
      <c r="K261" s="1662">
        <f>SUM(K259:K260)</f>
        <v>237468</v>
      </c>
      <c r="L261" s="1662">
        <f>SUM(L259:L260)</f>
        <v>254013</v>
      </c>
    </row>
    <row r="262" spans="1:14" ht="15.75" customHeight="1" thickTop="1">
      <c r="A262" s="599" t="s">
        <v>633</v>
      </c>
      <c r="B262" s="657"/>
      <c r="C262" s="591"/>
      <c r="D262" s="591"/>
      <c r="E262" s="591"/>
      <c r="F262" s="591"/>
      <c r="G262" s="591"/>
      <c r="H262" s="591"/>
      <c r="I262" s="591"/>
      <c r="J262" s="591"/>
      <c r="K262" s="601"/>
      <c r="L262" s="601"/>
    </row>
    <row r="263" spans="1:14">
      <c r="A263" s="1496" t="s">
        <v>1128</v>
      </c>
      <c r="B263" s="658">
        <v>2510</v>
      </c>
      <c r="C263" s="591"/>
      <c r="D263" s="1927">
        <f>_xll.cw_map("BR","50-IMRF-&gt;3-2510-2")</f>
        <v>1705</v>
      </c>
      <c r="E263" s="591"/>
      <c r="F263" s="591"/>
      <c r="G263" s="591"/>
      <c r="H263" s="591"/>
      <c r="I263" s="591"/>
      <c r="J263" s="591"/>
      <c r="K263" s="1664">
        <f>D263</f>
        <v>1705</v>
      </c>
      <c r="L263" s="1927">
        <f>+'[1]EstExp 11-17'!$K$263</f>
        <v>0</v>
      </c>
    </row>
    <row r="264" spans="1:14">
      <c r="A264" s="1496" t="s">
        <v>483</v>
      </c>
      <c r="B264" s="658">
        <v>2520</v>
      </c>
      <c r="C264" s="591"/>
      <c r="D264" s="1927">
        <f>_xll.cw_map("BR","50-IMRF-&gt;3-2520-2")</f>
        <v>36012</v>
      </c>
      <c r="E264" s="591"/>
      <c r="F264" s="591"/>
      <c r="G264" s="591"/>
      <c r="H264" s="591"/>
      <c r="I264" s="591"/>
      <c r="J264" s="591"/>
      <c r="K264" s="1664">
        <f t="shared" ref="K264:K269" si="22">D264</f>
        <v>36012</v>
      </c>
      <c r="L264" s="1927">
        <f>+'[1]EstExp 11-17'!$K$264</f>
        <v>37941</v>
      </c>
    </row>
    <row r="265" spans="1:14">
      <c r="A265" s="1496" t="s">
        <v>4</v>
      </c>
      <c r="B265" s="589">
        <v>2530</v>
      </c>
      <c r="C265" s="591"/>
      <c r="D265" s="1927">
        <f>_xll.cw_map("BR","50-IMRF-&gt;3-2530-2")</f>
        <v>0</v>
      </c>
      <c r="E265" s="591"/>
      <c r="F265" s="591"/>
      <c r="G265" s="591"/>
      <c r="H265" s="591"/>
      <c r="I265" s="591"/>
      <c r="J265" s="591"/>
      <c r="K265" s="1664">
        <f t="shared" si="22"/>
        <v>0</v>
      </c>
      <c r="L265" s="1927">
        <f>+'[1]EstExp 11-17'!$K$265</f>
        <v>0</v>
      </c>
    </row>
    <row r="266" spans="1:14">
      <c r="A266" s="1496" t="s">
        <v>206</v>
      </c>
      <c r="B266" s="589">
        <v>2540</v>
      </c>
      <c r="C266" s="591"/>
      <c r="D266" s="1927">
        <f>_xll.cw_map("BR","50-IMRF-&gt;3-2540-2")</f>
        <v>385587</v>
      </c>
      <c r="E266" s="591"/>
      <c r="F266" s="591"/>
      <c r="G266" s="591"/>
      <c r="H266" s="591"/>
      <c r="I266" s="591"/>
      <c r="J266" s="591"/>
      <c r="K266" s="1664">
        <f t="shared" si="22"/>
        <v>385587</v>
      </c>
      <c r="L266" s="1927">
        <f>+'[1]EstExp 11-17'!$K$266</f>
        <v>401199</v>
      </c>
    </row>
    <row r="267" spans="1:14">
      <c r="A267" s="1496" t="s">
        <v>1010</v>
      </c>
      <c r="B267" s="589">
        <v>2550</v>
      </c>
      <c r="C267" s="591"/>
      <c r="D267" s="1927">
        <f>_xll.cw_map("BR","50-IMRF-&gt;3-2550-2")</f>
        <v>0</v>
      </c>
      <c r="E267" s="591"/>
      <c r="F267" s="591"/>
      <c r="G267" s="591"/>
      <c r="H267" s="591"/>
      <c r="I267" s="591"/>
      <c r="J267" s="591"/>
      <c r="K267" s="1664">
        <f t="shared" si="22"/>
        <v>0</v>
      </c>
      <c r="L267" s="1927">
        <f>+'[1]EstExp 11-17'!$K$267</f>
        <v>0</v>
      </c>
    </row>
    <row r="268" spans="1:14">
      <c r="A268" s="1496" t="s">
        <v>102</v>
      </c>
      <c r="B268" s="589">
        <v>2560</v>
      </c>
      <c r="C268" s="591"/>
      <c r="D268" s="1927">
        <f>_xll.cw_map("BR","50-IMRF-&gt;3-2560-2")</f>
        <v>176030</v>
      </c>
      <c r="E268" s="591"/>
      <c r="F268" s="591"/>
      <c r="G268" s="591"/>
      <c r="H268" s="591"/>
      <c r="I268" s="591"/>
      <c r="J268" s="591"/>
      <c r="K268" s="1664">
        <f t="shared" si="22"/>
        <v>176030</v>
      </c>
      <c r="L268" s="1927">
        <f>+'[1]EstExp 11-17'!$K$268</f>
        <v>168813</v>
      </c>
    </row>
    <row r="269" spans="1:14">
      <c r="A269" s="1496" t="s">
        <v>103</v>
      </c>
      <c r="B269" s="589">
        <v>2570</v>
      </c>
      <c r="C269" s="591"/>
      <c r="D269" s="1927">
        <f>_xll.cw_map("BR","50-IMRF-&gt;3-2570-2")</f>
        <v>0</v>
      </c>
      <c r="E269" s="591"/>
      <c r="F269" s="591"/>
      <c r="G269" s="591"/>
      <c r="H269" s="591"/>
      <c r="I269" s="591"/>
      <c r="J269" s="591"/>
      <c r="K269" s="1664">
        <f t="shared" si="22"/>
        <v>0</v>
      </c>
      <c r="L269" s="1927">
        <f>+'[1]EstExp 11-17'!$K$269</f>
        <v>0</v>
      </c>
    </row>
    <row r="270" spans="1:14" ht="12.75" customHeight="1" thickBot="1">
      <c r="A270" s="1660" t="s">
        <v>743</v>
      </c>
      <c r="B270" s="1667" t="s">
        <v>35</v>
      </c>
      <c r="C270" s="591"/>
      <c r="D270" s="1662">
        <f>SUM(D263:D269)</f>
        <v>599334</v>
      </c>
      <c r="E270" s="591"/>
      <c r="F270" s="591"/>
      <c r="G270" s="591"/>
      <c r="H270" s="591"/>
      <c r="I270" s="591"/>
      <c r="J270" s="591"/>
      <c r="K270" s="1662">
        <f>SUM(K263:K269)</f>
        <v>599334</v>
      </c>
      <c r="L270" s="1662">
        <f>SUM(L263:L269)</f>
        <v>607953</v>
      </c>
    </row>
    <row r="271" spans="1:14" ht="15.75" customHeight="1" thickTop="1">
      <c r="A271" s="642" t="s">
        <v>634</v>
      </c>
      <c r="B271" s="600"/>
      <c r="C271" s="591"/>
      <c r="D271" s="601"/>
      <c r="E271" s="591"/>
      <c r="F271" s="591"/>
      <c r="G271" s="591"/>
      <c r="H271" s="591"/>
      <c r="I271" s="591"/>
      <c r="J271" s="591"/>
      <c r="K271" s="601"/>
      <c r="L271" s="601"/>
    </row>
    <row r="272" spans="1:14">
      <c r="A272" s="1496" t="s">
        <v>1120</v>
      </c>
      <c r="B272" s="589">
        <v>2610</v>
      </c>
      <c r="C272" s="591"/>
      <c r="D272" s="1928">
        <f>_xll.cw_map("BR","50-IMRF-&gt;3-2610-2")</f>
        <v>0</v>
      </c>
      <c r="E272" s="591"/>
      <c r="F272" s="591"/>
      <c r="G272" s="591"/>
      <c r="H272" s="591"/>
      <c r="I272" s="591"/>
      <c r="J272" s="591"/>
      <c r="K272" s="1664">
        <f>D272</f>
        <v>0</v>
      </c>
      <c r="L272" s="1927">
        <f>+'[1]EstExp 11-17'!$K$272</f>
        <v>0</v>
      </c>
    </row>
    <row r="273" spans="1:12">
      <c r="A273" s="1496" t="s">
        <v>628</v>
      </c>
      <c r="B273" s="603">
        <v>2620</v>
      </c>
      <c r="C273" s="591"/>
      <c r="D273" s="1927">
        <f>_xll.cw_map("BR","50-IMRF-&gt;3-2620-2")</f>
        <v>0</v>
      </c>
      <c r="E273" s="591"/>
      <c r="F273" s="591"/>
      <c r="G273" s="591"/>
      <c r="H273" s="591"/>
      <c r="I273" s="591"/>
      <c r="J273" s="591"/>
      <c r="K273" s="1664">
        <f>D273</f>
        <v>0</v>
      </c>
      <c r="L273" s="1927">
        <f>+'[1]EstExp 11-17'!$K$273</f>
        <v>0</v>
      </c>
    </row>
    <row r="274" spans="1:12" ht="12" customHeight="1">
      <c r="A274" s="1496" t="s">
        <v>1121</v>
      </c>
      <c r="B274" s="589">
        <v>2630</v>
      </c>
      <c r="C274" s="591"/>
      <c r="D274" s="1927">
        <f>_xll.cw_map("BR","50-IMRF-&gt;3-2630-2")</f>
        <v>468</v>
      </c>
      <c r="E274" s="591"/>
      <c r="F274" s="591"/>
      <c r="G274" s="591"/>
      <c r="H274" s="591"/>
      <c r="I274" s="591"/>
      <c r="J274" s="591"/>
      <c r="K274" s="1664">
        <f>D274</f>
        <v>468</v>
      </c>
      <c r="L274" s="1927">
        <f>+'[1]EstExp 11-17'!$K$274</f>
        <v>0</v>
      </c>
    </row>
    <row r="275" spans="1:12">
      <c r="A275" s="1496" t="s">
        <v>423</v>
      </c>
      <c r="B275" s="589">
        <v>2640</v>
      </c>
      <c r="C275" s="591"/>
      <c r="D275" s="1927">
        <f>_xll.cw_map("BR","50-IMRF-&gt;3-2640-2")</f>
        <v>24682</v>
      </c>
      <c r="E275" s="591"/>
      <c r="F275" s="591"/>
      <c r="G275" s="591"/>
      <c r="H275" s="591"/>
      <c r="I275" s="591"/>
      <c r="J275" s="591"/>
      <c r="K275" s="1664">
        <f>D275</f>
        <v>24682</v>
      </c>
      <c r="L275" s="1927">
        <f>+'[1]EstExp 11-17'!$K$275</f>
        <v>24498</v>
      </c>
    </row>
    <row r="276" spans="1:12">
      <c r="A276" s="1496" t="s">
        <v>424</v>
      </c>
      <c r="B276" s="589">
        <v>2660</v>
      </c>
      <c r="C276" s="591"/>
      <c r="D276" s="1927">
        <f>_xll.cw_map("BR","50-IMRF-&gt;3-2660-2")</f>
        <v>79312</v>
      </c>
      <c r="E276" s="591"/>
      <c r="F276" s="591"/>
      <c r="G276" s="591"/>
      <c r="H276" s="591"/>
      <c r="I276" s="591"/>
      <c r="J276" s="591"/>
      <c r="K276" s="1664">
        <f>D276</f>
        <v>79312</v>
      </c>
      <c r="L276" s="1927">
        <f>+'[1]EstExp 11-17'!$K$276</f>
        <v>78222</v>
      </c>
    </row>
    <row r="277" spans="1:12" ht="12.75" customHeight="1" thickBot="1">
      <c r="A277" s="1683" t="s">
        <v>37</v>
      </c>
      <c r="B277" s="1661" t="s">
        <v>36</v>
      </c>
      <c r="C277" s="591"/>
      <c r="D277" s="1662">
        <f>SUM(D272:D276)</f>
        <v>104462</v>
      </c>
      <c r="E277" s="591"/>
      <c r="F277" s="591"/>
      <c r="G277" s="591"/>
      <c r="H277" s="591"/>
      <c r="I277" s="591"/>
      <c r="J277" s="591"/>
      <c r="K277" s="1662">
        <f>SUM(K272:K276)</f>
        <v>104462</v>
      </c>
      <c r="L277" s="1662">
        <f>SUM(L272:L276)</f>
        <v>102720</v>
      </c>
    </row>
    <row r="278" spans="1:12" ht="13.5" customHeight="1" thickTop="1" thickBot="1">
      <c r="A278" s="1502" t="s">
        <v>1037</v>
      </c>
      <c r="B278" s="629" t="s">
        <v>595</v>
      </c>
      <c r="C278" s="591"/>
      <c r="D278" s="1944">
        <f>_xll.cw_map("BR","50-IMRF-&gt;3-2900-2")</f>
        <v>6939</v>
      </c>
      <c r="E278" s="591"/>
      <c r="F278" s="591"/>
      <c r="G278" s="591"/>
      <c r="H278" s="591"/>
      <c r="I278" s="591"/>
      <c r="J278" s="591"/>
      <c r="K278" s="1677">
        <f>D278</f>
        <v>6939</v>
      </c>
      <c r="L278" s="1944">
        <f>+'[1]EstExp 11-17'!$K$278</f>
        <v>7137</v>
      </c>
    </row>
    <row r="279" spans="1:12" ht="12.75" customHeight="1" thickTop="1" thickBot="1">
      <c r="A279" s="1690" t="s">
        <v>865</v>
      </c>
      <c r="B279" s="1673">
        <v>2000</v>
      </c>
      <c r="C279" s="591"/>
      <c r="D279" s="1669">
        <f>SUM(D238,D243,D257,D261,D270,D277,D278)</f>
        <v>1272910</v>
      </c>
      <c r="E279" s="591"/>
      <c r="F279" s="591"/>
      <c r="G279" s="591"/>
      <c r="H279" s="591"/>
      <c r="I279" s="591"/>
      <c r="J279" s="591"/>
      <c r="K279" s="1669">
        <f>SUM(K238,K243,K257,K261,K270,K277,K278)</f>
        <v>1272910</v>
      </c>
      <c r="L279" s="1669">
        <f>SUM(L238,L243,L257,L261,L270,L277,L278)</f>
        <v>1282047</v>
      </c>
    </row>
    <row r="280" spans="1:12" ht="15.75" customHeight="1" thickTop="1" thickBot="1">
      <c r="A280" s="1616" t="s">
        <v>930</v>
      </c>
      <c r="B280" s="1605">
        <v>3000</v>
      </c>
      <c r="C280" s="591"/>
      <c r="D280" s="1944">
        <f>_xll.cw_map("BR","50-IMRF-&gt;3-3000-2")</f>
        <v>0</v>
      </c>
      <c r="E280" s="591"/>
      <c r="F280" s="591"/>
      <c r="G280" s="591"/>
      <c r="H280" s="591"/>
      <c r="I280" s="591"/>
      <c r="J280" s="591"/>
      <c r="K280" s="1671">
        <f>D280</f>
        <v>0</v>
      </c>
      <c r="L280" s="1944">
        <f>+'[1]EstExp 11-17'!$K$280</f>
        <v>0</v>
      </c>
    </row>
    <row r="281" spans="1:12" ht="15.75" customHeight="1" thickTop="1">
      <c r="A281" s="1606" t="s">
        <v>144</v>
      </c>
      <c r="B281" s="1607" t="s">
        <v>915</v>
      </c>
      <c r="C281" s="591"/>
      <c r="D281" s="552"/>
      <c r="E281" s="591"/>
      <c r="F281" s="591"/>
      <c r="G281" s="591"/>
      <c r="H281" s="591"/>
      <c r="I281" s="591"/>
      <c r="J281" s="591"/>
      <c r="K281" s="591"/>
      <c r="L281" s="591"/>
    </row>
    <row r="282" spans="1:12" ht="15.75" customHeight="1">
      <c r="A282" s="1823" t="s">
        <v>517</v>
      </c>
      <c r="B282" s="663" t="s">
        <v>1955</v>
      </c>
      <c r="C282" s="591"/>
      <c r="D282" s="465">
        <f>_xll.cw_map("BR","50-IMRF-&gt;3-4110-2")</f>
        <v>0</v>
      </c>
      <c r="E282" s="591"/>
      <c r="F282" s="591"/>
      <c r="G282" s="591"/>
      <c r="H282" s="591"/>
      <c r="I282" s="591"/>
      <c r="J282" s="591"/>
      <c r="K282" s="1663">
        <f>D282</f>
        <v>0</v>
      </c>
      <c r="L282" s="465">
        <f>+'[1]EstExp 11-17'!$K$282</f>
        <v>0</v>
      </c>
    </row>
    <row r="283" spans="1:12">
      <c r="A283" s="1496" t="s">
        <v>322</v>
      </c>
      <c r="B283" s="589">
        <v>4120</v>
      </c>
      <c r="C283" s="591"/>
      <c r="D283" s="1927">
        <f>_xll.cw_map("BR","50-IMRF-&gt;3-4120-2")</f>
        <v>0</v>
      </c>
      <c r="E283" s="591"/>
      <c r="F283" s="591"/>
      <c r="G283" s="591"/>
      <c r="H283" s="591"/>
      <c r="I283" s="591"/>
      <c r="J283" s="591"/>
      <c r="K283" s="1663">
        <f>D283</f>
        <v>0</v>
      </c>
      <c r="L283" s="1927">
        <f>+'[1]EstExp 11-17'!$K$283</f>
        <v>0</v>
      </c>
    </row>
    <row r="284" spans="1:12">
      <c r="A284" s="1496" t="s">
        <v>721</v>
      </c>
      <c r="B284" s="589">
        <v>4140</v>
      </c>
      <c r="C284" s="591"/>
      <c r="D284" s="1927">
        <f>_xll.cw_map("BR","50-IMRF-&gt;3-4140-2")</f>
        <v>0</v>
      </c>
      <c r="E284" s="591"/>
      <c r="F284" s="591"/>
      <c r="G284" s="591"/>
      <c r="H284" s="591"/>
      <c r="I284" s="591"/>
      <c r="J284" s="591"/>
      <c r="K284" s="1663">
        <f>D284</f>
        <v>0</v>
      </c>
      <c r="L284" s="1927">
        <f>+'[1]EstExp 11-17'!$K$284</f>
        <v>0</v>
      </c>
    </row>
    <row r="285" spans="1:12" ht="12.75" customHeight="1" thickBot="1">
      <c r="A285" s="1660" t="s">
        <v>1567</v>
      </c>
      <c r="B285" s="1661" t="s">
        <v>915</v>
      </c>
      <c r="C285" s="591"/>
      <c r="D285" s="1662">
        <f>SUM(D282:D284)</f>
        <v>0</v>
      </c>
      <c r="E285" s="591"/>
      <c r="F285" s="591"/>
      <c r="G285" s="591"/>
      <c r="H285" s="591"/>
      <c r="I285" s="591"/>
      <c r="J285" s="591"/>
      <c r="K285" s="1662">
        <f>SUM(K282:K284)</f>
        <v>0</v>
      </c>
      <c r="L285" s="1662">
        <f>SUM(L282:L284)</f>
        <v>0</v>
      </c>
    </row>
    <row r="286" spans="1:12" ht="15.75" customHeight="1" thickTop="1">
      <c r="A286" s="1604" t="s">
        <v>931</v>
      </c>
      <c r="B286" s="1601" t="s">
        <v>513</v>
      </c>
      <c r="C286" s="591"/>
      <c r="D286" s="591"/>
      <c r="E286" s="591"/>
      <c r="F286" s="591"/>
      <c r="G286" s="591"/>
      <c r="H286" s="591"/>
      <c r="I286" s="591"/>
      <c r="J286" s="591"/>
      <c r="K286" s="591"/>
      <c r="L286" s="591"/>
    </row>
    <row r="287" spans="1:12" ht="15.75" customHeight="1">
      <c r="A287" s="627" t="s">
        <v>95</v>
      </c>
      <c r="B287" s="597"/>
      <c r="C287" s="591"/>
      <c r="D287" s="591"/>
      <c r="E287" s="591"/>
      <c r="F287" s="591"/>
      <c r="G287" s="591"/>
      <c r="H287" s="598"/>
      <c r="I287" s="591"/>
      <c r="J287" s="591"/>
      <c r="K287" s="591"/>
      <c r="L287" s="591"/>
    </row>
    <row r="288" spans="1:12">
      <c r="A288" s="1496" t="s">
        <v>89</v>
      </c>
      <c r="B288" s="589">
        <v>5110</v>
      </c>
      <c r="C288" s="591"/>
      <c r="D288" s="591"/>
      <c r="E288" s="591"/>
      <c r="F288" s="591"/>
      <c r="G288" s="591"/>
      <c r="H288" s="1927">
        <f>_xll.cw_map("BR","50-IMRF-&gt;3-5110-6")</f>
        <v>0</v>
      </c>
      <c r="I288" s="591"/>
      <c r="J288" s="591"/>
      <c r="K288" s="1663">
        <f>H288</f>
        <v>0</v>
      </c>
      <c r="L288" s="1927">
        <f>+'[1]EstExp 11-17'!$K$288</f>
        <v>0</v>
      </c>
    </row>
    <row r="289" spans="1:14">
      <c r="A289" s="1496" t="s">
        <v>90</v>
      </c>
      <c r="B289" s="589">
        <v>5120</v>
      </c>
      <c r="C289" s="591"/>
      <c r="D289" s="591"/>
      <c r="E289" s="591"/>
      <c r="F289" s="591"/>
      <c r="G289" s="591"/>
      <c r="H289" s="1927">
        <f>_xll.cw_map("BR","50-IMRF-&gt;3-5120-6")</f>
        <v>0</v>
      </c>
      <c r="I289" s="591"/>
      <c r="J289" s="591"/>
      <c r="K289" s="1663">
        <f>H289</f>
        <v>0</v>
      </c>
      <c r="L289" s="1927">
        <f>+'[1]EstExp 11-17'!$K$289</f>
        <v>0</v>
      </c>
    </row>
    <row r="290" spans="1:14" ht="12.75" customHeight="1">
      <c r="A290" s="1496" t="s">
        <v>1232</v>
      </c>
      <c r="B290" s="603" t="s">
        <v>638</v>
      </c>
      <c r="C290" s="591"/>
      <c r="D290" s="591"/>
      <c r="E290" s="591"/>
      <c r="F290" s="591"/>
      <c r="G290" s="591"/>
      <c r="H290" s="1927">
        <f>_xll.cw_map("BR","50-IMRF-&gt;3-5130-6")</f>
        <v>0</v>
      </c>
      <c r="I290" s="591"/>
      <c r="J290" s="591"/>
      <c r="K290" s="1663">
        <f>H290</f>
        <v>0</v>
      </c>
      <c r="L290" s="1927">
        <f>+'[1]EstExp 11-17'!$K$290</f>
        <v>0</v>
      </c>
    </row>
    <row r="291" spans="1:14">
      <c r="A291" s="1496" t="s">
        <v>91</v>
      </c>
      <c r="B291" s="589" t="s">
        <v>610</v>
      </c>
      <c r="C291" s="591"/>
      <c r="D291" s="591"/>
      <c r="E291" s="591"/>
      <c r="F291" s="591"/>
      <c r="G291" s="591"/>
      <c r="H291" s="1927">
        <f>_xll.cw_map("BR","50-IMRF-&gt;3-5140-6")</f>
        <v>0</v>
      </c>
      <c r="I291" s="591"/>
      <c r="J291" s="591"/>
      <c r="K291" s="1663">
        <f>H291</f>
        <v>0</v>
      </c>
      <c r="L291" s="1927">
        <f>+'[1]EstExp 11-17'!$K$291</f>
        <v>0</v>
      </c>
    </row>
    <row r="292" spans="1:14">
      <c r="A292" s="1496" t="s">
        <v>786</v>
      </c>
      <c r="B292" s="589" t="s">
        <v>639</v>
      </c>
      <c r="C292" s="591"/>
      <c r="D292" s="591"/>
      <c r="E292" s="591"/>
      <c r="F292" s="591"/>
      <c r="G292" s="591"/>
      <c r="H292" s="1927">
        <f>_xll.cw_map("BR","50-IMRF-&gt;3-5150-6")</f>
        <v>0</v>
      </c>
      <c r="I292" s="591"/>
      <c r="J292" s="591"/>
      <c r="K292" s="1663">
        <f>H292</f>
        <v>0</v>
      </c>
      <c r="L292" s="1927">
        <f>+'[1]EstExp 11-17'!$K$292</f>
        <v>0</v>
      </c>
    </row>
    <row r="293" spans="1:14" ht="12.75" customHeight="1" thickBot="1">
      <c r="A293" s="1660" t="s">
        <v>505</v>
      </c>
      <c r="B293" s="1661" t="s">
        <v>513</v>
      </c>
      <c r="C293" s="591"/>
      <c r="D293" s="591"/>
      <c r="E293" s="591"/>
      <c r="F293" s="591"/>
      <c r="G293" s="591"/>
      <c r="H293" s="1662">
        <f>SUM(H288:H292)</f>
        <v>0</v>
      </c>
      <c r="I293" s="591"/>
      <c r="J293" s="591"/>
      <c r="K293" s="1662">
        <f>SUM(K288:K292)</f>
        <v>0</v>
      </c>
      <c r="L293" s="1662">
        <f>SUM(L288:L292)</f>
        <v>0</v>
      </c>
    </row>
    <row r="294" spans="1:14" ht="15.75" customHeight="1" thickTop="1" thickBot="1">
      <c r="A294" s="1617" t="s">
        <v>932</v>
      </c>
      <c r="B294" s="1605" t="s">
        <v>916</v>
      </c>
      <c r="C294" s="591"/>
      <c r="D294" s="598"/>
      <c r="E294" s="591"/>
      <c r="F294" s="591"/>
      <c r="G294" s="591"/>
      <c r="H294" s="659"/>
      <c r="I294" s="591"/>
      <c r="J294" s="591"/>
      <c r="K294" s="659"/>
      <c r="L294" s="1947">
        <f>+'[1]EstExp 11-17'!$K$284</f>
        <v>0</v>
      </c>
    </row>
    <row r="295" spans="1:14" ht="12.75" customHeight="1" thickTop="1" thickBot="1">
      <c r="A295" s="2207" t="s">
        <v>526</v>
      </c>
      <c r="B295" s="2208"/>
      <c r="C295" s="591"/>
      <c r="D295" s="1662">
        <f>SUM(D229,D279,D280,D285)</f>
        <v>1937465</v>
      </c>
      <c r="E295" s="591"/>
      <c r="F295" s="591"/>
      <c r="G295" s="591"/>
      <c r="H295" s="1662">
        <f>H293</f>
        <v>0</v>
      </c>
      <c r="I295" s="591"/>
      <c r="J295" s="591"/>
      <c r="K295" s="1662">
        <f>SUM(K229,K279,K280,K285,K293,K294)</f>
        <v>1937465</v>
      </c>
      <c r="L295" s="1662">
        <f>SUM(L229,L279,L280,L285,L293,L294)</f>
        <v>1945279</v>
      </c>
    </row>
    <row r="296" spans="1:14" ht="13.5" thickTop="1">
      <c r="A296" s="2189" t="s">
        <v>1053</v>
      </c>
      <c r="B296" s="2190"/>
      <c r="C296" s="591"/>
      <c r="D296" s="593"/>
      <c r="E296" s="591"/>
      <c r="F296" s="591"/>
      <c r="G296" s="591"/>
      <c r="H296" s="660"/>
      <c r="I296" s="591"/>
      <c r="J296" s="591"/>
      <c r="K296" s="1676">
        <f>'Revenues 9-14'!G275-'Expenditures 15-22'!K295</f>
        <v>-879939</v>
      </c>
      <c r="L296" s="660"/>
    </row>
    <row r="297" spans="1:14" s="639" customFormat="1" ht="9" customHeight="1">
      <c r="A297" s="636"/>
      <c r="B297" s="646"/>
      <c r="C297" s="624"/>
      <c r="D297" s="624"/>
      <c r="E297" s="624"/>
      <c r="F297" s="624"/>
      <c r="G297" s="624"/>
      <c r="H297" s="624"/>
      <c r="I297" s="624"/>
      <c r="J297" s="624"/>
      <c r="K297" s="624"/>
      <c r="L297" s="624"/>
      <c r="M297" s="638"/>
      <c r="N297" s="638"/>
    </row>
    <row r="298" spans="1:14" ht="16.7" customHeight="1">
      <c r="A298" s="2199" t="s">
        <v>145</v>
      </c>
      <c r="B298" s="2193"/>
      <c r="C298" s="1543"/>
      <c r="D298" s="1544"/>
      <c r="E298" s="1544"/>
      <c r="F298" s="1544"/>
      <c r="G298" s="1544"/>
      <c r="H298" s="1544"/>
      <c r="I298" s="1544"/>
      <c r="J298" s="1544"/>
      <c r="K298" s="1544"/>
      <c r="L298" s="1545"/>
    </row>
    <row r="299" spans="1:14" ht="15.75" customHeight="1">
      <c r="A299" s="1604" t="s">
        <v>146</v>
      </c>
      <c r="B299" s="1607" t="s">
        <v>590</v>
      </c>
      <c r="C299" s="591"/>
      <c r="D299" s="591"/>
      <c r="E299" s="591"/>
      <c r="F299" s="591"/>
      <c r="G299" s="591"/>
      <c r="H299" s="591"/>
      <c r="I299" s="591"/>
      <c r="J299" s="591"/>
      <c r="K299" s="591"/>
      <c r="L299" s="591"/>
    </row>
    <row r="300" spans="1:14" ht="15.75" customHeight="1">
      <c r="A300" s="661" t="s">
        <v>633</v>
      </c>
      <c r="B300" s="606"/>
      <c r="C300" s="598"/>
      <c r="D300" s="598"/>
      <c r="E300" s="598"/>
      <c r="F300" s="598"/>
      <c r="G300" s="598"/>
      <c r="H300" s="598"/>
      <c r="I300" s="591"/>
      <c r="J300" s="591"/>
      <c r="K300" s="598"/>
      <c r="L300" s="598"/>
    </row>
    <row r="301" spans="1:14" ht="13.5" thickBot="1">
      <c r="A301" s="1509" t="s">
        <v>629</v>
      </c>
      <c r="B301" s="662">
        <v>2530</v>
      </c>
      <c r="C301" s="1947">
        <f>_xll.cw_map("BR","60-CP-&gt;3-2530-1")</f>
        <v>0</v>
      </c>
      <c r="D301" s="1947">
        <f>_xll.cw_map("BR","60-CP-&gt;3-2530-2")</f>
        <v>0</v>
      </c>
      <c r="E301" s="1947">
        <f>_xll.cw_map("BR","60-CP-&gt;3-2530-3")</f>
        <v>0</v>
      </c>
      <c r="F301" s="1947">
        <f>_xll.cw_map("BR","60-CP-&gt;3-2530-4")</f>
        <v>0</v>
      </c>
      <c r="G301" s="1947">
        <f>_xll.cw_map("BR","60-CP-&gt;3-2530-5")</f>
        <v>2636</v>
      </c>
      <c r="H301" s="1947">
        <f>_xll.cw_map("BR","60-CP-&gt;3-2530-6")</f>
        <v>0</v>
      </c>
      <c r="I301" s="1941">
        <f>_xll.cw_map("BR","60-CP-&gt;3-2530-7")</f>
        <v>0</v>
      </c>
      <c r="J301" s="1941">
        <f>_xll.cw_map("BR","60-CP-&gt;3-2530-8")</f>
        <v>0</v>
      </c>
      <c r="K301" s="1663">
        <f>SUM(C301:J301)</f>
        <v>2636</v>
      </c>
      <c r="L301" s="1941">
        <f>+'[1]EstExp 11-17'!$K$301</f>
        <v>0</v>
      </c>
    </row>
    <row r="302" spans="1:14" ht="13.5" customHeight="1" thickTop="1" thickBot="1">
      <c r="A302" s="1509" t="s">
        <v>1037</v>
      </c>
      <c r="B302" s="589" t="s">
        <v>595</v>
      </c>
      <c r="C302" s="1946">
        <f>_xll.cw_map("BR","60-CP-&gt;3-2900-1")</f>
        <v>0</v>
      </c>
      <c r="D302" s="1946">
        <f>_xll.cw_map("BR","60-CP-&gt;3-2900-2")</f>
        <v>0</v>
      </c>
      <c r="E302" s="1946">
        <f>_xll.cw_map("BR","60-CP-&gt;3-2900-3")</f>
        <v>0</v>
      </c>
      <c r="F302" s="1946">
        <f>_xll.cw_map("BR","60-CP-&gt;3-2900-4")</f>
        <v>0</v>
      </c>
      <c r="G302" s="1946">
        <f>_xll.cw_map("BR","60-CP-&gt;3-2900-5")</f>
        <v>0</v>
      </c>
      <c r="H302" s="1946">
        <f>_xll.cw_map("BR","60-CP-&gt;3-2900-6")</f>
        <v>0</v>
      </c>
      <c r="I302" s="1942">
        <f>_xll.cw_map("BR","60-CP-&gt;3-2900-7")</f>
        <v>0</v>
      </c>
      <c r="J302" s="1942">
        <f>_xll.cw_map("BR","60-CP-&gt;3-2900-8")</f>
        <v>0</v>
      </c>
      <c r="K302" s="1663">
        <f>SUM(C302:J302)</f>
        <v>0</v>
      </c>
      <c r="L302" s="1946">
        <f>+'[1]EstExp 11-17'!$K$302</f>
        <v>0</v>
      </c>
    </row>
    <row r="303" spans="1:14" ht="12.75" customHeight="1" thickTop="1" thickBot="1">
      <c r="A303" s="1660" t="s">
        <v>865</v>
      </c>
      <c r="B303" s="1661" t="s">
        <v>590</v>
      </c>
      <c r="C303" s="1669">
        <f>SUM(C301:C302)</f>
        <v>0</v>
      </c>
      <c r="D303" s="1669">
        <f t="shared" ref="D303:L303" si="23">SUM(D301:D302)</f>
        <v>0</v>
      </c>
      <c r="E303" s="1669">
        <f t="shared" si="23"/>
        <v>0</v>
      </c>
      <c r="F303" s="1669">
        <f t="shared" si="23"/>
        <v>0</v>
      </c>
      <c r="G303" s="1669">
        <f t="shared" si="23"/>
        <v>2636</v>
      </c>
      <c r="H303" s="1669">
        <f t="shared" si="23"/>
        <v>0</v>
      </c>
      <c r="I303" s="1669">
        <f t="shared" si="23"/>
        <v>0</v>
      </c>
      <c r="J303" s="1669">
        <f t="shared" si="23"/>
        <v>0</v>
      </c>
      <c r="K303" s="1669">
        <f t="shared" si="23"/>
        <v>2636</v>
      </c>
      <c r="L303" s="1669">
        <f t="shared" si="23"/>
        <v>0</v>
      </c>
    </row>
    <row r="304" spans="1:14" ht="15.75" customHeight="1" thickTop="1">
      <c r="A304" s="1604" t="s">
        <v>147</v>
      </c>
      <c r="B304" s="1605" t="s">
        <v>915</v>
      </c>
      <c r="C304" s="591"/>
      <c r="D304" s="591"/>
      <c r="E304" s="591"/>
      <c r="F304" s="591"/>
      <c r="G304" s="591"/>
      <c r="H304" s="591"/>
      <c r="I304" s="591"/>
      <c r="J304" s="591"/>
      <c r="K304" s="591"/>
      <c r="L304" s="591"/>
    </row>
    <row r="305" spans="1:14" ht="15.75" customHeight="1">
      <c r="A305" s="627" t="s">
        <v>953</v>
      </c>
      <c r="B305" s="597"/>
      <c r="C305" s="591"/>
      <c r="D305" s="591"/>
      <c r="E305" s="591"/>
      <c r="F305" s="591"/>
      <c r="G305" s="591"/>
      <c r="H305" s="591"/>
      <c r="I305" s="591"/>
      <c r="J305" s="591"/>
      <c r="K305" s="591"/>
      <c r="L305" s="591"/>
    </row>
    <row r="306" spans="1:14">
      <c r="A306" s="1510" t="s">
        <v>1960</v>
      </c>
      <c r="B306" s="663" t="s">
        <v>1955</v>
      </c>
      <c r="C306" s="591"/>
      <c r="D306" s="591"/>
      <c r="E306" s="1926">
        <f>_xll.cw_map("BR","60-CP-&gt;3-4110-3")</f>
        <v>0</v>
      </c>
      <c r="F306" s="591"/>
      <c r="G306" s="591"/>
      <c r="H306" s="1926">
        <f>_xll.cw_map("BR","60-CP-&gt;3-4110-6")</f>
        <v>0</v>
      </c>
      <c r="I306" s="591"/>
      <c r="J306" s="591"/>
      <c r="K306" s="1663">
        <f>SUM(E306,H306)</f>
        <v>0</v>
      </c>
      <c r="L306" s="1926">
        <f>+'[1]EstExp 11-17'!$K$306</f>
        <v>0</v>
      </c>
    </row>
    <row r="307" spans="1:14">
      <c r="A307" s="1496" t="s">
        <v>322</v>
      </c>
      <c r="B307" s="589">
        <v>4120</v>
      </c>
      <c r="C307" s="591"/>
      <c r="D307" s="591"/>
      <c r="E307" s="1926">
        <f>_xll.cw_map("BR","60-CP-&gt;3-4120-3")</f>
        <v>0</v>
      </c>
      <c r="F307" s="591"/>
      <c r="G307" s="591"/>
      <c r="H307" s="1926">
        <f>_xll.cw_map("BR","60-CP-&gt;3-4120-6")</f>
        <v>0</v>
      </c>
      <c r="I307" s="473"/>
      <c r="J307" s="591"/>
      <c r="K307" s="1663">
        <f>SUM(E307,H307)</f>
        <v>0</v>
      </c>
      <c r="L307" s="1927">
        <f>+'[1]EstExp 11-17'!$K$307</f>
        <v>0</v>
      </c>
    </row>
    <row r="308" spans="1:14">
      <c r="A308" s="1496" t="s">
        <v>721</v>
      </c>
      <c r="B308" s="589">
        <v>4140</v>
      </c>
      <c r="C308" s="591"/>
      <c r="D308" s="591"/>
      <c r="E308" s="1926">
        <f>_xll.cw_map("BR","60-CP-&gt;3-4140-3")</f>
        <v>0</v>
      </c>
      <c r="F308" s="591"/>
      <c r="G308" s="591"/>
      <c r="H308" s="1926">
        <f>_xll.cw_map("BR","60-CP-&gt;3-4140-6")</f>
        <v>0</v>
      </c>
      <c r="I308" s="473"/>
      <c r="J308" s="591"/>
      <c r="K308" s="1663">
        <f>SUM(E308,H308)</f>
        <v>0</v>
      </c>
      <c r="L308" s="1927">
        <f>+'[1]EstExp 11-17'!$K$308</f>
        <v>0</v>
      </c>
    </row>
    <row r="309" spans="1:14" ht="12.75" customHeight="1">
      <c r="A309" s="1500" t="s">
        <v>722</v>
      </c>
      <c r="B309" s="603">
        <v>4190</v>
      </c>
      <c r="C309" s="591"/>
      <c r="D309" s="591"/>
      <c r="E309" s="1926">
        <f>_xll.cw_map("BR","60-CP-&gt;3-4190-3")</f>
        <v>0</v>
      </c>
      <c r="F309" s="591"/>
      <c r="G309" s="591"/>
      <c r="H309" s="1926">
        <f>_xll.cw_map("BR","60-CP-&gt;3-4190-6")</f>
        <v>0</v>
      </c>
      <c r="I309" s="473"/>
      <c r="J309" s="591"/>
      <c r="K309" s="1663">
        <f>SUM(E309,H309)</f>
        <v>0</v>
      </c>
      <c r="L309" s="1927">
        <f>+'[1]EstExp 11-17'!$K$309</f>
        <v>0</v>
      </c>
    </row>
    <row r="310" spans="1:14" ht="12.75" customHeight="1" thickBot="1">
      <c r="A310" s="1660" t="s">
        <v>1567</v>
      </c>
      <c r="B310" s="1667" t="s">
        <v>915</v>
      </c>
      <c r="C310" s="591"/>
      <c r="D310" s="591"/>
      <c r="E310" s="1662">
        <f>SUM(E306:E309)</f>
        <v>0</v>
      </c>
      <c r="F310" s="591"/>
      <c r="G310" s="591"/>
      <c r="H310" s="1662">
        <f>SUM(H306:H309)</f>
        <v>0</v>
      </c>
      <c r="I310" s="473"/>
      <c r="J310" s="591"/>
      <c r="K310" s="1662">
        <f>SUM(K306:K309)</f>
        <v>0</v>
      </c>
      <c r="L310" s="1669">
        <f>SUM(L306:L309)</f>
        <v>0</v>
      </c>
    </row>
    <row r="311" spans="1:14" ht="15.75" customHeight="1" thickTop="1" thickBot="1">
      <c r="A311" s="1611" t="s">
        <v>951</v>
      </c>
      <c r="B311" s="1603" t="s">
        <v>916</v>
      </c>
      <c r="C311" s="598"/>
      <c r="D311" s="598"/>
      <c r="E311" s="598"/>
      <c r="F311" s="598"/>
      <c r="G311" s="598"/>
      <c r="H311" s="598"/>
      <c r="I311" s="598"/>
      <c r="J311" s="591"/>
      <c r="K311" s="598"/>
      <c r="L311" s="1944">
        <f>+'[1]EstExp 11-17'!$K$311</f>
        <v>0</v>
      </c>
    </row>
    <row r="312" spans="1:14" s="647" customFormat="1" ht="12.75" customHeight="1" thickTop="1" thickBot="1">
      <c r="A312" s="2204" t="s">
        <v>295</v>
      </c>
      <c r="B312" s="2205"/>
      <c r="C312" s="1662">
        <f>SUM(C303)</f>
        <v>0</v>
      </c>
      <c r="D312" s="1662">
        <f>SUM(D303)</f>
        <v>0</v>
      </c>
      <c r="E312" s="1662">
        <f>SUM(E303,E310)</f>
        <v>0</v>
      </c>
      <c r="F312" s="1662">
        <f>SUM(F303)</f>
        <v>0</v>
      </c>
      <c r="G312" s="1662">
        <f>SUM(G303)</f>
        <v>2636</v>
      </c>
      <c r="H312" s="1662">
        <f>SUM(H303,H310)</f>
        <v>0</v>
      </c>
      <c r="I312" s="1662">
        <f>SUM(I303)</f>
        <v>0</v>
      </c>
      <c r="J312" s="1662">
        <f>SUM(J303)</f>
        <v>0</v>
      </c>
      <c r="K312" s="1662">
        <f>SUM(K303,K310,K311)</f>
        <v>2636</v>
      </c>
      <c r="L312" s="1662">
        <f>SUM(L303,L310,L311)</f>
        <v>0</v>
      </c>
      <c r="M312" s="638"/>
      <c r="N312" s="638"/>
    </row>
    <row r="313" spans="1:14" ht="13.5" thickTop="1">
      <c r="A313" s="2200" t="s">
        <v>1053</v>
      </c>
      <c r="B313" s="2201"/>
      <c r="C313" s="601"/>
      <c r="D313" s="601"/>
      <c r="E313" s="601"/>
      <c r="F313" s="601"/>
      <c r="G313" s="601"/>
      <c r="H313" s="601"/>
      <c r="I313" s="601"/>
      <c r="J313" s="601"/>
      <c r="K313" s="1677">
        <f>'Revenues 9-14'!H275-'Expenditures 15-22'!K312</f>
        <v>33387</v>
      </c>
      <c r="L313" s="601"/>
    </row>
    <row r="314" spans="1:14" s="639" customFormat="1" ht="9" customHeight="1">
      <c r="A314" s="664"/>
      <c r="B314" s="665"/>
      <c r="C314" s="666"/>
      <c r="D314" s="666"/>
      <c r="E314" s="666"/>
      <c r="F314" s="666"/>
      <c r="G314" s="666"/>
      <c r="H314" s="666"/>
      <c r="I314" s="666"/>
      <c r="J314" s="666"/>
      <c r="K314" s="666"/>
      <c r="L314" s="666"/>
      <c r="M314" s="638"/>
      <c r="N314" s="638"/>
    </row>
    <row r="315" spans="1:14" ht="16.7" customHeight="1">
      <c r="A315" s="2213" t="s">
        <v>151</v>
      </c>
      <c r="B315" s="2214"/>
      <c r="C315" s="1548"/>
      <c r="D315" s="1549"/>
      <c r="E315" s="1549"/>
      <c r="F315" s="1549"/>
      <c r="G315" s="1549"/>
      <c r="H315" s="1549"/>
      <c r="I315" s="1549"/>
      <c r="J315" s="1549"/>
      <c r="K315" s="1549"/>
      <c r="L315" s="1550"/>
    </row>
    <row r="316" spans="1:14" s="647" customFormat="1" ht="9" customHeight="1">
      <c r="A316" s="664"/>
      <c r="B316" s="665"/>
      <c r="C316" s="667"/>
      <c r="D316" s="667"/>
      <c r="E316" s="667"/>
      <c r="F316" s="667"/>
      <c r="G316" s="667"/>
      <c r="H316" s="667"/>
      <c r="I316" s="667"/>
      <c r="J316" s="667"/>
      <c r="K316" s="667"/>
      <c r="L316" s="667"/>
      <c r="M316" s="638"/>
      <c r="N316" s="638"/>
    </row>
    <row r="317" spans="1:14" ht="16.7" customHeight="1">
      <c r="A317" s="2215" t="s">
        <v>954</v>
      </c>
      <c r="B317" s="2214"/>
      <c r="C317" s="1548"/>
      <c r="D317" s="1549"/>
      <c r="E317" s="1549"/>
      <c r="F317" s="1549"/>
      <c r="G317" s="1549"/>
      <c r="H317" s="1549"/>
      <c r="I317" s="1549"/>
      <c r="J317" s="1549"/>
      <c r="K317" s="1549"/>
      <c r="L317" s="1550"/>
    </row>
    <row r="318" spans="1:14" s="647" customFormat="1" ht="15.75" customHeight="1">
      <c r="A318" s="668" t="s">
        <v>631</v>
      </c>
      <c r="B318" s="669"/>
      <c r="C318" s="612"/>
      <c r="D318" s="612"/>
      <c r="E318" s="612"/>
      <c r="F318" s="612"/>
      <c r="G318" s="612"/>
      <c r="H318" s="612"/>
      <c r="I318" s="612"/>
      <c r="J318" s="612"/>
      <c r="K318" s="612"/>
      <c r="L318" s="612"/>
      <c r="M318" s="638"/>
      <c r="N318" s="638"/>
    </row>
    <row r="319" spans="1:14" s="647" customFormat="1">
      <c r="A319" s="1511" t="s">
        <v>317</v>
      </c>
      <c r="B319" s="670" t="s">
        <v>299</v>
      </c>
      <c r="C319" s="1926">
        <f>_xll.cw_map("BR","80-TORT-&gt;3-2361-1")</f>
        <v>0</v>
      </c>
      <c r="D319" s="1926">
        <f>_xll.cw_map("BR","80-TORT-&gt;3-2361-2")</f>
        <v>0</v>
      </c>
      <c r="E319" s="1926">
        <f>_xll.cw_map("BR","80-TORT-&gt;3-2361-3")</f>
        <v>0</v>
      </c>
      <c r="F319" s="1926">
        <f>_xll.cw_map("BR","80-TORT-&gt;3-2361-4")</f>
        <v>0</v>
      </c>
      <c r="G319" s="1926">
        <f>_xll.cw_map("BR","80-TORT-&gt;3-2361-5")</f>
        <v>0</v>
      </c>
      <c r="H319" s="1926">
        <f>_xll.cw_map("BR","80-TORT-&gt;3-2361-6")</f>
        <v>0</v>
      </c>
      <c r="I319" s="1926">
        <f>_xll.cw_map("BR","80-TORT-&gt;3-2361-7")</f>
        <v>0</v>
      </c>
      <c r="J319" s="1926">
        <f>_xll.cw_map("BR","80-TORT-&gt;3-2361-8")</f>
        <v>0</v>
      </c>
      <c r="K319" s="1663">
        <f>SUM(C319:J319)</f>
        <v>0</v>
      </c>
      <c r="L319" s="1926">
        <f>+'[1]EstExp 11-17'!$K$319</f>
        <v>0</v>
      </c>
      <c r="M319" s="638"/>
      <c r="N319" s="638"/>
    </row>
    <row r="320" spans="1:14" s="647" customFormat="1">
      <c r="A320" s="1515" t="s">
        <v>1906</v>
      </c>
      <c r="B320" s="671" t="s">
        <v>300</v>
      </c>
      <c r="C320" s="1926">
        <f>_xll.cw_map("BR","80-TORT-&gt;3-2362-1")</f>
        <v>0</v>
      </c>
      <c r="D320" s="1926">
        <f>_xll.cw_map("BR","80-TORT-&gt;3-2362-2")</f>
        <v>0</v>
      </c>
      <c r="E320" s="1926">
        <v>654632</v>
      </c>
      <c r="F320" s="1926">
        <f>_xll.cw_map("BR","80-TORT-&gt;3-2362-4")</f>
        <v>0</v>
      </c>
      <c r="G320" s="1926"/>
      <c r="H320" s="1926">
        <f>_xll.cw_map("BR","80-TORT-&gt;3-2362-6")</f>
        <v>0</v>
      </c>
      <c r="I320" s="1926">
        <f>_xll.cw_map("BR","80-TORT-&gt;3-2362-7")</f>
        <v>0</v>
      </c>
      <c r="J320" s="1926">
        <f>_xll.cw_map("BR","80-TORT-&gt;3-2362-8")</f>
        <v>0</v>
      </c>
      <c r="K320" s="1663">
        <f t="shared" ref="K320:K327" si="24">SUM(C320:J320)</f>
        <v>654632</v>
      </c>
      <c r="L320" s="1926">
        <f>+'[1]EstExp 11-17'!$K$320</f>
        <v>650000</v>
      </c>
      <c r="M320" s="638"/>
      <c r="N320" s="638"/>
    </row>
    <row r="321" spans="1:14" s="647" customFormat="1">
      <c r="A321" s="1511" t="s">
        <v>318</v>
      </c>
      <c r="B321" s="670" t="s">
        <v>301</v>
      </c>
      <c r="C321" s="1926">
        <f>_xll.cw_map("BR","80-TORT-&gt;3-2363-1")</f>
        <v>0</v>
      </c>
      <c r="D321" s="1926">
        <f>_xll.cw_map("BR","80-TORT-&gt;3-2363-2")</f>
        <v>0</v>
      </c>
      <c r="E321" s="1926">
        <f>_xll.cw_map("BR","80-TORT-&gt;3-2363-3")</f>
        <v>70405</v>
      </c>
      <c r="F321" s="1926">
        <f>_xll.cw_map("BR","80-TORT-&gt;3-2363-4")</f>
        <v>0</v>
      </c>
      <c r="G321" s="1926">
        <f>_xll.cw_map("BR","80-TORT-&gt;3-2363-5")</f>
        <v>0</v>
      </c>
      <c r="H321" s="1926">
        <f>_xll.cw_map("BR","80-TORT-&gt;3-2363-6")</f>
        <v>0</v>
      </c>
      <c r="I321" s="1926">
        <f>_xll.cw_map("BR","80-TORT-&gt;3-2363-7")</f>
        <v>0</v>
      </c>
      <c r="J321" s="1926">
        <f>_xll.cw_map("BR","80-TORT-&gt;3-2363-8")</f>
        <v>0</v>
      </c>
      <c r="K321" s="1663">
        <f t="shared" si="24"/>
        <v>70405</v>
      </c>
      <c r="L321" s="1926">
        <f>+'[1]EstExp 11-17'!$K$321</f>
        <v>70000</v>
      </c>
      <c r="M321" s="638"/>
      <c r="N321" s="638"/>
    </row>
    <row r="322" spans="1:14" s="647" customFormat="1">
      <c r="A322" s="1511" t="s">
        <v>256</v>
      </c>
      <c r="B322" s="670" t="s">
        <v>302</v>
      </c>
      <c r="C322" s="1926">
        <f>_xll.cw_map("BR","80-TORT-&gt;3-2364-1")</f>
        <v>0</v>
      </c>
      <c r="D322" s="1926">
        <f>_xll.cw_map("BR","80-TORT-&gt;3-2364-2")</f>
        <v>0</v>
      </c>
      <c r="E322" s="1926">
        <f>_xll.cw_map("BR","80-TORT-&gt;3-2364-3")</f>
        <v>209441</v>
      </c>
      <c r="F322" s="1926">
        <f>_xll.cw_map("BR","80-TORT-&gt;3-2364-4")</f>
        <v>0</v>
      </c>
      <c r="G322" s="1926">
        <f>_xll.cw_map("BR","80-TORT-&gt;3-2364-5")</f>
        <v>0</v>
      </c>
      <c r="H322" s="1926">
        <f>_xll.cw_map("BR","80-TORT-&gt;3-2364-6")</f>
        <v>0</v>
      </c>
      <c r="I322" s="1926">
        <f>_xll.cw_map("BR","80-TORT-&gt;3-2364-7")</f>
        <v>0</v>
      </c>
      <c r="J322" s="1926">
        <f>_xll.cw_map("BR","80-TORT-&gt;3-2364-8")</f>
        <v>0</v>
      </c>
      <c r="K322" s="1663">
        <f t="shared" si="24"/>
        <v>209441</v>
      </c>
      <c r="L322" s="1926">
        <f>+'[1]EstExp 11-17'!$K$322</f>
        <v>209441</v>
      </c>
      <c r="M322" s="638"/>
      <c r="N322" s="638"/>
    </row>
    <row r="323" spans="1:14" s="647" customFormat="1">
      <c r="A323" s="1511" t="s">
        <v>726</v>
      </c>
      <c r="B323" s="670" t="s">
        <v>303</v>
      </c>
      <c r="C323" s="1926">
        <f>_xll.cw_map("BR","80-TORT-&gt;3-2365-1")</f>
        <v>997583</v>
      </c>
      <c r="D323" s="1926">
        <f>_xll.cw_map("BR","80-TORT-&gt;3-2365-2")</f>
        <v>0</v>
      </c>
      <c r="E323" s="1926">
        <f>_xll.cw_map("BR","80-TORT-&gt;3-2365-3")</f>
        <v>0</v>
      </c>
      <c r="F323" s="1926">
        <f>_xll.cw_map("BR","80-TORT-&gt;3-2365-4")</f>
        <v>0</v>
      </c>
      <c r="G323" s="1926">
        <f>_xll.cw_map("BR","80-TORT-&gt;3-2365-5")</f>
        <v>0</v>
      </c>
      <c r="H323" s="1926">
        <f>_xll.cw_map("BR","80-TORT-&gt;3-2365-6")</f>
        <v>0</v>
      </c>
      <c r="I323" s="1926">
        <f>_xll.cw_map("BR","80-TORT-&gt;3-2365-7")</f>
        <v>0</v>
      </c>
      <c r="J323" s="1926">
        <f>_xll.cw_map("BR","80-TORT-&gt;3-2365-8")</f>
        <v>0</v>
      </c>
      <c r="K323" s="1663">
        <f t="shared" si="24"/>
        <v>997583</v>
      </c>
      <c r="L323" s="1926">
        <f>+'[1]EstExp 11-17'!$K$323</f>
        <v>1000000</v>
      </c>
      <c r="M323" s="638"/>
      <c r="N323" s="638"/>
    </row>
    <row r="324" spans="1:14" s="647" customFormat="1">
      <c r="A324" s="1511" t="s">
        <v>257</v>
      </c>
      <c r="B324" s="670" t="s">
        <v>304</v>
      </c>
      <c r="C324" s="1926">
        <f>_xll.cw_map("BR","80-TORT-&gt;3-2366-1")</f>
        <v>0</v>
      </c>
      <c r="D324" s="1926">
        <f>_xll.cw_map("BR","80-TORT-&gt;3-2366-2")</f>
        <v>0</v>
      </c>
      <c r="E324" s="1926">
        <f>_xll.cw_map("BR","80-TORT-&gt;3-2366-3")</f>
        <v>0</v>
      </c>
      <c r="F324" s="1926">
        <f>_xll.cw_map("BR","80-TORT-&gt;3-2366-4")</f>
        <v>0</v>
      </c>
      <c r="G324" s="1926">
        <f>_xll.cw_map("BR","80-TORT-&gt;3-2366-5")</f>
        <v>0</v>
      </c>
      <c r="H324" s="1926">
        <f>_xll.cw_map("BR","80-TORT-&gt;3-2366-6")</f>
        <v>0</v>
      </c>
      <c r="I324" s="1926">
        <f>_xll.cw_map("BR","80-TORT-&gt;3-2366-7")</f>
        <v>0</v>
      </c>
      <c r="J324" s="1926">
        <f>_xll.cw_map("BR","80-TORT-&gt;3-2366-8")</f>
        <v>0</v>
      </c>
      <c r="K324" s="1663">
        <f t="shared" si="24"/>
        <v>0</v>
      </c>
      <c r="L324" s="1926">
        <f>+'[1]EstExp 11-17'!$K$324</f>
        <v>0</v>
      </c>
      <c r="M324" s="638"/>
      <c r="N324" s="638"/>
    </row>
    <row r="325" spans="1:14" s="647" customFormat="1" ht="22.5">
      <c r="A325" s="1511" t="s">
        <v>1087</v>
      </c>
      <c r="B325" s="671" t="s">
        <v>305</v>
      </c>
      <c r="C325" s="1926">
        <f>_xll.cw_map("BR","80-TORT-&gt;3-2367-1")</f>
        <v>0</v>
      </c>
      <c r="D325" s="1926">
        <f>_xll.cw_map("BR","80-TORT-&gt;3-2367-2")</f>
        <v>0</v>
      </c>
      <c r="E325" s="1926">
        <f>_xll.cw_map("BR","80-TORT-&gt;3-2367-3")</f>
        <v>0</v>
      </c>
      <c r="F325" s="1926">
        <f>_xll.cw_map("BR","80-TORT-&gt;3-2367-4")</f>
        <v>0</v>
      </c>
      <c r="G325" s="1926">
        <f>_xll.cw_map("BR","80-TORT-&gt;3-2367-5")</f>
        <v>0</v>
      </c>
      <c r="H325" s="1926">
        <f>_xll.cw_map("BR","80-TORT-&gt;3-2367-6")</f>
        <v>0</v>
      </c>
      <c r="I325" s="1926">
        <f>_xll.cw_map("BR","80-TORT-&gt;3-2367-7")</f>
        <v>0</v>
      </c>
      <c r="J325" s="1926">
        <f>_xll.cw_map("BR","80-TORT-&gt;3-2367-8")</f>
        <v>0</v>
      </c>
      <c r="K325" s="1663">
        <f t="shared" si="24"/>
        <v>0</v>
      </c>
      <c r="L325" s="1926">
        <f>+'[1]EstExp 11-17'!$K$325</f>
        <v>0</v>
      </c>
      <c r="M325" s="638"/>
      <c r="N325" s="638"/>
    </row>
    <row r="326" spans="1:14" s="647" customFormat="1">
      <c r="A326" s="1511" t="s">
        <v>1088</v>
      </c>
      <c r="B326" s="670" t="s">
        <v>306</v>
      </c>
      <c r="C326" s="1926">
        <f>_xll.cw_map("BR","80-TORT-&gt;3-2368-1")</f>
        <v>0</v>
      </c>
      <c r="D326" s="1926">
        <f>_xll.cw_map("BR","80-TORT-&gt;3-2368-2")</f>
        <v>0</v>
      </c>
      <c r="E326" s="1926">
        <f>_xll.cw_map("BR","80-TORT-&gt;3-2368-3")</f>
        <v>0</v>
      </c>
      <c r="F326" s="1926">
        <f>_xll.cw_map("BR","80-TORT-&gt;3-2368-4")</f>
        <v>0</v>
      </c>
      <c r="G326" s="1926">
        <f>_xll.cw_map("BR","80-TORT-&gt;3-2368-5")</f>
        <v>0</v>
      </c>
      <c r="H326" s="1926">
        <f>_xll.cw_map("BR","80-TORT-&gt;3-2368-6")</f>
        <v>0</v>
      </c>
      <c r="I326" s="1926">
        <f>_xll.cw_map("BR","80-TORT-&gt;3-2368-7")</f>
        <v>0</v>
      </c>
      <c r="J326" s="1926">
        <f>_xll.cw_map("BR","80-TORT-&gt;3-2368-8")</f>
        <v>0</v>
      </c>
      <c r="K326" s="1663">
        <f t="shared" si="24"/>
        <v>0</v>
      </c>
      <c r="L326" s="1926">
        <f>+'[1]EstExp 11-17'!$K$326</f>
        <v>0</v>
      </c>
      <c r="M326" s="638"/>
      <c r="N326" s="638"/>
    </row>
    <row r="327" spans="1:14" s="647" customFormat="1">
      <c r="A327" s="1511" t="s">
        <v>1028</v>
      </c>
      <c r="B327" s="670" t="s">
        <v>307</v>
      </c>
      <c r="C327" s="1926">
        <f>_xll.cw_map("BR","80-TORT-&gt;3-2369-1")</f>
        <v>0</v>
      </c>
      <c r="D327" s="1926">
        <f>_xll.cw_map("BR","80-TORT-&gt;3-2369-2")</f>
        <v>0</v>
      </c>
      <c r="E327" s="1926">
        <f>_xll.cw_map("BR","80-TORT-&gt;3-2369-3")</f>
        <v>0</v>
      </c>
      <c r="F327" s="1926">
        <f>_xll.cw_map("BR","80-TORT-&gt;3-2369-4")</f>
        <v>0</v>
      </c>
      <c r="G327" s="1926">
        <f>_xll.cw_map("BR","80-TORT-&gt;3-2369-5")</f>
        <v>0</v>
      </c>
      <c r="H327" s="1926">
        <f>_xll.cw_map("BR","80-TORT-&gt;3-2369-6")</f>
        <v>0</v>
      </c>
      <c r="I327" s="1926">
        <f>_xll.cw_map("BR","80-TORT-&gt;3-2369-7")</f>
        <v>0</v>
      </c>
      <c r="J327" s="1926">
        <f>_xll.cw_map("BR","80-TORT-&gt;3-2369-8")</f>
        <v>0</v>
      </c>
      <c r="K327" s="1663">
        <f t="shared" si="24"/>
        <v>0</v>
      </c>
      <c r="L327" s="1930">
        <f>+'[1]EstExp 11-17'!$K$327</f>
        <v>0</v>
      </c>
      <c r="M327" s="638"/>
      <c r="N327" s="638"/>
    </row>
    <row r="328" spans="1:14" s="647" customFormat="1">
      <c r="A328" s="1512" t="s">
        <v>492</v>
      </c>
      <c r="B328" s="663" t="s">
        <v>1194</v>
      </c>
      <c r="C328" s="1930">
        <f>_xll.cw_map("BR","80-TORT-&gt;3-2371-1")</f>
        <v>0</v>
      </c>
      <c r="D328" s="1930">
        <f>_xll.cw_map("BR","80-TORT-&gt;3-2371-2")</f>
        <v>0</v>
      </c>
      <c r="E328" s="1930">
        <f>_xll.cw_map("BR","80-TORT-&gt;3-2371-3")</f>
        <v>0</v>
      </c>
      <c r="F328" s="1930">
        <f>_xll.cw_map("BR","80-TORT-&gt;3-2371-4")</f>
        <v>0</v>
      </c>
      <c r="G328" s="1930">
        <f>_xll.cw_map("BR","80-TORT-&gt;3-2371-5")</f>
        <v>0</v>
      </c>
      <c r="H328" s="1930">
        <f>_xll.cw_map("BR","80-TORT-&gt;3-2371-6")</f>
        <v>0</v>
      </c>
      <c r="I328" s="1930">
        <f>_xll.cw_map("BR","80-TORT-&gt;3-2371-7")</f>
        <v>0</v>
      </c>
      <c r="J328" s="1930">
        <f>_xll.cw_map("BR","80-TORT-&gt;3-2371-8")</f>
        <v>0</v>
      </c>
      <c r="K328" s="1691">
        <f>SUM(C328:J328)</f>
        <v>0</v>
      </c>
      <c r="L328" s="1930">
        <f>+'[1]EstExp 11-17'!$K$328</f>
        <v>0</v>
      </c>
      <c r="M328" s="638"/>
      <c r="N328" s="638"/>
    </row>
    <row r="329" spans="1:14" s="647" customFormat="1">
      <c r="A329" s="1512" t="s">
        <v>1195</v>
      </c>
      <c r="B329" s="663" t="s">
        <v>1196</v>
      </c>
      <c r="C329" s="1930">
        <f>_xll.cw_map("BR","80-TORT-&gt;3-2372-1")</f>
        <v>0</v>
      </c>
      <c r="D329" s="1930">
        <f>_xll.cw_map("BR","80-TORT-&gt;3-2372-2")</f>
        <v>0</v>
      </c>
      <c r="E329" s="1930">
        <f>_xll.cw_map("BR","80-TORT-&gt;3-2372-3")</f>
        <v>0</v>
      </c>
      <c r="F329" s="1930">
        <f>_xll.cw_map("BR","80-TORT-&gt;3-2372-4")</f>
        <v>0</v>
      </c>
      <c r="G329" s="1930">
        <f>_xll.cw_map("BR","80-TORT-&gt;3-2372-5")</f>
        <v>0</v>
      </c>
      <c r="H329" s="1930">
        <f>_xll.cw_map("BR","80-TORT-&gt;3-2372-6")</f>
        <v>0</v>
      </c>
      <c r="I329" s="1930">
        <f>_xll.cw_map("BR","80-TORT-&gt;3-2372-7")</f>
        <v>0</v>
      </c>
      <c r="J329" s="1930">
        <f>_xll.cw_map("BR","80-TORT-&gt;3-2372-8")</f>
        <v>0</v>
      </c>
      <c r="K329" s="1691">
        <f>SUM(C329:J329)</f>
        <v>0</v>
      </c>
      <c r="L329" s="1930">
        <f>+'[1]EstExp 11-17'!$K$329</f>
        <v>0</v>
      </c>
      <c r="M329" s="638"/>
      <c r="N329" s="638"/>
    </row>
    <row r="330" spans="1:14" s="647" customFormat="1" ht="12.75" customHeight="1" thickBot="1">
      <c r="A330" s="1692" t="s">
        <v>741</v>
      </c>
      <c r="B330" s="1661" t="s">
        <v>590</v>
      </c>
      <c r="C330" s="1662">
        <f>SUM(C319:C329)</f>
        <v>997583</v>
      </c>
      <c r="D330" s="1662">
        <f t="shared" ref="D330:J330" si="25">SUM(D319:D329)</f>
        <v>0</v>
      </c>
      <c r="E330" s="1662">
        <f t="shared" si="25"/>
        <v>934478</v>
      </c>
      <c r="F330" s="1662">
        <f t="shared" si="25"/>
        <v>0</v>
      </c>
      <c r="G330" s="1662">
        <f t="shared" si="25"/>
        <v>0</v>
      </c>
      <c r="H330" s="1662">
        <f t="shared" si="25"/>
        <v>0</v>
      </c>
      <c r="I330" s="1662">
        <f t="shared" si="25"/>
        <v>0</v>
      </c>
      <c r="J330" s="1662">
        <f t="shared" si="25"/>
        <v>0</v>
      </c>
      <c r="K330" s="1662">
        <f>SUM(K319:K329)</f>
        <v>1932061</v>
      </c>
      <c r="L330" s="1662">
        <f>SUM(L319:L329)</f>
        <v>1929441</v>
      </c>
      <c r="M330" s="638"/>
      <c r="N330" s="638"/>
    </row>
    <row r="331" spans="1:14" s="647" customFormat="1" ht="12.75" customHeight="1" thickTop="1">
      <c r="A331" s="1824" t="s">
        <v>1961</v>
      </c>
      <c r="B331" s="621" t="s">
        <v>915</v>
      </c>
      <c r="C331" s="1826"/>
      <c r="D331" s="1826"/>
      <c r="E331" s="1826"/>
      <c r="F331" s="1826"/>
      <c r="G331" s="1826"/>
      <c r="H331" s="1826"/>
      <c r="I331" s="1826"/>
      <c r="J331" s="1826"/>
      <c r="K331" s="1826"/>
      <c r="L331" s="1826"/>
      <c r="M331" s="638"/>
      <c r="N331" s="638"/>
    </row>
    <row r="332" spans="1:14" s="647" customFormat="1" ht="12.75" customHeight="1">
      <c r="A332" s="1825" t="s">
        <v>517</v>
      </c>
      <c r="B332" s="1820" t="s">
        <v>1955</v>
      </c>
      <c r="C332" s="1826"/>
      <c r="D332" s="1826"/>
      <c r="E332" s="1826"/>
      <c r="F332" s="1826"/>
      <c r="G332" s="1826"/>
      <c r="H332" s="465">
        <f>_xll.cw_map("BR","80-TORT-&gt;3-4110-6")</f>
        <v>0</v>
      </c>
      <c r="I332" s="1826"/>
      <c r="J332" s="1826"/>
      <c r="K332" s="1663">
        <f>H332</f>
        <v>0</v>
      </c>
      <c r="L332" s="465">
        <f>+'[1]EstExp 11-17'!$K$332</f>
        <v>0</v>
      </c>
      <c r="M332" s="638"/>
      <c r="N332" s="638"/>
    </row>
    <row r="333" spans="1:14" s="647" customFormat="1" ht="12.75" customHeight="1">
      <c r="A333" s="1825" t="s">
        <v>322</v>
      </c>
      <c r="B333" s="1820" t="s">
        <v>1957</v>
      </c>
      <c r="C333" s="1826"/>
      <c r="D333" s="1826"/>
      <c r="E333" s="1826"/>
      <c r="F333" s="1826"/>
      <c r="G333" s="1826"/>
      <c r="H333" s="465">
        <f>_xll.cw_map("BR","80-TORT-&gt;3-4120-6")</f>
        <v>0</v>
      </c>
      <c r="I333" s="1826"/>
      <c r="J333" s="1826"/>
      <c r="K333" s="1663">
        <f>H333</f>
        <v>0</v>
      </c>
      <c r="L333" s="465">
        <f>+'[1]EstExp 11-17'!$K$333</f>
        <v>0</v>
      </c>
      <c r="M333" s="638"/>
      <c r="N333" s="638"/>
    </row>
    <row r="334" spans="1:14" s="647" customFormat="1" ht="12.75" customHeight="1" thickBot="1">
      <c r="A334" s="1825" t="s">
        <v>1962</v>
      </c>
      <c r="B334" s="1820" t="s">
        <v>915</v>
      </c>
      <c r="C334" s="1826"/>
      <c r="D334" s="1826"/>
      <c r="E334" s="1826"/>
      <c r="F334" s="1826"/>
      <c r="G334" s="1826"/>
      <c r="H334" s="1662">
        <f>SUM(H332:H333)</f>
        <v>0</v>
      </c>
      <c r="I334" s="1826"/>
      <c r="J334" s="1826"/>
      <c r="K334" s="1662">
        <f>SUM(K332:K333)</f>
        <v>0</v>
      </c>
      <c r="L334" s="1662">
        <f>SUM(L332:L333)</f>
        <v>0</v>
      </c>
      <c r="M334" s="638"/>
      <c r="N334" s="638"/>
    </row>
    <row r="335" spans="1:14" ht="15.75" customHeight="1" thickTop="1">
      <c r="A335" s="1608" t="s">
        <v>955</v>
      </c>
      <c r="B335" s="1599" t="s">
        <v>513</v>
      </c>
      <c r="C335" s="591"/>
      <c r="D335" s="591"/>
      <c r="E335" s="591"/>
      <c r="F335" s="591"/>
      <c r="G335" s="591"/>
      <c r="H335" s="591"/>
      <c r="I335" s="591"/>
      <c r="J335" s="591"/>
      <c r="K335" s="591"/>
      <c r="L335" s="591"/>
    </row>
    <row r="336" spans="1:14" ht="15.75" customHeight="1">
      <c r="A336" s="627" t="s">
        <v>636</v>
      </c>
      <c r="B336" s="597"/>
      <c r="C336" s="591"/>
      <c r="D336" s="591"/>
      <c r="E336" s="591"/>
      <c r="F336" s="591"/>
      <c r="G336" s="591"/>
      <c r="H336" s="598"/>
      <c r="I336" s="591"/>
      <c r="J336" s="591"/>
      <c r="K336" s="598"/>
      <c r="L336" s="598"/>
    </row>
    <row r="337" spans="1:14">
      <c r="A337" s="1510" t="s">
        <v>89</v>
      </c>
      <c r="B337" s="663" t="s">
        <v>956</v>
      </c>
      <c r="C337" s="612"/>
      <c r="D337" s="612"/>
      <c r="E337" s="612"/>
      <c r="F337" s="612"/>
      <c r="G337" s="612"/>
      <c r="H337" s="1932">
        <f>_xll.cw_map("BR","80-TORT-&gt;3-5110-6")</f>
        <v>0</v>
      </c>
      <c r="I337" s="612"/>
      <c r="J337" s="612"/>
      <c r="K337" s="1663">
        <f>H337</f>
        <v>0</v>
      </c>
      <c r="L337" s="1932">
        <f>+'[1]EstExp 11-17'!$K$337</f>
        <v>0</v>
      </c>
    </row>
    <row r="338" spans="1:14" ht="12.75" customHeight="1">
      <c r="A338" s="1510" t="s">
        <v>1232</v>
      </c>
      <c r="B338" s="663" t="s">
        <v>638</v>
      </c>
      <c r="C338" s="612"/>
      <c r="D338" s="612"/>
      <c r="E338" s="612"/>
      <c r="F338" s="612"/>
      <c r="G338" s="612"/>
      <c r="H338" s="1932">
        <f>_xll.cw_map("BR","80-TORT-&gt;3-5130-6")</f>
        <v>0</v>
      </c>
      <c r="I338" s="612"/>
      <c r="J338" s="612"/>
      <c r="K338" s="1663">
        <f>H338</f>
        <v>0</v>
      </c>
      <c r="L338" s="1932">
        <f>+'[1]EstExp 11-17'!$K$338</f>
        <v>0</v>
      </c>
    </row>
    <row r="339" spans="1:14">
      <c r="A339" s="1496" t="s">
        <v>957</v>
      </c>
      <c r="B339" s="603">
        <v>5150</v>
      </c>
      <c r="C339" s="612"/>
      <c r="D339" s="612"/>
      <c r="E339" s="612"/>
      <c r="F339" s="612"/>
      <c r="G339" s="612"/>
      <c r="H339" s="1926">
        <f>_xll.cw_map("BR","80-TORT-&gt;3-5150-6")</f>
        <v>0</v>
      </c>
      <c r="I339" s="612"/>
      <c r="J339" s="612"/>
      <c r="K339" s="1663">
        <f>H339</f>
        <v>0</v>
      </c>
      <c r="L339" s="1926">
        <f>+'[1]EstExp 11-17'!$K$339</f>
        <v>0</v>
      </c>
    </row>
    <row r="340" spans="1:14" ht="13.5" thickBot="1">
      <c r="A340" s="1686" t="s">
        <v>958</v>
      </c>
      <c r="B340" s="1661" t="s">
        <v>513</v>
      </c>
      <c r="C340" s="591"/>
      <c r="D340" s="591"/>
      <c r="E340" s="591"/>
      <c r="F340" s="591"/>
      <c r="G340" s="591"/>
      <c r="H340" s="1680">
        <f>SUM(H337:H339)</f>
        <v>0</v>
      </c>
      <c r="I340" s="591"/>
      <c r="J340" s="591"/>
      <c r="K340" s="1680">
        <f>SUM(K337:K339)</f>
        <v>0</v>
      </c>
      <c r="L340" s="1680">
        <f>SUM(L337:L339)</f>
        <v>0</v>
      </c>
    </row>
    <row r="341" spans="1:14" ht="15.75" customHeight="1" thickTop="1" thickBot="1">
      <c r="A341" s="1611" t="s">
        <v>959</v>
      </c>
      <c r="B341" s="1603" t="s">
        <v>916</v>
      </c>
      <c r="C341" s="591"/>
      <c r="D341" s="591"/>
      <c r="E341" s="473"/>
      <c r="F341" s="466"/>
      <c r="G341" s="466"/>
      <c r="H341" s="473"/>
      <c r="I341" s="473"/>
      <c r="J341" s="466"/>
      <c r="K341" s="473"/>
      <c r="L341" s="1927">
        <f>+'[1]EstExp 11-17'!$K$341</f>
        <v>0</v>
      </c>
    </row>
    <row r="342" spans="1:14" ht="12.75" customHeight="1" thickTop="1" thickBot="1">
      <c r="A342" s="1678" t="s">
        <v>526</v>
      </c>
      <c r="B342" s="1693"/>
      <c r="C342" s="1662">
        <f>SUM(C330)</f>
        <v>997583</v>
      </c>
      <c r="D342" s="1662">
        <f>SUM(D330)</f>
        <v>0</v>
      </c>
      <c r="E342" s="1662">
        <f>SUM(E330)</f>
        <v>934478</v>
      </c>
      <c r="F342" s="1662">
        <f>SUM(F330)</f>
        <v>0</v>
      </c>
      <c r="G342" s="1662">
        <f>SUM(G330)</f>
        <v>0</v>
      </c>
      <c r="H342" s="1662">
        <f>SUM(H330,H334,H340)</f>
        <v>0</v>
      </c>
      <c r="I342" s="1662">
        <f>SUM(I330)</f>
        <v>0</v>
      </c>
      <c r="J342" s="1662">
        <f>SUM(J330)</f>
        <v>0</v>
      </c>
      <c r="K342" s="1662">
        <f>SUM(K330,K334,K340)</f>
        <v>1932061</v>
      </c>
      <c r="L342" s="1669">
        <f>SUM(L330,L340,L341)</f>
        <v>1929441</v>
      </c>
    </row>
    <row r="343" spans="1:14" ht="12.75" customHeight="1" thickTop="1">
      <c r="A343" s="2202" t="s">
        <v>1053</v>
      </c>
      <c r="B343" s="2203"/>
      <c r="C343" s="591"/>
      <c r="D343" s="591"/>
      <c r="E343" s="591"/>
      <c r="F343" s="591"/>
      <c r="G343" s="591"/>
      <c r="H343" s="591"/>
      <c r="I343" s="591"/>
      <c r="J343" s="591"/>
      <c r="K343" s="1676">
        <f>'Revenues 9-14'!J275-'Expenditures 15-22'!K342</f>
        <v>57186</v>
      </c>
      <c r="L343" s="591"/>
    </row>
    <row r="344" spans="1:14" s="639" customFormat="1" ht="6" customHeight="1">
      <c r="A344" s="636"/>
      <c r="B344" s="637"/>
      <c r="C344" s="624"/>
      <c r="D344" s="624"/>
      <c r="E344" s="624"/>
      <c r="F344" s="624"/>
      <c r="G344" s="624"/>
      <c r="H344" s="624"/>
      <c r="I344" s="624"/>
      <c r="J344" s="624"/>
      <c r="K344" s="624"/>
      <c r="L344" s="624"/>
      <c r="M344" s="638"/>
      <c r="N344" s="638"/>
    </row>
    <row r="345" spans="1:14" s="641" customFormat="1" ht="16.7" customHeight="1">
      <c r="A345" s="2192" t="s">
        <v>1023</v>
      </c>
      <c r="B345" s="2193"/>
      <c r="C345" s="1543"/>
      <c r="D345" s="1544"/>
      <c r="E345" s="1544"/>
      <c r="F345" s="1544"/>
      <c r="G345" s="1544"/>
      <c r="H345" s="1544"/>
      <c r="I345" s="1544"/>
      <c r="J345" s="1544"/>
      <c r="K345" s="1544"/>
      <c r="L345" s="1545"/>
      <c r="M345" s="640"/>
      <c r="N345" s="640"/>
    </row>
    <row r="346" spans="1:14" s="342" customFormat="1" ht="15.75" customHeight="1">
      <c r="A346" s="1615" t="s">
        <v>899</v>
      </c>
      <c r="B346" s="1607" t="s">
        <v>590</v>
      </c>
      <c r="C346" s="591"/>
      <c r="D346" s="591"/>
      <c r="E346" s="591"/>
      <c r="F346" s="591"/>
      <c r="G346" s="591"/>
      <c r="H346" s="591"/>
      <c r="I346" s="591"/>
      <c r="J346" s="591"/>
      <c r="K346" s="591"/>
      <c r="L346" s="591"/>
      <c r="M346" s="584"/>
      <c r="N346" s="584"/>
    </row>
    <row r="347" spans="1:14" ht="15.75" customHeight="1">
      <c r="A347" s="672" t="s">
        <v>633</v>
      </c>
      <c r="B347" s="673"/>
      <c r="C347" s="598"/>
      <c r="D347" s="598"/>
      <c r="E347" s="598"/>
      <c r="F347" s="598"/>
      <c r="G347" s="598"/>
      <c r="H347" s="598"/>
      <c r="I347" s="591"/>
      <c r="J347" s="591"/>
      <c r="K347" s="598"/>
      <c r="L347" s="598"/>
    </row>
    <row r="348" spans="1:14">
      <c r="A348" s="1496" t="s">
        <v>4</v>
      </c>
      <c r="B348" s="589">
        <v>2530</v>
      </c>
      <c r="C348" s="1927">
        <f>_xll.cw_map("BR","90-FP-&gt;3-2530-1")</f>
        <v>0</v>
      </c>
      <c r="D348" s="1927">
        <f>_xll.cw_map("BR","90-FP-&gt;3-2530-2")</f>
        <v>0</v>
      </c>
      <c r="E348" s="1927">
        <f>_xll.cw_map("BR","90-FP-&gt;3-2530-3")</f>
        <v>0</v>
      </c>
      <c r="F348" s="1927">
        <f>_xll.cw_map("BR","90-FP-&gt;3-2530-4")</f>
        <v>0</v>
      </c>
      <c r="G348" s="1927">
        <f>_xll.cw_map("BR","90-FP-&gt;3-2530-5")</f>
        <v>0</v>
      </c>
      <c r="H348" s="1927">
        <f>_xll.cw_map("BR","90-FP-&gt;3-2530-6")</f>
        <v>0</v>
      </c>
      <c r="I348" s="1926">
        <f>_xll.cw_map("BR","90-FP-&gt;3-2530-7")</f>
        <v>0</v>
      </c>
      <c r="J348" s="1926">
        <f>_xll.cw_map("BR","90-FP-&gt;3-2530-8")</f>
        <v>0</v>
      </c>
      <c r="K348" s="1663">
        <f>SUM(C348:J348)</f>
        <v>0</v>
      </c>
      <c r="L348" s="1927">
        <f>+'[1]EstExp 11-17'!$K$348</f>
        <v>0</v>
      </c>
    </row>
    <row r="349" spans="1:14">
      <c r="A349" s="1496" t="s">
        <v>206</v>
      </c>
      <c r="B349" s="589">
        <v>2540</v>
      </c>
      <c r="C349" s="1927">
        <f>_xll.cw_map("BR","90-FP-&gt;3-2540-1")</f>
        <v>0</v>
      </c>
      <c r="D349" s="1927">
        <f>_xll.cw_map("BR","90-FP-&gt;3-2540-2")</f>
        <v>0</v>
      </c>
      <c r="E349" s="1927">
        <f>_xll.cw_map("BR","90-FP-&gt;3-2540-3")</f>
        <v>0</v>
      </c>
      <c r="F349" s="1927">
        <f>_xll.cw_map("BR","90-FP-&gt;3-2540-4")</f>
        <v>0</v>
      </c>
      <c r="G349" s="1927">
        <f>_xll.cw_map("BR","90-FP-&gt;3-2540-5")</f>
        <v>0</v>
      </c>
      <c r="H349" s="1927">
        <f>_xll.cw_map("BR","90-FP-&gt;3-2540-6")</f>
        <v>0</v>
      </c>
      <c r="I349" s="1926">
        <f>_xll.cw_map("BR","90-FP-&gt;3-2540-7")</f>
        <v>0</v>
      </c>
      <c r="J349" s="1926">
        <f>_xll.cw_map("BR","90-FP-&gt;3-2540-8")</f>
        <v>0</v>
      </c>
      <c r="K349" s="1663">
        <f>SUM(C349:J349)</f>
        <v>0</v>
      </c>
      <c r="L349" s="1927">
        <f>+'[1]EstExp 11-17'!$K$349</f>
        <v>0</v>
      </c>
    </row>
    <row r="350" spans="1:14" ht="12.75" customHeight="1" thickBot="1">
      <c r="A350" s="1660" t="s">
        <v>743</v>
      </c>
      <c r="B350" s="1661"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c r="A351" s="1502" t="s">
        <v>1037</v>
      </c>
      <c r="B351" s="617" t="s">
        <v>595</v>
      </c>
      <c r="C351" s="1928">
        <f>_xll.cw_map("BR","90-FP-&gt;3-2900-1")</f>
        <v>0</v>
      </c>
      <c r="D351" s="1928">
        <f>_xll.cw_map("BR","90-FP-&gt;3-2900-2")</f>
        <v>0</v>
      </c>
      <c r="E351" s="1928">
        <f>_xll.cw_map("BR","90-FP-&gt;3-2900-3")</f>
        <v>0</v>
      </c>
      <c r="F351" s="1928">
        <f>_xll.cw_map("BR","90-FP-&gt;3-2900-4")</f>
        <v>0</v>
      </c>
      <c r="G351" s="1928">
        <f>_xll.cw_map("BR","90-FP-&gt;3-2900-5")</f>
        <v>0</v>
      </c>
      <c r="H351" s="1928">
        <f>_xll.cw_map("BR","90-FP-&gt;3-2900-6")</f>
        <v>0</v>
      </c>
      <c r="I351" s="1932">
        <f>_xll.cw_map("BR","90-FP-&gt;3-2900-7")</f>
        <v>0</v>
      </c>
      <c r="J351" s="1932">
        <f>_xll.cw_map("BR","90-FP-&gt;3-2900-8")</f>
        <v>0</v>
      </c>
      <c r="K351" s="590">
        <f>SUM(C351:J351)</f>
        <v>0</v>
      </c>
      <c r="L351" s="1928">
        <f>+'[1]EstExp 11-17'!$K$351</f>
        <v>0</v>
      </c>
    </row>
    <row r="352" spans="1:14" ht="12.75" customHeight="1" thickBot="1">
      <c r="A352" s="1660" t="s">
        <v>645</v>
      </c>
      <c r="B352" s="1667" t="s">
        <v>590</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42" customFormat="1" ht="15.75" customHeight="1" thickTop="1">
      <c r="A353" s="1604" t="s">
        <v>646</v>
      </c>
      <c r="B353" s="1601" t="s">
        <v>915</v>
      </c>
      <c r="C353" s="591"/>
      <c r="D353" s="591"/>
      <c r="E353" s="591"/>
      <c r="F353" s="591"/>
      <c r="G353" s="591"/>
      <c r="H353" s="591"/>
      <c r="I353" s="591"/>
      <c r="J353" s="591"/>
      <c r="K353" s="591"/>
      <c r="L353" s="591"/>
      <c r="M353" s="584"/>
      <c r="N353" s="584"/>
    </row>
    <row r="354" spans="1:14" ht="13.5" thickBot="1">
      <c r="A354" s="1827" t="s">
        <v>1963</v>
      </c>
      <c r="B354" s="656" t="s">
        <v>1955</v>
      </c>
      <c r="C354" s="591"/>
      <c r="D354" s="591"/>
      <c r="E354" s="591"/>
      <c r="F354" s="591"/>
      <c r="G354" s="591"/>
      <c r="H354" s="1941">
        <f>_xll.cw_map("BR","90-FP-&gt;3-4110-6")</f>
        <v>0</v>
      </c>
      <c r="I354" s="674"/>
      <c r="J354" s="591"/>
      <c r="K354" s="1691">
        <f>H354</f>
        <v>0</v>
      </c>
      <c r="L354" s="469">
        <f>+'[1]EstExp 11-17'!$K$354</f>
        <v>0</v>
      </c>
    </row>
    <row r="355" spans="1:14" ht="12.75" customHeight="1" thickTop="1" thickBot="1">
      <c r="A355" s="1505" t="s">
        <v>1964</v>
      </c>
      <c r="B355" s="663" t="s">
        <v>1957</v>
      </c>
      <c r="C355" s="591"/>
      <c r="D355" s="591"/>
      <c r="E355" s="591"/>
      <c r="F355" s="591"/>
      <c r="G355" s="591"/>
      <c r="H355" s="1941">
        <f>_xll.cw_map("BR","90-FP-&gt;3-4120-6")</f>
        <v>0</v>
      </c>
      <c r="I355" s="674"/>
      <c r="J355" s="591"/>
      <c r="K355" s="1735">
        <f>H355</f>
        <v>0</v>
      </c>
      <c r="L355" s="465">
        <f>+'[1]EstExp 11-17'!$K$355</f>
        <v>0</v>
      </c>
    </row>
    <row r="356" spans="1:14" ht="12.75" customHeight="1" thickTop="1" thickBot="1">
      <c r="A356" s="1827" t="s">
        <v>722</v>
      </c>
      <c r="B356" s="656" t="s">
        <v>579</v>
      </c>
      <c r="C356" s="591"/>
      <c r="D356" s="591"/>
      <c r="E356" s="591"/>
      <c r="F356" s="591"/>
      <c r="G356" s="591"/>
      <c r="H356" s="1941">
        <f>_xll.cw_map("BR","90-FP-&gt;3-4190-6")</f>
        <v>0</v>
      </c>
      <c r="I356" s="674"/>
      <c r="J356" s="591"/>
      <c r="K356" s="1732">
        <f>H356</f>
        <v>0</v>
      </c>
      <c r="L356" s="475">
        <f>+'[1]EstExp 11-17'!$K$356</f>
        <v>0</v>
      </c>
    </row>
    <row r="357" spans="1:14" ht="12.75" customHeight="1" thickTop="1" thickBot="1">
      <c r="A357" s="1660" t="s">
        <v>1567</v>
      </c>
      <c r="B357" s="1661" t="s">
        <v>915</v>
      </c>
      <c r="C357" s="591"/>
      <c r="D357" s="591"/>
      <c r="E357" s="591"/>
      <c r="F357" s="591"/>
      <c r="G357" s="591"/>
      <c r="H357" s="1680">
        <f>SUM(H354:H356)</f>
        <v>0</v>
      </c>
      <c r="I357" s="674"/>
      <c r="J357" s="591"/>
      <c r="K357" s="1680">
        <f>SUM(K354:K356)</f>
        <v>0</v>
      </c>
      <c r="L357" s="1680">
        <f>SUM(L354:L356)</f>
        <v>0</v>
      </c>
    </row>
    <row r="358" spans="1:14" s="342" customFormat="1" ht="15.75" customHeight="1" thickTop="1">
      <c r="A358" s="1604" t="s">
        <v>1005</v>
      </c>
      <c r="B358" s="1601" t="s">
        <v>513</v>
      </c>
      <c r="C358" s="591"/>
      <c r="D358" s="591"/>
      <c r="E358" s="591"/>
      <c r="F358" s="591"/>
      <c r="G358" s="591"/>
      <c r="H358" s="591"/>
      <c r="I358" s="591"/>
      <c r="J358" s="591"/>
      <c r="K358" s="591"/>
      <c r="L358" s="591"/>
      <c r="M358" s="584"/>
      <c r="N358" s="584"/>
    </row>
    <row r="359" spans="1:14" s="342" customFormat="1" ht="15.75" customHeight="1">
      <c r="A359" s="627" t="s">
        <v>648</v>
      </c>
      <c r="B359" s="597"/>
      <c r="C359" s="591"/>
      <c r="D359" s="591"/>
      <c r="E359" s="591"/>
      <c r="F359" s="591"/>
      <c r="G359" s="591"/>
      <c r="H359" s="591"/>
      <c r="I359" s="591"/>
      <c r="J359" s="591"/>
      <c r="K359" s="598"/>
      <c r="L359" s="598"/>
      <c r="M359" s="584"/>
      <c r="N359" s="584"/>
    </row>
    <row r="360" spans="1:14">
      <c r="A360" s="1496" t="s">
        <v>89</v>
      </c>
      <c r="B360" s="589">
        <v>5110</v>
      </c>
      <c r="C360" s="591"/>
      <c r="D360" s="591"/>
      <c r="E360" s="591"/>
      <c r="F360" s="591"/>
      <c r="G360" s="591"/>
      <c r="H360" s="1926">
        <f>_xll.cw_map("BR","90-FP-&gt;3-5110-6")</f>
        <v>0</v>
      </c>
      <c r="I360" s="591"/>
      <c r="J360" s="591"/>
      <c r="K360" s="1663">
        <f>SUM(C360:J360)</f>
        <v>0</v>
      </c>
      <c r="L360" s="1927">
        <f>+'[1]EstExp 11-17'!$K$360</f>
        <v>0</v>
      </c>
    </row>
    <row r="361" spans="1:14" ht="12.75" customHeight="1">
      <c r="A361" s="1497" t="s">
        <v>640</v>
      </c>
      <c r="B361" s="577" t="s">
        <v>639</v>
      </c>
      <c r="C361" s="591"/>
      <c r="D361" s="591"/>
      <c r="E361" s="591"/>
      <c r="F361" s="591"/>
      <c r="G361" s="591"/>
      <c r="H361" s="1926">
        <f>_xll.cw_map("BR","90-FP-&gt;3-5150-6")</f>
        <v>0</v>
      </c>
      <c r="I361" s="591"/>
      <c r="J361" s="591"/>
      <c r="K361" s="1663">
        <f>SUM(C361:J361)</f>
        <v>0</v>
      </c>
      <c r="L361" s="1927">
        <f>+'[1]EstExp 11-17'!$K$361</f>
        <v>0</v>
      </c>
    </row>
    <row r="362" spans="1:14" ht="12.75" customHeight="1" thickBot="1">
      <c r="A362" s="1660" t="s">
        <v>647</v>
      </c>
      <c r="B362" s="1661" t="s">
        <v>742</v>
      </c>
      <c r="C362" s="591"/>
      <c r="D362" s="591"/>
      <c r="E362" s="591"/>
      <c r="F362" s="591"/>
      <c r="G362" s="591"/>
      <c r="H362" s="1695">
        <f>SUM(H360:H361)</f>
        <v>0</v>
      </c>
      <c r="I362" s="591"/>
      <c r="J362" s="591"/>
      <c r="K362" s="1695">
        <f>SUM(K360:K361)</f>
        <v>0</v>
      </c>
      <c r="L362" s="1695">
        <f>SUM(L360:L361)</f>
        <v>0</v>
      </c>
    </row>
    <row r="363" spans="1:14" s="647" customFormat="1" ht="15.75" customHeight="1" thickTop="1">
      <c r="A363" s="633" t="s">
        <v>85</v>
      </c>
      <c r="B363" s="634" t="s">
        <v>38</v>
      </c>
      <c r="C363" s="612"/>
      <c r="D363" s="612"/>
      <c r="E363" s="612"/>
      <c r="F363" s="612"/>
      <c r="G363" s="612"/>
      <c r="H363" s="1929">
        <f>_xll.cw_map("BR","90-FP-&gt;3-5200-6")</f>
        <v>0</v>
      </c>
      <c r="I363" s="612"/>
      <c r="J363" s="612"/>
      <c r="K363" s="1691">
        <f>SUM(C363:J363)</f>
        <v>0</v>
      </c>
      <c r="L363" s="1929">
        <f>+'[1]EstExp 11-17'!$K$363</f>
        <v>0</v>
      </c>
      <c r="M363" s="638"/>
      <c r="N363" s="638"/>
    </row>
    <row r="364" spans="1:14" s="679" customFormat="1" ht="29.25" customHeight="1">
      <c r="A364" s="675" t="s">
        <v>1771</v>
      </c>
      <c r="B364" s="676">
        <v>5300</v>
      </c>
      <c r="C364" s="677"/>
      <c r="D364" s="678"/>
      <c r="E364" s="678"/>
      <c r="F364" s="677"/>
      <c r="G364" s="678"/>
      <c r="H364" s="1965">
        <f>_xll.cw_map("BR","90-FP-&gt;3-5300-6")</f>
        <v>0</v>
      </c>
      <c r="I364" s="678"/>
      <c r="J364" s="678"/>
      <c r="K364" s="1663">
        <f>SUM(C364:J364)</f>
        <v>0</v>
      </c>
      <c r="L364" s="1964">
        <f>+'[1]EstExp 11-17'!$K$364</f>
        <v>0</v>
      </c>
    </row>
    <row r="365" spans="1:14" s="647" customFormat="1" ht="12.75" customHeight="1" thickBot="1">
      <c r="A365" s="1513" t="s">
        <v>611</v>
      </c>
      <c r="B365" s="632" t="s">
        <v>513</v>
      </c>
      <c r="C365" s="612"/>
      <c r="D365" s="612"/>
      <c r="E365" s="612"/>
      <c r="F365" s="612"/>
      <c r="G365" s="612"/>
      <c r="H365" s="1695">
        <f>SUM(H362,H363,H364)</f>
        <v>0</v>
      </c>
      <c r="I365" s="612"/>
      <c r="J365" s="612"/>
      <c r="K365" s="1695">
        <f>SUM(K362,K363,K364)</f>
        <v>0</v>
      </c>
      <c r="L365" s="1695">
        <f>SUM(L362,L363,L364)</f>
        <v>0</v>
      </c>
      <c r="M365" s="638"/>
      <c r="N365" s="638"/>
    </row>
    <row r="366" spans="1:14" s="342" customFormat="1" ht="15.75" customHeight="1" thickTop="1" thickBot="1">
      <c r="A366" s="1598" t="s">
        <v>1006</v>
      </c>
      <c r="B366" s="1605" t="s">
        <v>916</v>
      </c>
      <c r="C366" s="598"/>
      <c r="D366" s="598"/>
      <c r="E366" s="598"/>
      <c r="F366" s="598"/>
      <c r="G366" s="598"/>
      <c r="H366" s="598"/>
      <c r="I366" s="598"/>
      <c r="J366" s="591"/>
      <c r="K366" s="598"/>
      <c r="L366" s="1946">
        <f>+'[1]EstExp 11-17'!$K$366</f>
        <v>0</v>
      </c>
      <c r="M366" s="584"/>
      <c r="N366" s="584"/>
    </row>
    <row r="367" spans="1:14" ht="12.75" customHeight="1" thickTop="1" thickBot="1">
      <c r="A367" s="1684" t="s">
        <v>526</v>
      </c>
      <c r="B367" s="1696"/>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c r="A368" s="2189" t="s">
        <v>1053</v>
      </c>
      <c r="B368" s="2190"/>
      <c r="C368" s="628"/>
      <c r="D368" s="628"/>
      <c r="E368" s="601"/>
      <c r="F368" s="601"/>
      <c r="G368" s="601"/>
      <c r="H368" s="601"/>
      <c r="I368" s="601"/>
      <c r="J368" s="598"/>
      <c r="K368" s="1663">
        <f>'Revenues 9-14'!K275-'Expenditures 15-22'!K367</f>
        <v>412073</v>
      </c>
      <c r="L368" s="628"/>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schemas.microsoft.com/sharepoint/v3"/>
    <ds:schemaRef ds:uri="http://schemas.openxmlformats.org/package/2006/metadata/core-properties"/>
    <ds:schemaRef ds:uri="4d435f69-8686-490b-bd6d-b153bf22ab50"/>
    <ds:schemaRef ds:uri="d21dc803-237d-4c68-8692-8d731fd29118"/>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 SEFA (3)</vt:lpstr>
      <vt:lpstr>SF&amp;QC Sec-1</vt:lpstr>
      <vt:lpstr>SF&amp;QC Sec-2</vt:lpstr>
      <vt:lpstr>SF&amp;QC Sec-2 (2)</vt:lpstr>
      <vt:lpstr>SF&amp;QC Sec-2 (3)</vt:lpstr>
      <vt:lpstr>SF&amp;QC Sec-2 (4)</vt:lpstr>
      <vt:lpstr>SF&amp;QC Sec-2 (5)</vt:lpstr>
      <vt:lpstr>SF&amp;QC Sec-2 (6)</vt:lpstr>
      <vt:lpstr>SSPAF</vt:lpstr>
      <vt:lpstr>' SEFA (1)'!Print_Area</vt:lpstr>
      <vt:lpstr>' SEFA (2)'!Print_Area</vt:lpstr>
      <vt:lpstr>' SEFA (3)'!Print_Area</vt:lpstr>
      <vt:lpstr>'SEFA NOTES'!Print_Area</vt:lpstr>
      <vt:lpstr>'SEFA Reconcile'!Print_Area</vt:lpstr>
      <vt:lpstr>'SF&amp;QC Sec-1'!Print_Area</vt:lpstr>
      <vt:lpstr>'SF&amp;QC Sec-2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2019-02-05T20:05:47Z</cp:lastPrinted>
  <dcterms:created xsi:type="dcterms:W3CDTF">2003-10-29T19:06:34Z</dcterms:created>
  <dcterms:modified xsi:type="dcterms:W3CDTF">2019-02-15T17:28:55Z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