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22" i="179" l="1"/>
  <c r="G22" i="179"/>
  <c r="F37" i="179"/>
  <c r="I33" i="179"/>
  <c r="G33" i="179"/>
  <c r="N21" i="3"/>
  <c r="J31" i="8" s="1"/>
  <c r="L22" i="179" l="1"/>
  <c r="L33" i="179"/>
  <c r="F19" i="179"/>
  <c r="F42" i="179" s="1"/>
  <c r="D35" i="171" s="1"/>
  <c r="E19" i="179"/>
  <c r="E37" i="179"/>
  <c r="I41" i="179"/>
  <c r="I36" i="179"/>
  <c r="I35" i="179"/>
  <c r="I32" i="179"/>
  <c r="I31" i="179"/>
  <c r="I30" i="179"/>
  <c r="I29" i="179"/>
  <c r="I28" i="179"/>
  <c r="I27" i="179"/>
  <c r="I25" i="179"/>
  <c r="I24" i="179"/>
  <c r="I23" i="179"/>
  <c r="I18" i="179"/>
  <c r="I16" i="179"/>
  <c r="I15" i="179"/>
  <c r="I14" i="179"/>
  <c r="G41" i="179"/>
  <c r="L41" i="179" s="1"/>
  <c r="G36" i="179"/>
  <c r="L36" i="179" s="1"/>
  <c r="G35" i="179"/>
  <c r="L35" i="179" s="1"/>
  <c r="G32" i="179"/>
  <c r="G31" i="179"/>
  <c r="L31" i="179" s="1"/>
  <c r="G30" i="179"/>
  <c r="L30" i="179" s="1"/>
  <c r="G29" i="179"/>
  <c r="G28" i="179"/>
  <c r="G27" i="179"/>
  <c r="G25" i="179"/>
  <c r="G24" i="179"/>
  <c r="G23" i="179"/>
  <c r="G18" i="179"/>
  <c r="G16" i="179"/>
  <c r="G15" i="179"/>
  <c r="G14" i="179"/>
  <c r="I13" i="179"/>
  <c r="G13" i="179"/>
  <c r="E42" i="179" l="1"/>
  <c r="L29" i="179"/>
  <c r="L32"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8" i="179" l="1"/>
  <c r="L27" i="179"/>
  <c r="L25" i="179"/>
  <c r="L24" i="179"/>
  <c r="L23" i="179"/>
  <c r="L18" i="179"/>
  <c r="L16" i="179"/>
  <c r="L15" i="179"/>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K24" i="12" s="1"/>
  <c r="B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B5286" i="106" s="1"/>
  <c r="D5286" i="106" s="1"/>
  <c r="C228" i="5"/>
  <c r="B5304" i="106" s="1"/>
  <c r="D5304" i="106" s="1"/>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D27" i="108"/>
  <c r="E27" i="108"/>
  <c r="F27" i="108"/>
  <c r="G27" i="108"/>
  <c r="F31" i="108"/>
  <c r="F36" i="108"/>
  <c r="F37" i="108"/>
  <c r="G28" i="108"/>
  <c r="E30"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L22" i="37"/>
  <c r="D24" i="37"/>
  <c r="B4270" i="106" s="1"/>
  <c r="D4270" i="106" s="1"/>
  <c r="B5752" i="106"/>
  <c r="D5752" i="106" s="1"/>
  <c r="D7" i="7"/>
  <c r="B1763" i="106" s="1"/>
  <c r="D1763" i="106" s="1"/>
  <c r="B1746" i="106"/>
  <c r="D1746" i="106" s="1"/>
  <c r="D12" i="7"/>
  <c r="B1769" i="106" s="1"/>
  <c r="D1769" i="106" s="1"/>
  <c r="D15" i="7"/>
  <c r="B1772" i="106" s="1"/>
  <c r="D1772" i="106" s="1"/>
  <c r="K184" i="29" l="1"/>
  <c r="F13" i="4" s="1"/>
  <c r="B2596" i="106" s="1"/>
  <c r="D2596" i="106" s="1"/>
  <c r="K76" i="4"/>
  <c r="B3586" i="106" s="1"/>
  <c r="D3586" i="106" s="1"/>
  <c r="J352" i="29"/>
  <c r="J367" i="29" s="1"/>
  <c r="B7245" i="106" s="1"/>
  <c r="D7245"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I24" i="12"/>
  <c r="B1996" i="106" s="1"/>
  <c r="D1996" i="106" s="1"/>
  <c r="D22" i="37"/>
  <c r="D68" i="36"/>
  <c r="J22" i="37"/>
  <c r="B6261" i="106"/>
  <c r="D6261" i="106" s="1"/>
  <c r="D9" i="7"/>
  <c r="B1767" i="106" s="1"/>
  <c r="D1767" i="106" s="1"/>
  <c r="D4" i="7"/>
  <c r="B1760" i="106" s="1"/>
  <c r="D1760" i="106" s="1"/>
  <c r="D5" i="4"/>
  <c r="B3406" i="106" s="1"/>
  <c r="D3406" i="106" s="1"/>
  <c r="F127" i="34"/>
  <c r="H109" i="5"/>
  <c r="B6025" i="106" s="1"/>
  <c r="D6025" i="106" s="1"/>
  <c r="F131" i="34"/>
  <c r="K274" i="5"/>
  <c r="F128" i="34"/>
  <c r="B4373" i="106"/>
  <c r="D4373" i="106" s="1"/>
  <c r="I173" i="5"/>
  <c r="B4216" i="106" s="1"/>
  <c r="D4216" i="106" s="1"/>
  <c r="H173" i="5"/>
  <c r="G5" i="4"/>
  <c r="B3409" i="106" s="1"/>
  <c r="D3409" i="106" s="1"/>
  <c r="H4" i="4"/>
  <c r="B2655" i="106" s="1"/>
  <c r="D2655" i="106" s="1"/>
  <c r="B5096" i="106"/>
  <c r="D5096" i="106" s="1"/>
  <c r="D17" i="7"/>
  <c r="B4104" i="106" s="1"/>
  <c r="D4104" i="106" s="1"/>
  <c r="G172" i="5"/>
  <c r="F172" i="5"/>
  <c r="B5644" i="106" s="1"/>
  <c r="D5644" i="106" s="1"/>
  <c r="B4413" i="106"/>
  <c r="D4413" i="106" s="1"/>
  <c r="B7041" i="106"/>
  <c r="D7041" i="106" s="1"/>
  <c r="K173" i="5"/>
  <c r="K6" i="4" s="1"/>
  <c r="B3570" i="106" s="1"/>
  <c r="D3570" i="106" s="1"/>
  <c r="F130" i="34"/>
  <c r="D13" i="7"/>
  <c r="B3726" i="106" s="1"/>
  <c r="D3726" i="106" s="1"/>
  <c r="F136" i="34"/>
  <c r="E109" i="5"/>
  <c r="E4" i="4" s="1"/>
  <c r="B2630" i="106" s="1"/>
  <c r="D2630" i="106" s="1"/>
  <c r="J41" i="3"/>
  <c r="D51" i="36" s="1"/>
  <c r="B2026" i="106"/>
  <c r="D2026" i="106" s="1"/>
  <c r="M16" i="3"/>
  <c r="L15" i="11"/>
  <c r="B3459" i="106" s="1"/>
  <c r="D3459" i="106" s="1"/>
  <c r="K41" i="3"/>
  <c r="F77" i="4"/>
  <c r="B3255" i="106" s="1"/>
  <c r="D3255" i="106" s="1"/>
  <c r="G38" i="108"/>
  <c r="G30" i="108"/>
  <c r="F41" i="34"/>
  <c r="F106" i="34"/>
  <c r="C172" i="5"/>
  <c r="C109" i="5"/>
  <c r="B5121" i="106" s="1"/>
  <c r="D5121" i="106" s="1"/>
  <c r="F28" i="108"/>
  <c r="F41" i="108" s="1"/>
  <c r="G43" i="108" s="1"/>
  <c r="E28" i="108"/>
  <c r="B1223" i="106"/>
  <c r="D1223" i="106" s="1"/>
  <c r="D109" i="5"/>
  <c r="B5356" i="106" s="1"/>
  <c r="D5356" i="106" s="1"/>
  <c r="D5" i="7"/>
  <c r="B1761" i="106" s="1"/>
  <c r="D1761" i="106" s="1"/>
  <c r="E29" i="108"/>
  <c r="G29" i="108"/>
  <c r="F111" i="34"/>
  <c r="F67" i="34"/>
  <c r="G109" i="5"/>
  <c r="C342" i="29"/>
  <c r="B7216" i="106" s="1"/>
  <c r="D7216" i="106" s="1"/>
  <c r="D11" i="7"/>
  <c r="B1768" i="106" s="1"/>
  <c r="D1768" i="106" s="1"/>
  <c r="B1329" i="106"/>
  <c r="D1329" i="106" s="1"/>
  <c r="F61" i="34"/>
  <c r="K26" i="12"/>
  <c r="B7743" i="106" s="1"/>
  <c r="D7743" i="106" s="1"/>
  <c r="I26" i="12"/>
  <c r="B7741" i="106" s="1"/>
  <c r="D7741" i="106" s="1"/>
  <c r="L342" i="29"/>
  <c r="G210" i="29"/>
  <c r="J210" i="29"/>
  <c r="B7072" i="106" s="1"/>
  <c r="D7072" i="106" s="1"/>
  <c r="C352" i="29"/>
  <c r="C367" i="29" s="1"/>
  <c r="B3622" i="106" s="1"/>
  <c r="D3622" i="106" s="1"/>
  <c r="H28" i="118"/>
  <c r="K28" i="118" s="1"/>
  <c r="O27" i="118" s="1"/>
  <c r="O29" i="118" s="1"/>
  <c r="D69" i="36"/>
  <c r="F21" i="8"/>
  <c r="F19" i="7"/>
  <c r="B1807" i="106" s="1"/>
  <c r="D1807" i="106" s="1"/>
  <c r="B3649" i="106"/>
  <c r="D3649" i="106" s="1"/>
  <c r="G367" i="29"/>
  <c r="B3647" i="106"/>
  <c r="D3647" i="106" s="1"/>
  <c r="B3621" i="106"/>
  <c r="D3621" i="106" s="1"/>
  <c r="E174" i="29"/>
  <c r="B1309" i="106" s="1"/>
  <c r="D1309" i="106" s="1"/>
  <c r="L367" i="29"/>
  <c r="B7235" i="106"/>
  <c r="D7235" i="106" s="1"/>
  <c r="B1410" i="106"/>
  <c r="D1410" i="106" s="1"/>
  <c r="K350" i="29"/>
  <c r="H33" i="118"/>
  <c r="B4268" i="106"/>
  <c r="D4268" i="106"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3447" i="106"/>
  <c r="D3447" i="106" s="1"/>
  <c r="B7270" i="106"/>
  <c r="D7255" i="106" l="1"/>
  <c r="D7256" i="106"/>
  <c r="D7251" i="106"/>
  <c r="D7253" i="106"/>
  <c r="D7250" i="106"/>
  <c r="B1365" i="106"/>
  <c r="D1365" i="106" s="1"/>
  <c r="F65" i="34"/>
  <c r="B6216" i="106"/>
  <c r="D6216" i="106" s="1"/>
  <c r="D274" i="5"/>
  <c r="B5527" i="106"/>
  <c r="D5527" i="106" s="1"/>
  <c r="B6014" i="106"/>
  <c r="D6014" i="106" s="1"/>
  <c r="B5914" i="106"/>
  <c r="D5914" i="106" s="1"/>
  <c r="B5906" i="106"/>
  <c r="D5906" i="106" s="1"/>
  <c r="H6" i="4"/>
  <c r="B2656" i="106" s="1"/>
  <c r="D2656" i="106" s="1"/>
  <c r="G173" i="5"/>
  <c r="B5770" i="106"/>
  <c r="D5770" i="106" s="1"/>
  <c r="F274" i="5"/>
  <c r="F275" i="5" s="1"/>
  <c r="B5720" i="106" s="1"/>
  <c r="D5720" i="106" s="1"/>
  <c r="B273" i="106"/>
  <c r="D273" i="106" s="1"/>
  <c r="M23" i="3"/>
  <c r="M40" i="3" s="1"/>
  <c r="L16" i="11"/>
  <c r="B2061" i="106" s="1"/>
  <c r="D2061" i="106" s="1"/>
  <c r="B3568" i="106"/>
  <c r="D3568" i="106" s="1"/>
  <c r="D52" i="36"/>
  <c r="L114" i="29"/>
  <c r="B5214" i="106"/>
  <c r="D5214" i="106" s="1"/>
  <c r="C173" i="5"/>
  <c r="C4" i="4"/>
  <c r="B2551" i="106" s="1"/>
  <c r="D2551" i="106" s="1"/>
  <c r="D4" i="4"/>
  <c r="B2564" i="106" s="1"/>
  <c r="D2564" i="106" s="1"/>
  <c r="B6024" i="106"/>
  <c r="D6024" i="106" s="1"/>
  <c r="G4" i="4"/>
  <c r="B2603" i="106" s="1"/>
  <c r="D2603" i="106" s="1"/>
  <c r="K342" i="29"/>
  <c r="F13" i="34" s="1"/>
  <c r="D44" i="36"/>
  <c r="B7215" i="106"/>
  <c r="D7215" i="106" s="1"/>
  <c r="K365" i="29"/>
  <c r="C114" i="29"/>
  <c r="B757" i="106" s="1"/>
  <c r="D757" i="106" s="1"/>
  <c r="H367" i="29"/>
  <c r="B3660" i="106" s="1"/>
  <c r="D3660" i="106" s="1"/>
  <c r="B1879" i="106"/>
  <c r="D1879" i="106" s="1"/>
  <c r="H22" i="37"/>
  <c r="D19" i="7"/>
  <c r="B1775" i="106" s="1"/>
  <c r="D1775" i="106" s="1"/>
  <c r="B3670" i="106"/>
  <c r="D3670" i="106" s="1"/>
  <c r="K352" i="29"/>
  <c r="K367" i="29"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80" i="106" l="1"/>
  <c r="D280" i="106" s="1"/>
  <c r="M41" i="3"/>
  <c r="B281" i="106" s="1"/>
  <c r="D281" i="106" s="1"/>
  <c r="B5719" i="106"/>
  <c r="D5719" i="106" s="1"/>
  <c r="H8" i="4"/>
  <c r="B5778" i="106"/>
  <c r="D5778" i="106" s="1"/>
  <c r="G6" i="4"/>
  <c r="B2604" i="106" s="1"/>
  <c r="D2604" i="106" s="1"/>
  <c r="B279" i="106"/>
  <c r="D279" i="106" s="1"/>
  <c r="D54" i="36"/>
  <c r="F8" i="4"/>
  <c r="F10" i="4" s="1"/>
  <c r="B4125" i="106" s="1"/>
  <c r="D4125" i="106" s="1"/>
  <c r="B5223" i="106"/>
  <c r="D5223" i="106" s="1"/>
  <c r="C6" i="4"/>
  <c r="B2553" i="106" s="1"/>
  <c r="D2553" i="106" s="1"/>
  <c r="B7224" i="106"/>
  <c r="D7224" i="106" s="1"/>
  <c r="J17" i="4"/>
  <c r="J19" i="4" s="1"/>
  <c r="B6229" i="106" s="1"/>
  <c r="D6229" i="106" s="1"/>
  <c r="J8" i="4"/>
  <c r="G41" i="108"/>
  <c r="G44" i="108" s="1"/>
  <c r="G45" i="108"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H10" i="4"/>
  <c r="B4127" i="106" s="1"/>
  <c r="D4127" i="106" s="1"/>
  <c r="B2658" i="106"/>
  <c r="D2658" i="106" s="1"/>
  <c r="K17" i="4"/>
  <c r="K20" i="4" s="1"/>
  <c r="D10" i="171"/>
  <c r="D19" i="171" s="1"/>
  <c r="D32" i="171" s="1"/>
  <c r="D49" i="171" s="1"/>
  <c r="J20" i="4"/>
  <c r="B6227" i="106"/>
  <c r="D6227"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3575" i="106" l="1"/>
  <c r="D3575" i="106" s="1"/>
  <c r="D20" i="4"/>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<sst xmlns="http://schemas.openxmlformats.org/spreadsheetml/2006/main" count="5173" uniqueCount="2149">
  <si>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</si>
  <si>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</si>
  <si>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</si>
  <si>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</si>
  <si>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</si>
  <si>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</si>
  <si>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</si>
  <si>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</si>
  <si>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</si>
  <si>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</si>
  <si>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</si>
  <si>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</si>
  <si>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</si>
  <si>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</si>
  <si>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</si>
  <si>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</si>
  <si>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</si>
  <si>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</si>
  <si>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</si>
  <si>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</si>
  <si>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</si>
  <si>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</si>
  <si>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</si>
  <si>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</si>
  <si>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</si>
  <si>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</si>
  <si>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</si>
  <si>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</si>
  <si>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</si>
  <si>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</si>
  <si>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</si>
  <si>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</si>
  <si>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</si>
  <si>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</si>
  <si>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</si>
  <si>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</si>
  <si>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</si>
  <si>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</si>
  <si>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</si>
  <si>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</si>
  <si>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</si>
  <si>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</si>
  <si>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</si>
  <si>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</si>
  <si>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</si>
  <si>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</si>
  <si>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</si>
  <si>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</si>
  <si>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</si>
  <si>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</si>
  <si>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</si>
  <si>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</si>
  <si>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</si>
  <si>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</si>
  <si>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</si>
  <si>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</si>
  <si>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</si>
  <si>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</si>
  <si>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</si>
  <si>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</si>
  <si>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</si>
  <si>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</si>
  <si>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</si>
  <si>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</si>
  <si>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</si>
  <si>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</si>
  <si>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</si>
  <si>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</si>
  <si>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</si>
  <si>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</si>
  <si>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</si>
  <si>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</si>
  <si>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</si>
  <si>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</si>
  <si>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</si>
  <si>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</si>
  <si>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</si>
  <si>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</si>
  <si>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</si>
  <si>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</si>
  <si>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</si>
  <si>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</si>
  <si>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</si>
  <si>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</si>
  <si>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</si>
  <si>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</si>
  <si>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</si>
  <si>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</si>
  <si>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</si>
  <si>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</si>
  <si>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</si>
  <si>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</si>
  <si>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</si>
  <si>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</si>
  <si>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</si>
  <si>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</si>
  <si>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</si>
  <si>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</si>
  <si>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</si>
  <si>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</si>
  <si>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</si>
  <si>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</si>
  <si>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</si>
  <si>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</si>
  <si>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</si>
  <si>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</si>
  <si>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</si>
  <si>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</si>
  <si>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</si>
  <si>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</si>
  <si>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</si>
  <si>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</si>
  <si>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</si>
  <si>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</si>
  <si>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</si>
  <si>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</si>
  <si>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</si>
  <si>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</si>
  <si>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</si>
  <si>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</si>
  <si>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</si>
  <si>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</si>
  <si>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</si>
  <si>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</si>
  <si>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</si>
  <si>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</si>
  <si>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</si>
  <si>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</si>
  <si>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</si>
  <si>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</si>
  <si>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</si>
  <si>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</si>
  <si>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</si>
  <si>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</si>
  <si>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</si>
  <si>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</si>
  <si>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</si>
  <si>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</si>
  <si>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</si>
  <si>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</si>
  <si>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</si>
  <si>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</si>
  <si>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</si>
  <si>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</si>
  <si>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</si>
  <si>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</si>
  <si>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</si>
  <si>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</si>
  <si>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</si>
  <si>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</si>
  <si>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</si>
  <si>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</si>
  <si>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</si>
  <si>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</si>
  <si>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</si>
  <si>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</si>
  <si>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</si>
  <si>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</si>
  <si>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</si>
  <si>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</si>
  <si>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</si>
  <si>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</si>
  <si>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</si>
  <si>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</si>
  <si>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</si>
  <si>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</si>
  <si>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</si>
  <si>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</si>
  <si>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</si>
  <si>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</si>
  <si>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</si>
  <si>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</si>
  <si>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</si>
  <si>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</si>
  <si>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</si>
  <si>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</si>
  <si>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</si>
  <si>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</si>
  <si>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</si>
  <si>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</si>
  <si>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</si>
  <si>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</si>
  <si>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</si>
  <si>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</si>
  <si>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</si>
  <si>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</si>
  <si>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</si>
  <si>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</si>
  <si>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</si>
  <si>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</si>
  <si>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</si>
  <si>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</si>
  <si>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</si>
  <si>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</si>
  <si>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</si>
  <si>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</si>
  <si>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</si>
  <si>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</si>
  <si>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</si>
  <si>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</si>
  <si>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</si>
  <si>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</si>
  <si>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</si>
  <si>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</si>
  <si>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</si>
  <si>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</si>
  <si>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</si>
  <si>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</si>
  <si>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</si>
  <si>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</si>
  <si>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</si>
  <si>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</si>
  <si>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</si>
  <si>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</si>
  <si>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</si>
  <si>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</si>
  <si>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</si>
  <si>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</si>
  <si>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</si>
  <si>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</si>
  <si>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</si>
  <si>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</si>
  <si>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</si>
  <si>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</si>
  <si>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</si>
  <si>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</si>
  <si>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</si>
  <si>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</si>
  <si>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</si>
  <si>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</si>
  <si>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</si>
  <si>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</si>
  <si>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</si>
  <si>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</si>
  <si>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</si>
  <si>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</si>
  <si>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</si>
  <si>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</si>
  <si>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</si>
  <si>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</si>
  <si>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</si>
  <si>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</si>
  <si>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</si>
  <si>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</si>
  <si>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</si>
  <si>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</si>
  <si>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</si>
  <si>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</si>
  <si>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</si>
  <si>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</si>
  <si>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</si>
  <si>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</si>
  <si>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</si>
  <si>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</si>
  <si>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</si>
  <si>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</si>
  <si>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</si>
  <si>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</si>
  <si>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</si>
  <si>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</si>
  <si>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</si>
  <si>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</si>
  <si>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</si>
  <si>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</si>
  <si>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</si>
  <si>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</si>
  <si>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</si>
  <si>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</si>
  <si>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</si>
  <si>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</si>
  <si>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</si>
  <si>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</si>
  <si>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</si>
  <si>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</si>
  <si>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</si>
  <si>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</si>
  <si>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</si>
  <si>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</si>
  <si>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</si>
  <si>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</si>
  <si>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</si>
  <si>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</si>
  <si>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</si>
  <si>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</si>
  <si>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</si>
  <si>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</si>
  <si>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</si>
  <si>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</si>
  <si>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</si>
  <si>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</si>
  <si>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</si>
  <si>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</si>
  <si>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</si>
  <si>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</si>
  <si>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</si>
  <si>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</si>
  <si>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</si>
  <si>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</si>
  <si>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</si>
  <si>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</si>
  <si>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</si>
  <si>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</si>
  <si>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</si>
  <si>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</si>
  <si>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</si>
  <si>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</si>
  <si>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</si>
  <si>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</si>
  <si>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</si>
  <si>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</si>
  <si>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</si>
  <si>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</si>
  <si>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</si>
  <si>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</si>
  <si>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</si>
  <si>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</si>
  <si>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</si>
  <si>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</si>
  <si>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</si>
  <si>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</si>
  <si>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</si>
  <si>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</si>
  <si>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</si>
  <si>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</si>
  <si>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</si>
  <si>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</si>
  <si>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</si>
  <si>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</si>
  <si>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</si>
  <si>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</si>
  <si>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</si>
  <si>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</si>
  <si>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</si>
  <si>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</si>
  <si>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</si>
  <si>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</si>
  <si>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</si>
  <si>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</si>
  <si>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</si>
  <si>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</si>
  <si>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</si>
  <si>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</si>
  <si>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</si>
  <si>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</si>
  <si>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</si>
  <si>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</si>
  <si>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</si>
  <si>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</si>
  <si>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</si>
  <si>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</si>
  <si>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</si>
  <si>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</si>
  <si>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</si>
  <si>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</si>
  <si>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</si>
  <si>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</si>
  <si>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</si>
  <si>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</si>
  <si>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</si>
  <si>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</si>
  <si>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</si>
  <si>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</si>
  <si>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</si>
  <si>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</si>
  <si>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</si>
  <si>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</si>
  <si>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</si>
  <si>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</si>
  <si>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</si>
  <si>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</si>
  <si>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</si>
  <si>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</si>
  <si>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</si>
  <si>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</si>
  <si>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</si>
  <si>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</si>
  <si>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</si>
  <si>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</si>
  <si>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</si>
  <si>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</si>
  <si>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</si>
  <si>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</si>
  <si>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</si>
  <si>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</si>
  <si>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</si>
  <si>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</si>
  <si>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</si>
  <si>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</si>
  <si>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</si>
  <si>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</si>
  <si>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</si>
  <si>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</si>
  <si>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</si>
  <si>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</si>
  <si>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</si>
  <si>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</si>
  <si>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</si>
  <si>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</si>
  <si>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</si>
  <si>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</si>
  <si>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</si>
  <si>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</si>
  <si>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</si>
  <si>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</si>
  <si>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</si>
  <si>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</si>
  <si>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</si>
  <si>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</si>
  <si>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</si>
  <si>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</si>
  <si>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</si>
  <si>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</si>
  <si>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</si>
  <si>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</si>
  <si>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</si>
  <si>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</si>
  <si>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</si>
  <si>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</si>
  <si>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</si>
  <si>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</si>
  <si>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</si>
  <si>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</si>
  <si>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</si>
  <si>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</si>
  <si>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</si>
  <si>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</si>
  <si>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</si>
  <si>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</si>
  <si>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</si>
  <si>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</si>
  <si>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</si>
  <si>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</si>
  <si>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</si>
  <si>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</si>
  <si>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</si>
  <si>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</si>
  <si>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</si>
  <si>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</si>
  <si>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</si>
  <si>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</si>
  <si>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</si>
  <si>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</si>
  <si>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</si>
  <si>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</si>
  <si>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</si>
  <si>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</si>
  <si>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</si>
  <si>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</si>
  <si>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</si>
  <si>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</si>
  <si>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</si>
  <si>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</si>
  <si>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</si>
  <si>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</si>
  <si>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</si>
  <si>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</si>
  <si>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</si>
  <si>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</si>
  <si>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</si>
  <si>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</si>
  <si>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</si>
  <si>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</si>
  <si>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</si>
  <si>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</si>
  <si>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</si>
  <si>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</si>
  <si>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</si>
  <si>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</si>
  <si>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</si>
  <si>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</si>
  <si>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</si>
  <si>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</si>
  <si>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</si>
  <si>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</si>
  <si>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</si>
  <si>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</si>
  <si>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</si>
  <si>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</si>
  <si>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</si>
  <si>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</si>
  <si>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</si>
  <si>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</si>
  <si>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</si>
  <si>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</si>
  <si>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</si>
  <si>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</si>
  <si>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</si>
  <si>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</si>
  <si>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</si>
  <si>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</si>
  <si>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</si>
  <si>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</si>
  <si>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</si>
  <si>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</si>
  <si>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</si>
  <si>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</si>
  <si>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</si>
  <si>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</si>
  <si>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</si>
  <si>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</si>
  <si>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</si>
  <si>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</si>
  <si>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</si>
  <si>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</si>
  <si>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</si>
  <si>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</si>
  <si>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</si>
  <si>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</si>
  <si>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</si>
  <si>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</si>
  <si>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</si>
  <si>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</si>
  <si>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</si>
  <si>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</si>
  <si>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</si>
  <si>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</si>
  <si>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</si>
  <si>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</si>
  <si>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</si>
  <si>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</si>
  <si>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</si>
  <si>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</si>
  <si>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</si>
  <si>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</si>
  <si>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</si>
  <si>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</si>
  <si>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</si>
  <si>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</si>
  <si>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</si>
  <si>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</si>
  <si>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</si>
  <si>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</si>
  <si>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</si>
  <si>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</si>
  <si>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</si>
  <si>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</si>
  <si>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</si>
  <si>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</si>
  <si>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</si>
  <si>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</si>
  <si>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</si>
  <si>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</si>
  <si>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</si>
  <si>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</si>
  <si>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</si>
  <si>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</si>
  <si>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</si>
  <si>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</si>
  <si>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</si>
  <si>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</si>
  <si>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</si>
  <si>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</si>
  <si>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</si>
  <si>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</si>
  <si>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</si>
  <si>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</si>
  <si>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</si>
  <si>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</si>
  <si>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</si>
  <si>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</si>
  <si>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</si>
  <si>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</si>
  <si>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</si>
  <si>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</si>
  <si>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</si>
  <si>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</si>
  <si>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</si>
  <si>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</si>
  <si>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</si>
  <si>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</si>
  <si>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</si>
  <si>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</si>
  <si>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</si>
  <si>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</si>
  <si>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</si>
  <si>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</si>
  <si>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</si>
  <si>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</si>
  <si>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</si>
  <si>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</si>
  <si>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</si>
  <si>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</si>
  <si>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</si>
  <si>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</si>
  <si>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</si>
  <si>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</si>
  <si>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</si>
  <si>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</si>
  <si>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</si>
  <si>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</si>
  <si>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</si>
  <si>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</si>
  <si>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</si>
  <si>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</si>
  <si>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</si>
  <si>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</si>
  <si>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</si>
  <si>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</si>
  <si>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</si>
  <si>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</si>
  <si>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</si>
  <si>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</si>
  <si>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</si>
  <si>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</si>
  <si>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</si>
  <si>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</si>
  <si>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</si>
  <si>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</si>
  <si>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</si>
  <si>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</si>
  <si>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</si>
  <si>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</si>
  <si>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</si>
  <si>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</si>
  <si>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</si>
  <si>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</si>
  <si>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</si>
  <si>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</si>
  <si>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</si>
  <si>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</si>
  <si>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</si>
  <si>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</si>
  <si>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</si>
  <si>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</si>
  <si>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</si>
  <si>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</si>
  <si>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</si>
  <si>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</si>
  <si>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</si>
  <si>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</si>
  <si>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</si>
  <si>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</si>
  <si>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</si>
  <si>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</si>
  <si>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</si>
  <si>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</si>
  <si>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</si>
  <si>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</si>
  <si>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</si>
  <si>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</si>
  <si>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</si>
  <si>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</si>
  <si>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</si>
  <si>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</si>
  <si>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</si>
  <si>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</si>
  <si>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</si>
  <si>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</si>
  <si>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</si>
  <si>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</si>
  <si>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</si>
  <si>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</si>
  <si>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</si>
  <si>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</si>
  <si>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</si>
  <si>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</si>
  <si>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</si>
  <si>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</si>
  <si>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</si>
  <si>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</si>
  <si>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</si>
  <si>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</si>
  <si>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</si>
  <si>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</si>
  <si>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</si>
  <si>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</si>
  <si>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</si>
  <si>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</si>
  <si>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</si>
  <si>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</si>
  <si>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</si>
  <si>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</si>
  <si>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</si>
  <si>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</si>
  <si>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</si>
  <si>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</si>
  <si>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</si>
  <si>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</si>
  <si>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</si>
  <si>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</si>
  <si>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</si>
  <si>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</si>
  <si>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</si>
  <si>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</si>
  <si>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</si>
  <si>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</si>
  <si>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</si>
  <si>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</si>
  <si>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</si>
  <si>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</si>
  <si>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</si>
  <si>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</si>
  <si>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</si>
  <si>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</si>
  <si>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</si>
  <si>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</si>
  <si>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</si>
  <si>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</si>
  <si>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</si>
  <si>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</si>
  <si>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</si>
  <si>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</si>
  <si>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</si>
  <si>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</si>
  <si>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</si>
  <si>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</si>
  <si>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</si>
  <si>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</si>
  <si>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</si>
  <si>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</si>
  <si>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</si>
  <si>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</si>
  <si>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</si>
  <si>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</si>
  <si>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</si>
  <si>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</si>
  <si>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</si>
  <si>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</si>
  <si>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</si>
  <si>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</si>
  <si>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</si>
  <si>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</si>
  <si>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</si>
  <si>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</si>
  <si>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</si>
  <si>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</si>
  <si>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</si>
  <si>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</si>
  <si>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</si>
  <si>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</si>
  <si>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</si>
  <si>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</si>
  <si>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</si>
  <si>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</si>
  <si>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</si>
  <si>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</si>
  <si>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</si>
  <si>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</si>
  <si>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</si>
  <si>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</si>
  <si>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</si>
  <si>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</si>
  <si>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</si>
  <si>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</si>
  <si>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</si>
  <si>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</si>
  <si>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</si>
  <si>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</si>
  <si>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</si>
  <si>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</si>
  <si>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</si>
  <si>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</si>
  <si>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</si>
  <si>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</si>
  <si>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</si>
  <si>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</si>
  <si>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</si>
  <si>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</si>
  <si>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</si>
  <si>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</si>
  <si>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</si>
  <si>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</si>
  <si>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</si>
  <si>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</si>
  <si>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</si>
  <si>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</si>
  <si>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</si>
  <si>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</si>
  <si>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</si>
  <si>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</si>
  <si>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</si>
  <si>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</si>
  <si>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</si>
  <si>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</si>
  <si>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</si>
  <si>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</si>
  <si>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</si>
  <si>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</si>
  <si>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</si>
  <si>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</si>
  <si>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</si>
  <si>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</si>
  <si>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</si>
  <si>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</si>
  <si>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</si>
  <si>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</si>
  <si>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</si>
  <si>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</si>
  <si>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</si>
  <si>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</si>
  <si>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</si>
  <si>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</si>
  <si>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</si>
  <si>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</si>
  <si>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</si>
  <si>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</si>
  <si>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</si>
  <si>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</si>
  <si>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</si>
  <si>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</si>
  <si>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</si>
  <si>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</si>
  <si>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</si>
  <si>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</si>
  <si>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</si>
  <si>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</si>
  <si>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</si>
  <si>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</si>
  <si>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</si>
  <si>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</si>
  <si>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</si>
  <si>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</si>
  <si>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</si>
  <si>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</si>
  <si>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</si>
  <si>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</si>
  <si>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</si>
  <si>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</si>
  <si>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</si>
  <si>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</si>
  <si>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</si>
  <si>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</si>
  <si>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</si>
  <si>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</si>
  <si>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</si>
  <si>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</si>
  <si>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</si>
  <si>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</si>
  <si>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</si>
  <si>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</si>
  <si>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</si>
  <si>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</si>
  <si>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</si>
  <si>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</si>
  <si>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</si>
  <si>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</si>
  <si>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</si>
  <si>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</si>
  <si>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</si>
  <si>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</si>
  <si>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</si>
  <si>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</si>
  <si>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</si>
  <si>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</si>
  <si>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</si>
  <si>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</si>
  <si>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</si>
  <si>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</si>
  <si>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</si>
  <si>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</si>
  <si>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</si>
  <si>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</si>
  <si>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</si>
  <si>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</si>
  <si>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</si>
  <si>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</si>
  <si>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</si>
  <si>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</si>
  <si>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</si>
  <si>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</si>
  <si>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</si>
  <si>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</si>
  <si>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</si>
  <si>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</si>
  <si>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</si>
  <si>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</si>
  <si>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</si>
  <si>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</si>
  <si>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</si>
  <si>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</si>
  <si>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</si>
  <si>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</si>
  <si>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</si>
  <si>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</si>
  <si>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</si>
  <si>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</si>
  <si>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</si>
  <si>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</si>
  <si>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</si>
  <si>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</si>
  <si>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</si>
  <si>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</si>
  <si>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</si>
  <si>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</si>
  <si>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</si>
  <si>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</si>
  <si>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</si>
  <si>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</si>
  <si>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</si>
  <si>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</si>
  <si>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</si>
  <si>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</si>
  <si>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</si>
  <si>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</si>
  <si>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</si>
  <si>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</si>
  <si>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</si>
  <si>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</si>
  <si>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</si>
  <si>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</si>
  <si>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</si>
  <si>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</si>
  <si>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</si>
  <si>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</si>
  <si>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</si>
  <si>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</si>
  <si>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</si>
  <si>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</si>
  <si>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</si>
  <si>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</si>
  <si>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</si>
  <si>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</si>
  <si>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</si>
  <si>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</si>
  <si>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</si>
  <si>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</si>
  <si>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</si>
  <si>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</si>
  <si>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</si>
  <si>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</si>
  <si>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</si>
  <si>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</si>
  <si>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</si>
  <si>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</si>
  <si>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</si>
  <si>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</si>
  <si>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</si>
  <si>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</si>
  <si>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</si>
  <si>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</si>
  <si>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</si>
  <si>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</si>
  <si>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</si>
  <si>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</si>
  <si>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</si>
  <si>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</si>
  <si>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</si>
  <si>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</si>
  <si>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</si>
  <si>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</si>
  <si>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</si>
  <si>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</si>
  <si>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</si>
  <si>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</si>
  <si>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</si>
  <si>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</si>
  <si>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</si>
  <si>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</si>
  <si>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</si>
  <si>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</si>
  <si>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</si>
  <si>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</si>
  <si>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</si>
  <si>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</si>
  <si>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</si>
  <si>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</si>
  <si>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</si>
  <si>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</si>
  <si>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</si>
  <si>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</si>
  <si>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</si>
  <si>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</si>
  <si>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</si>
  <si>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</si>
  <si>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</si>
  <si>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</si>
  <si>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</si>
  <si>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</si>
  <si>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</si>
  <si>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</si>
  <si>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</si>
  <si>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</si>
  <si>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</si>
  <si>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</si>
  <si>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</si>
  <si>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</si>
  <si>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</si>
  <si>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</si>
  <si>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</si>
  <si>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</si>
  <si>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</si>
  <si>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</si>
  <si>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</si>
  <si>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</si>
  <si>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</si>
  <si>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</si>
  <si>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</si>
  <si>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</si>
  <si>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</si>
  <si>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</si>
  <si>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</si>
  <si>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</si>
  <si>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</si>
  <si>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</si>
  <si>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</si>
  <si>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</si>
  <si>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</si>
  <si>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</si>
  <si>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</si>
  <si>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</si>
  <si>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</si>
  <si>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</si>
  <si>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</si>
  <si>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</si>
  <si>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</si>
  <si>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</si>
  <si>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</si>
  <si>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</si>
  <si>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</si>
  <si>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</si>
  <si>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</si>
  <si>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</si>
  <si>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</si>
  <si>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</si>
  <si>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</si>
  <si>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</si>
  <si>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</si>
  <si>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</si>
  <si>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</si>
  <si>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</si>
  <si>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</si>
  <si>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</si>
  <si>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</si>
  <si>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</si>
  <si>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</si>
  <si>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</si>
  <si>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</si>
  <si>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</si>
  <si>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</si>
  <si>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</si>
  <si>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</si>
  <si>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</si>
  <si>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</si>
  <si>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</si>
  <si>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</si>
  <si>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</si>
  <si>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</si>
  <si>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</si>
  <si>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</si>
  <si>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</si>
  <si>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</si>
  <si>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</si>
  <si>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</si>
  <si>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</si>
  <si>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</si>
  <si>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</si>
  <si>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</si>
  <si>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</si>
  <si>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</si>
  <si>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</si>
  <si>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</si>
  <si>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</si>
  <si>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</si>
  <si>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</si>
  <si>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</si>
  <si>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</si>
  <si>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</si>
  <si>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</si>
  <si>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</si>
  <si>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</si>
  <si>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</si>
  <si>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</si>
  <si>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</si>
  <si>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</si>
  <si>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</si>
  <si>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</si>
  <si>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</si>
  <si>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</si>
  <si>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</si>
  <si>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</si>
  <si>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</si>
  <si>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</si>
  <si>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</si>
  <si>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</si>
  <si>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</si>
  <si>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</si>
  <si>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</si>
  <si>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</si>
  <si>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</si>
  <si>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</si>
  <si>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</si>
  <si>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</si>
  <si>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</si>
  <si>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</si>
  <si>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</si>
  <si>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</si>
  <si>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</si>
  <si>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</si>
  <si>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</si>
  <si>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</si>
  <si>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</si>
  <si>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</si>
  <si>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</si>
  <si>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</si>
  <si>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</si>
  <si>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</si>
  <si>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</si>
  <si>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</si>
  <si>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</si>
  <si>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</si>
  <si>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</si>
  <si>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</si>
  <si>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</si>
  <si>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</si>
  <si>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</si>
  <si>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</si>
  <si>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</si>
  <si>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</si>
  <si>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</si>
  <si>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</si>
  <si>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</si>
  <si>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</si>
  <si>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</si>
  <si>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</si>
  <si>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</si>
  <si>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</si>
  <si>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</si>
  <si>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</si>
  <si>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</si>
  <si>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</si>
  <si>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</si>
  <si>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</si>
  <si>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</si>
  <si>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</si>
  <si>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</si>
  <si>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</si>
  <si>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</si>
  <si>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</si>
  <si>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</si>
  <si>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</si>
  <si>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</si>
  <si>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</si>
  <si>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</si>
  <si>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</si>
  <si>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</si>
  <si>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</si>
  <si>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</si>
  <si>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</si>
  <si>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</si>
  <si>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</si>
  <si>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</si>
  <si>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</si>
  <si>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</si>
  <si>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</si>
  <si>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</si>
  <si>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</si>
  <si>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</si>
  <si>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</si>
  <si>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</si>
  <si>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</si>
  <si>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</si>
  <si>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</si>
  <si>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</si>
  <si>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</si>
  <si>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</si>
  <si>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</si>
  <si>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</si>
  <si>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</si>
  <si>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</si>
  <si>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</si>
  <si>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</si>
  <si>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</si>
  <si>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</si>
  <si>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</si>
  <si>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</si>
  <si>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</si>
  <si>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</si>
  <si>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</si>
  <si>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</si>
  <si>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</si>
  <si>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</si>
  <si>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</si>
  <si>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</si>
  <si>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</si>
  <si>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</si>
  <si>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</si>
  <si>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</si>
  <si>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</si>
  <si>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</si>
  <si>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</si>
  <si>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</si>
  <si>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</si>
  <si>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</si>
  <si>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</si>
  <si>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</si>
  <si>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</si>
  <si>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</si>
  <si>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</si>
  <si>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</si>
  <si>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</si>
  <si>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</si>
  <si>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</si>
  <si>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</si>
  <si>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</si>
  <si>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</si>
  <si>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</si>
  <si>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</si>
  <si>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</si>
  <si>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</si>
  <si>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</si>
  <si>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</si>
  <si>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</si>
  <si>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</si>
  <si>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</si>
  <si>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</si>
  <si>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</si>
  <si>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</si>
  <si>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</si>
  <si>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</si>
  <si>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</si>
  <si>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</si>
  <si>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</si>
  <si>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</si>
  <si>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</si>
  <si>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</si>
  <si>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</si>
  <si>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</si>
  <si>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</si>
  <si>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</si>
  <si>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</si>
  <si>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</si>
  <si>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</si>
  <si>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</si>
  <si>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</si>
  <si>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</si>
  <si>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</si>
  <si>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</si>
  <si>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</si>
  <si>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</si>
  <si>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</si>
  <si>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</si>
  <si>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</si>
  <si>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</si>
  <si>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</si>
  <si>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</si>
  <si>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</si>
  <si>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</si>
  <si>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</si>
  <si>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</si>
  <si>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</si>
  <si>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</si>
  <si>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</si>
  <si>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</si>
  <si>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</si>
  <si>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</si>
  <si>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</si>
  <si>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</si>
  <si>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</si>
  <si>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</si>
  <si>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</si>
  <si>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</si>
  <si>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</si>
  <si>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</si>
  <si>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</si>
  <si>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</si>
  <si>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</si>
  <si>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</si>
  <si>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</si>
  <si>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</si>
  <si>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</si>
  <si>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</si>
  <si>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</si>
  <si>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</si>
  <si>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</si>
  <si>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</si>
  <si>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</si>
  <si>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</si>
  <si>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</si>
  <si>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</si>
  <si>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</si>
  <si>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</si>
  <si>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</si>
  <si>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</si>
  <si>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</si>
  <si>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</si>
  <si>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</si>
  <si>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</si>
  <si>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</si>
  <si>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</si>
  <si>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</si>
  <si>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</si>
  <si>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</si>
  <si>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</si>
  <si>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</si>
  <si>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</si>
  <si>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</si>
  <si>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</si>
  <si>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</si>
  <si>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</si>
  <si>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</si>
  <si>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</si>
  <si>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</si>
  <si>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</si>
  <si>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</si>
  <si>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</si>
  <si>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</si>
  <si>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</si>
  <si>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</si>
  <si>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</si>
  <si>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</si>
  <si>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</si>
  <si>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</si>
  <si>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</si>
  <si>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</si>
  <si>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</si>
  <si>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</si>
  <si>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</si>
  <si>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</si>
  <si>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</si>
  <si>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</si>
  <si>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</si>
  <si>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</si>
  <si>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</si>
  <si>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</si>
  <si>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</si>
  <si>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</si>
  <si>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</si>
  <si>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</si>
  <si>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</si>
  <si>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</si>
  <si>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</si>
  <si>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</si>
  <si>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</si>
  <si>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</si>
  <si>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</si>
  <si>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</si>
  <si>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</si>
  <si>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</si>
  <si>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</si>
  <si>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</si>
  <si>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</si>
  <si>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</si>
  <si>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</si>
  <si>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</si>
  <si>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</si>
  <si>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</si>
  <si>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</si>
  <si>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</si>
  <si>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</si>
  <si>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</si>
  <si>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</si>
  <si>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</si>
  <si>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</si>
  <si>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</si>
  <si>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</si>
  <si>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</si>
  <si>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</si>
  <si>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</si>
  <si>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</si>
  <si>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</si>
  <si>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</si>
  <si>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</si>
  <si>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</si>
  <si>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</si>
  <si>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</si>
  <si>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</si>
  <si>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</si>
  <si>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</si>
  <si>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</si>
  <si>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</si>
  <si>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</si>
  <si>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</si>
  <si>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</si>
  <si>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</si>
  <si>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</si>
  <si>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</si>
  <si>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</si>
  <si>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</si>
  <si>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</si>
  <si>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</si>
  <si>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</si>
  <si>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</si>
  <si>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</si>
  <si>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</si>
  <si>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</si>
  <si>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</si>
  <si>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</si>
  <si>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</si>
  <si>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</si>
  <si>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</si>
  <si>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</si>
  <si>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</si>
  <si>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</si>
  <si>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</si>
  <si>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</si>
  <si>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</si>
  <si>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</si>
  <si>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</si>
  <si>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</si>
  <si>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</si>
  <si>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</si>
  <si>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</si>
  <si>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</si>
  <si>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</si>
  <si>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</si>
  <si>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</si>
  <si>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</si>
  <si>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</si>
  <si>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</si>
  <si>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</si>
  <si>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</si>
  <si>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</si>
  <si>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</si>
  <si>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</si>
  <si>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</si>
  <si>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</si>
  <si>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</si>
  <si>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</si>
  <si>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</si>
  <si>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</si>
  <si>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</si>
  <si>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</si>
  <si>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</si>
  <si>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</si>
  <si>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</si>
  <si>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</si>
  <si>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</si>
  <si>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</si>
  <si>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</si>
  <si>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</si>
  <si>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</si>
  <si>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</si>
  <si>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</si>
  <si>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</si>
  <si>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</si>
  <si>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</si>
  <si>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</si>
  <si>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</si>
  <si>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</si>
  <si>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</si>
  <si>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</si>
  <si>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</si>
  <si>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</si>
  <si>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</si>
  <si>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</si>
  <si>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</si>
  <si>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</si>
  <si>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</si>
  <si>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</si>
  <si>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</si>
  <si>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</si>
  <si>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</si>
  <si>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</si>
  <si>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</si>
  <si>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</si>
  <si>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</si>
  <si>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</si>
  <si>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</si>
  <si>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</si>
  <si>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</si>
  <si>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</si>
  <si>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</si>
  <si>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</si>
  <si>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</si>
  <si>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</si>
  <si>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</si>
  <si>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</si>
  <si>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</si>
  <si>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</si>
  <si>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</si>
  <si>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</si>
  <si>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</si>
  <si>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</si>
  <si>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</si>
  <si>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</si>
  <si>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</si>
  <si>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</si>
  <si>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</si>
  <si>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</si>
  <si>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</si>
  <si>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</si>
  <si>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</si>
  <si>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</si>
  <si>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</si>
  <si>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</si>
  <si>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</si>
  <si>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</si>
  <si>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</si>
  <si>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</si>
  <si>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</si>
  <si>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</si>
  <si>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</si>
  <si>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</si>
  <si>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</si>
  <si>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</si>
  <si>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</si>
  <si>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</si>
  <si>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</si>
  <si>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</si>
  <si>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</si>
  <si>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</si>
  <si>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</si>
  <si>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</si>
  <si>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</si>
  <si>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</si>
  <si>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</si>
  <si>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</si>
  <si>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</si>
  <si>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</si>
  <si>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</si>
  <si>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</si>
  <si>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</si>
  <si>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</si>
  <si>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</si>
  <si>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</si>
  <si>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</si>
  <si>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</si>
  <si>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</si>
  <si>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</si>
  <si>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</si>
  <si>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</si>
  <si>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</si>
  <si>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</si>
  <si>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</si>
  <si>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</si>
  <si>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</si>
  <si>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</si>
  <si>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</si>
  <si>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</si>
  <si>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</si>
  <si>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</si>
  <si>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</si>
  <si>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</si>
  <si>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</si>
  <si>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</si>
  <si>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</si>
  <si>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</si>
  <si>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</si>
  <si>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</si>
  <si>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</si>
  <si>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</si>
  <si>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</si>
  <si>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</si>
  <si>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</si>
  <si>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</si>
  <si>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</si>
  <si>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</si>
  <si>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</si>
  <si>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</si>
  <si>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</si>
  <si>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</si>
  <si>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</si>
  <si>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</si>
  <si>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</si>
  <si>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</si>
  <si>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</si>
  <si>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</si>
  <si>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</si>
  <si>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</si>
  <si>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</si>
  <si>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</si>
  <si>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</si>
  <si>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</si>
  <si>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</si>
  <si>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</si>
  <si>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</si>
  <si>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</si>
  <si>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</si>
  <si>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</si>
  <si>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</si>
  <si>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</si>
  <si>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</si>
  <si>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</si>
  <si>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</si>
  <si>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</si>
  <si>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</si>
  <si>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</si>
  <si>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</si>
  <si>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</si>
  <si>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</si>
  <si>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</si>
  <si>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</si>
  <si>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</si>
  <si>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</si>
  <si>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</si>
  <si>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</si>
  <si>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</si>
  <si>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</si>
  <si>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</si>
  <si>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</si>
  <si>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</si>
  <si>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</si>
  <si>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</si>
  <si>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</si>
  <si>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</si>
  <si>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</si>
  <si>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</si>
  <si>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</si>
  <si>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</si>
  <si>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</si>
  <si>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</si>
  <si>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</si>
  <si>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</si>
  <si>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</si>
  <si>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</si>
  <si>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</si>
  <si>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</si>
  <si>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</si>
  <si>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</si>
  <si>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</si>
  <si>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</si>
  <si>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</si>
  <si>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</si>
  <si>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</si>
  <si>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</si>
  <si>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</si>
  <si>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</si>
  <si>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</si>
  <si>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</si>
  <si>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</si>
  <si>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</si>
  <si>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</si>
  <si>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</si>
  <si>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</si>
  <si>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</si>
  <si>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</si>
  <si>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</si>
  <si>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</si>
  <si>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</si>
  <si>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</si>
  <si>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</si>
  <si>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</si>
  <si>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</si>
  <si>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</si>
  <si>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</si>
  <si>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</si>
  <si>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</si>
  <si>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</si>
  <si>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</si>
  <si>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</si>
  <si>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</si>
  <si>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</si>
  <si>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</si>
  <si>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</si>
  <si>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</si>
  <si>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</si>
  <si>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</si>
  <si>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</si>
  <si>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</si>
  <si>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</si>
  <si>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</si>
  <si>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</si>
  <si>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</si>
  <si>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</si>
  <si>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</si>
  <si>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</si>
  <si>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</si>
  <si>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</si>
  <si>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</si>
  <si>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</si>
  <si>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</si>
  <si>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</si>
  <si>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</si>
  <si>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</si>
  <si>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</si>
  <si>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</si>
  <si>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</si>
  <si>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</si>
  <si>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</si>
  <si>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</si>
  <si>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</si>
  <si>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</si>
  <si>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</si>
  <si>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</si>
  <si>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</si>
  <si>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</si>
  <si>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</si>
  <si>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</si>
  <si>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</si>
  <si>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</si>
  <si>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</si>
  <si>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</si>
  <si>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</si>
  <si>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</si>
  <si>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</si>
  <si>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</si>
  <si>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</si>
  <si>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</si>
  <si>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</si>
  <si>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</si>
  <si>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</si>
  <si>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</si>
  <si>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</si>
  <si>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</si>
  <si>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</si>
  <si>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</si>
  <si>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</si>
  <si>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</si>
  <si>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</si>
  <si>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</si>
  <si>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</si>
  <si>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</si>
  <si>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</si>
  <si>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</si>
  <si>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</si>
  <si>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</si>
  <si>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</si>
  <si>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</si>
  <si>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</si>
  <si>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</si>
  <si>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</si>
  <si>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</si>
  <si>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</si>
  <si>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</si>
  <si>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</si>
  <si>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</si>
  <si>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</si>
  <si>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</si>
  <si>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</si>
  <si>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</si>
  <si>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</si>
  <si>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</si>
  <si>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</si>
  <si>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</si>
  <si>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</si>
  <si>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</si>
  <si>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</si>
  <si>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</si>
  <si>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</si>
  <si>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</si>
  <si>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</si>
  <si>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</si>
  <si>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</si>
  <si>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</si>
  <si>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</si>
  <si>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</si>
  <si>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</si>
  <si>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</si>
  <si>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</si>
  <si>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</si>
  <si>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</si>
  <si>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</si>
  <si>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</si>
  <si>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</si>
  <si>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</si>
  <si>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</si>
  <si>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</si>
  <si>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</si>
  <si>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</si>
  <si>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</si>
  <si>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</si>
  <si>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</si>
  <si>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</si>
  <si>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</si>
  <si>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</si>
  <si>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</si>
  <si>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</si>
  <si>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</si>
  <si>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</si>
  <si>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</si>
  <si>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</si>
  <si>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</si>
  <si>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</si>
  <si>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</si>
  <si>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</si>
  <si>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</si>
  <si>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</si>
  <si>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</si>
  <si>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</si>
  <si>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</si>
  <si>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</si>
  <si>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</si>
  <si>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</si>
  <si>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</si>
  <si>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</si>
  <si>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</si>
  <si>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</si>
  <si>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</si>
  <si>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</si>
  <si>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</si>
  <si>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</si>
  <si>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</si>
  <si>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</si>
  <si>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</si>
  <si>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</si>
  <si>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</si>
  <si>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</si>
  <si>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</si>
  <si>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</si>
  <si>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</si>
  <si>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</si>
  <si>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</si>
  <si>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</si>
  <si>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</si>
  <si>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</si>
  <si>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</si>
  <si>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</si>
  <si>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</si>
  <si>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</si>
  <si>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</si>
  <si>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</si>
  <si>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</si>
  <si>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</si>
  <si>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</si>
  <si>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</si>
  <si>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</si>
  <si>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</si>
  <si>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</si>
  <si>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</si>
  <si>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</si>
  <si>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</si>
  <si>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</si>
  <si>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</si>
  <si>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</si>
  <si>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</si>
  <si>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</si>
  <si>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</si>
  <si>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</si>
  <si>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</si>
  <si>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</si>
  <si>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</si>
  <si>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</si>
  <si>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</si>
  <si>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</si>
  <si>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</si>
  <si>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</si>
  <si>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</si>
  <si>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</si>
  <si>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</si>
  <si>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</si>
  <si>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</si>
  <si>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</si>
  <si>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</si>
  <si>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</si>
  <si>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</si>
  <si>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</si>
  <si>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</si>
  <si>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</si>
  <si>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</si>
  <si>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</si>
  <si>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</si>
  <si>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</si>
  <si>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</si>
  <si>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</si>
  <si>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</si>
  <si>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</si>
  <si>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</si>
  <si>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</si>
  <si>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</si>
  <si>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</si>
  <si>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</si>
  <si>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</si>
  <si>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</si>
  <si>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</si>
  <si>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</si>
  <si>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</si>
  <si>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</si>
  <si>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</si>
  <si>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</si>
  <si>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</si>
  <si>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</si>
  <si>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</si>
  <si>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</si>
  <si>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</si>
  <si>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</si>
  <si>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</si>
  <si>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</si>
  <si>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</si>
  <si>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</si>
  <si>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</si>
  <si>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</si>
  <si>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</si>
  <si>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</si>
  <si>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</si>
  <si>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</si>
  <si>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</si>
  <si>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</si>
  <si>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</si>
  <si>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</si>
  <si>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</si>
  <si>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</si>
  <si>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</si>
  <si>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</si>
  <si>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</si>
  <si>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</si>
  <si>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</si>
  <si>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</si>
  <si>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</si>
  <si>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</si>
  <si>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</si>
  <si>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</si>
  <si>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</si>
  <si>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</si>
  <si>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</si>
  <si>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</si>
  <si>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</si>
  <si>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</si>
  <si>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</si>
  <si>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</si>
  <si>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</si>
  <si>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</si>
  <si>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</si>
  <si>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</si>
  <si>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</si>
  <si>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</si>
  <si>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</si>
  <si>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</si>
  <si>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</si>
  <si>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</si>
  <si>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</si>
  <si>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</si>
  <si>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</si>
  <si>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</si>
  <si>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</si>
  <si>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</si>
  <si>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</si>
  <si>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</si>
  <si>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</si>
  <si>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</si>
  <si>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</si>
  <si>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</si>
  <si>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</si>
  <si>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</si>
  <si>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</si>
  <si>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</si>
  <si>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</si>
  <si>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</si>
  <si>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</si>
  <si>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</si>
  <si>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</si>
  <si>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</si>
  <si>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</si>
  <si>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</si>
  <si>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</si>
  <si>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</si>
  <si>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</si>
  <si>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</si>
  <si>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</si>
  <si>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</si>
  <si>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</si>
  <si>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</si>
  <si>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</si>
  <si>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</si>
  <si>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</si>
  <si>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</si>
  <si>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</si>
  <si>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</si>
  <si>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</si>
  <si>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</si>
  <si>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</si>
  <si>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</si>
  <si>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</si>
  <si>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</si>
  <si>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</si>
  <si>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</si>
  <si>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</si>
  <si>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</si>
  <si>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</si>
  <si>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</si>
  <si>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</si>
  <si>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</si>
  <si>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</si>
  <si>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</si>
  <si>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</si>
  <si>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</si>
  <si>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</si>
  <si>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</si>
  <si>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</si>
  <si>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</si>
  <si>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</si>
  <si>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</si>
  <si>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</si>
  <si>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</si>
  <si>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</si>
  <si>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</si>
  <si>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</si>
  <si>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</si>
  <si>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</si>
  <si>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</si>
  <si>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</si>
  <si>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</si>
  <si>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</si>
  <si>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</si>
  <si>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</si>
  <si>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</si>
  <si>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</si>
  <si>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</si>
  <si>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</si>
  <si>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</si>
  <si>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</si>
  <si>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</si>
  <si>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</si>
  <si>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</si>
  <si>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</si>
  <si>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</si>
  <si>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</si>
  <si>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</si>
  <si>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</si>
  <si>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</si>
  <si>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</si>
  <si>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</si>
  <si>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</si>
  <si>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</si>
  <si>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</si>
  <si>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</si>
  <si>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</si>
  <si>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</si>
  <si>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</si>
  <si>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</si>
  <si>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</si>
  <si>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</si>
  <si>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</si>
  <si>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</si>
  <si>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</si>
  <si>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</si>
  <si>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</si>
  <si>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</si>
  <si>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</si>
  <si>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</si>
  <si>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</si>
  <si>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</si>
  <si>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</si>
  <si>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</si>
  <si>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</si>
  <si>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</si>
  <si>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</si>
  <si>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</si>
  <si>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</si>
  <si>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</si>
  <si>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</si>
  <si>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</si>
  <si>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</si>
  <si>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</si>
  <si>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</si>
  <si>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</si>
  <si>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</si>
  <si>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</si>
  <si>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</si>
  <si>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</si>
  <si>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</si>
  <si>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</si>
  <si>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</si>
  <si>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</si>
  <si>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</si>
  <si>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</si>
  <si>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</si>
  <si>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</si>
  <si>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</si>
  <si>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</si>
  <si>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</si>
  <si>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</si>
  <si>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</si>
  <si>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</si>
  <si>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</si>
  <si>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</si>
  <si>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</si>
  <si>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</si>
  <si>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</si>
  <si>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</si>
  <si>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</si>
  <si>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</si>
  <si>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</si>
  <si>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</si>
  <si>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</si>
  <si>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</si>
  <si>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</si>
  <si>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</si>
  <si>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</si>
  <si>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</si>
  <si>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</si>
  <si>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</si>
  <si>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</si>
  <si>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</si>
  <si>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</si>
  <si>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</si>
  <si>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</si>
  <si>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</si>
  <si>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</si>
  <si>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</si>
  <si>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</si>
  <si>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</si>
  <si>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</si>
  <si>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</si>
  <si>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</si>
  <si>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</si>
  <si>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</si>
  <si>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</si>
  <si>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</si>
  <si>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Cook\DuPage Counties</t>
  </si>
  <si>
    <t>800 Porter Street</t>
  </si>
  <si>
    <t>Lemont</t>
  </si>
  <si>
    <t>kparchem@lhs210.net</t>
  </si>
  <si>
    <t>Dr. Mary Ticknor</t>
  </si>
  <si>
    <t>mticknor@lhs210.net</t>
  </si>
  <si>
    <t xml:space="preserve"> (630) 243-3260</t>
  </si>
  <si>
    <t>Lauterbach &amp; Amen, LLP</t>
  </si>
  <si>
    <t>Matt Beran</t>
  </si>
  <si>
    <t>668 N. River Road</t>
  </si>
  <si>
    <t>Naperville</t>
  </si>
  <si>
    <t>IL</t>
  </si>
  <si>
    <t>(630) 393-1483</t>
  </si>
  <si>
    <t>(630) 393-2516</t>
  </si>
  <si>
    <t>065-033233</t>
  </si>
  <si>
    <t>mberan@lauterbachamen.com</t>
  </si>
  <si>
    <t>2012 Refunding Bonds</t>
  </si>
  <si>
    <t>2013 Refunding Bonds</t>
  </si>
  <si>
    <t>2014 Refunding Bonds</t>
  </si>
  <si>
    <t>2015A Refunding Bonds</t>
  </si>
  <si>
    <t>Capital Leases</t>
  </si>
  <si>
    <t xml:space="preserve"> 12/21/12</t>
  </si>
  <si>
    <t>VAR</t>
  </si>
  <si>
    <t>INSURANCE THROUGH LINCOWNWAY AREA AFFILIATION</t>
  </si>
  <si>
    <t>ILLINOIS LIQUID ASSET FUND+ AND ILLINOIS FUNDS</t>
  </si>
  <si>
    <t>FEES FOR TAX APPEALS W/ VILLAGE, LIBRARY, TOWNSHIP</t>
  </si>
  <si>
    <t>SOUTHWEST COOK COUNTY ASSOC. FOR SPEC ED</t>
  </si>
  <si>
    <t>MATH TAUGHT THROUGH DIST 113A</t>
  </si>
  <si>
    <t>GAS FROM VILLAGE OF LEMONT</t>
  </si>
  <si>
    <t>WILCO VOCATIONAL TRAINING CENTER</t>
  </si>
  <si>
    <t>LEMONT PARK DISTRICT SHARED FACILITY USE</t>
  </si>
  <si>
    <t>N/A</t>
  </si>
  <si>
    <t>None</t>
  </si>
  <si>
    <t>US Department of Agriculture</t>
  </si>
  <si>
    <t>Pass Through: Illinois State Board of Education</t>
  </si>
  <si>
    <t xml:space="preserve"> Commodities (non-cash)</t>
  </si>
  <si>
    <t>Commodities (DoD F&amp;V)</t>
  </si>
  <si>
    <t>Pass Through: Southwest Cook County Cooperative Association for Special Education</t>
  </si>
  <si>
    <t>Total US Department of Agriculture</t>
  </si>
  <si>
    <t>Department of Education</t>
  </si>
  <si>
    <t>Impact Aid (M)</t>
  </si>
  <si>
    <t>IDEA Flow Through - Room &amp; Board</t>
  </si>
  <si>
    <t>IDEA Flow Through</t>
  </si>
  <si>
    <t>Total Department of Education</t>
  </si>
  <si>
    <t>Medical Assistance Program (Medicaid)</t>
  </si>
  <si>
    <t>Total Federal Programs</t>
  </si>
  <si>
    <t>84.027A</t>
  </si>
  <si>
    <t>2017-4210</t>
  </si>
  <si>
    <t>2018-4210</t>
  </si>
  <si>
    <t>2017-4300</t>
  </si>
  <si>
    <t>2018-4300</t>
  </si>
  <si>
    <t>2017-4932</t>
  </si>
  <si>
    <t>2018-4932</t>
  </si>
  <si>
    <t>2017-4625</t>
  </si>
  <si>
    <t>2018-4625</t>
  </si>
  <si>
    <t>23-IL-2017-2013</t>
  </si>
  <si>
    <t>23-IL-2015-2013</t>
  </si>
  <si>
    <t>23-IL-2014-2013</t>
  </si>
  <si>
    <t>Unmodified</t>
  </si>
  <si>
    <t>Impact Aid</t>
  </si>
  <si>
    <t>23-IL-2018-2013</t>
  </si>
  <si>
    <t>Title IVA Student Support &amp; Academic Enrich</t>
  </si>
  <si>
    <t>2018-4400</t>
  </si>
  <si>
    <t>Operations and Maintenance - O&amp;M of Plant Services - Telephones</t>
  </si>
  <si>
    <t>Transportation - Pupil Transportation - Regular Education</t>
  </si>
  <si>
    <t>Transportation - Pupil Transportation - Special Education</t>
  </si>
  <si>
    <t>Single Path</t>
  </si>
  <si>
    <t xml:space="preserve">Theo J. Gorski &amp; Sons Bus Company </t>
  </si>
  <si>
    <t>Lemont Twp HSD 210</t>
  </si>
  <si>
    <t>20-2540-300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</si>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</sst>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A3FF4BEF-F807-4802-8374-7D9C051B44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5B36E0E9-764F-47F0-8CF8-56D2741EAB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895350</xdr:colOff>
          <xdr:row>0</xdr:row>
          <xdr:rowOff>19050</xdr:rowOff>
        </xdr:from>
        <xdr:to>
          <xdr:col>1</xdr:col>
          <xdr:colOff>1809750</xdr:colOff>
          <xdr:row>4</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3656610B-B8E9-49BE-A58B-4B8BF8180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7016210017</v>
      </c>
      <c r="B13" s="2036"/>
      <c r="C13" s="2036"/>
      <c r="D13" s="2036"/>
      <c r="E13" s="2036"/>
      <c r="F13" s="2036"/>
      <c r="G13" s="2036"/>
      <c r="H13" s="2037"/>
      <c r="I13" s="31"/>
      <c r="J13" s="30"/>
      <c r="K13" s="28"/>
      <c r="L13" s="30"/>
      <c r="M13" s="30"/>
      <c r="N13" s="30"/>
      <c r="O13" s="30"/>
      <c r="P13" s="30"/>
      <c r="Q13" s="30"/>
      <c r="R13" s="30"/>
      <c r="S13" s="30"/>
      <c r="T13" s="2040" t="s">
        <v>2085</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2086</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2146</v>
      </c>
      <c r="B17" s="1995"/>
      <c r="C17" s="1995"/>
      <c r="D17" s="1995"/>
      <c r="E17" s="1995"/>
      <c r="F17" s="1995"/>
      <c r="G17" s="1995"/>
      <c r="H17" s="2020"/>
      <c r="T17" s="2051" t="s">
        <v>2087</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2088</v>
      </c>
      <c r="U19" s="1959"/>
      <c r="V19" s="1959"/>
      <c r="W19" s="1960"/>
      <c r="X19" s="2049" t="s">
        <v>2089</v>
      </c>
      <c r="Y19" s="2050"/>
      <c r="Z19" s="2047">
        <v>60563</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2090</v>
      </c>
      <c r="U21" s="2059"/>
      <c r="V21" s="2059"/>
      <c r="W21" s="2059"/>
      <c r="X21" s="2064" t="s">
        <v>2091</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2081</v>
      </c>
      <c r="B23" s="2012"/>
      <c r="C23" s="2012"/>
      <c r="D23" s="2012"/>
      <c r="E23" s="2012"/>
      <c r="F23" s="2012"/>
      <c r="G23" s="2012"/>
      <c r="H23" s="2013"/>
      <c r="T23" s="1994" t="s">
        <v>2092</v>
      </c>
      <c r="U23" s="2057"/>
      <c r="V23" s="2057"/>
      <c r="W23" s="2057"/>
      <c r="X23" s="2061">
        <v>44469</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60439</v>
      </c>
      <c r="B25" s="1959"/>
      <c r="C25" s="1959"/>
      <c r="D25" s="1959"/>
      <c r="E25" s="1959"/>
      <c r="F25" s="1959"/>
      <c r="G25" s="1959"/>
      <c r="H25" s="1960"/>
      <c r="I25" s="113"/>
      <c r="J25" s="1983"/>
      <c r="K25" s="1983"/>
      <c r="L25" s="1983"/>
      <c r="M25" s="1983"/>
      <c r="N25" s="1983"/>
      <c r="O25" s="1983"/>
      <c r="P25" s="1983"/>
      <c r="Q25" s="1983"/>
      <c r="R25" s="1983"/>
      <c r="S25" s="1984"/>
      <c r="T25" s="2054" t="s">
        <v>2093</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2082</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2083</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2084</v>
      </c>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1" sqref="A4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15528656</v>
      </c>
      <c r="C4" s="1546">
        <v>8123338</v>
      </c>
      <c r="D4" s="1774">
        <f>B4-C4</f>
        <v>7405318</v>
      </c>
      <c r="E4" s="1546">
        <v>20217449</v>
      </c>
      <c r="F4" s="1774">
        <f>E4-C4</f>
        <v>12094111</v>
      </c>
    </row>
    <row r="5" spans="1:6" ht="13.7" customHeight="1" x14ac:dyDescent="0.2">
      <c r="A5" s="716" t="s">
        <v>925</v>
      </c>
      <c r="B5" s="1772">
        <f>'Revenues 9-14'!D5</f>
        <v>1823732</v>
      </c>
      <c r="C5" s="585">
        <v>935421</v>
      </c>
      <c r="D5" s="1775">
        <f t="shared" ref="D5:D18" si="0">B5-C5</f>
        <v>888311</v>
      </c>
      <c r="E5" s="585">
        <v>2341585</v>
      </c>
      <c r="F5" s="1775">
        <f>E5-C5</f>
        <v>1406164</v>
      </c>
    </row>
    <row r="6" spans="1:6" ht="13.7" customHeight="1" x14ac:dyDescent="0.2">
      <c r="A6" s="716" t="s">
        <v>431</v>
      </c>
      <c r="B6" s="1772">
        <f>'Revenues 9-14'!E5</f>
        <v>4152328</v>
      </c>
      <c r="C6" s="585">
        <v>2160021</v>
      </c>
      <c r="D6" s="1775">
        <f t="shared" si="0"/>
        <v>1992307</v>
      </c>
      <c r="E6" s="585">
        <v>5396454</v>
      </c>
      <c r="F6" s="1775">
        <f t="shared" ref="F6:F18" si="1">E6-C6</f>
        <v>3236433</v>
      </c>
    </row>
    <row r="7" spans="1:6" ht="13.7" customHeight="1" x14ac:dyDescent="0.2">
      <c r="A7" s="716" t="s">
        <v>157</v>
      </c>
      <c r="B7" s="1772">
        <f>'Revenues 9-14'!F5</f>
        <v>642427</v>
      </c>
      <c r="C7" s="585">
        <v>364716</v>
      </c>
      <c r="D7" s="1775">
        <f t="shared" si="0"/>
        <v>277711</v>
      </c>
      <c r="E7" s="585">
        <v>912755</v>
      </c>
      <c r="F7" s="1775">
        <f t="shared" si="1"/>
        <v>548039</v>
      </c>
    </row>
    <row r="8" spans="1:6" ht="13.7" customHeight="1" x14ac:dyDescent="0.2">
      <c r="A8" s="716" t="s">
        <v>1241</v>
      </c>
      <c r="B8" s="1772">
        <f>'Revenues 9-14'!G5</f>
        <v>339466</v>
      </c>
      <c r="C8" s="585">
        <v>178802</v>
      </c>
      <c r="D8" s="1775">
        <f t="shared" si="0"/>
        <v>160664</v>
      </c>
      <c r="E8" s="585">
        <v>447287</v>
      </c>
      <c r="F8" s="1775">
        <f t="shared" si="1"/>
        <v>268485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v>
      </c>
      <c r="C10" s="585"/>
      <c r="D10" s="1775">
        <f t="shared" si="0"/>
        <v>3</v>
      </c>
      <c r="E10" s="585"/>
      <c r="F10" s="1775">
        <f t="shared" si="1"/>
        <v>0</v>
      </c>
    </row>
    <row r="11" spans="1:6" x14ac:dyDescent="0.2">
      <c r="A11" s="716" t="s">
        <v>429</v>
      </c>
      <c r="B11" s="1772">
        <f>'Revenues 9-14'!J5</f>
        <v>346337</v>
      </c>
      <c r="C11" s="585">
        <v>183861</v>
      </c>
      <c r="D11" s="1775">
        <f t="shared" si="0"/>
        <v>162476</v>
      </c>
      <c r="E11" s="585">
        <v>460015</v>
      </c>
      <c r="F11" s="1775">
        <f t="shared" si="1"/>
        <v>276154</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486295</v>
      </c>
      <c r="C14" s="585">
        <v>65356</v>
      </c>
      <c r="D14" s="1775">
        <f t="shared" si="0"/>
        <v>420939</v>
      </c>
      <c r="E14" s="585">
        <v>163460</v>
      </c>
      <c r="F14" s="1775">
        <f t="shared" si="1"/>
        <v>98104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v>192145</v>
      </c>
      <c r="D16" s="1775">
        <f t="shared" si="0"/>
        <v>-192145</v>
      </c>
      <c r="E16" s="585">
        <v>480743</v>
      </c>
      <c r="F16" s="1775">
        <f t="shared" si="1"/>
        <v>288598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23319244</v>
      </c>
      <c r="C19" s="1773">
        <f>SUM(C4:C18)</f>
        <v>12203660</v>
      </c>
      <c r="D19" s="1773">
        <f>SUM(D4:D18)</f>
        <v>11115584</v>
      </c>
      <c r="E19" s="1773">
        <f>SUM(E4:E18)</f>
        <v>30419748</v>
      </c>
      <c r="F19" s="1773">
        <f>SUM(F4:F18)</f>
        <v>18216088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110" zoomScaleNormal="110" workbookViewId="0">
      <selection activeCell="A41" sqref="A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t="s">
        <v>2099</v>
      </c>
      <c r="C31" s="735">
        <v>9335000</v>
      </c>
      <c r="D31" s="736">
        <v>3</v>
      </c>
      <c r="E31" s="735">
        <v>8835000</v>
      </c>
      <c r="F31" s="735"/>
      <c r="G31" s="735"/>
      <c r="H31" s="735">
        <v>335000</v>
      </c>
      <c r="I31" s="1778">
        <f>((E31+F31)-H31)+G31</f>
        <v>8500000</v>
      </c>
      <c r="J31" s="735">
        <f>8500000-'Assets-Liab 5-6'!N21</f>
        <v>5679788</v>
      </c>
      <c r="K31" s="737"/>
    </row>
    <row r="32" spans="1:11" ht="12" customHeight="1" x14ac:dyDescent="0.2">
      <c r="A32" s="733" t="s">
        <v>2095</v>
      </c>
      <c r="B32" s="734">
        <v>41310</v>
      </c>
      <c r="C32" s="735">
        <v>9305000</v>
      </c>
      <c r="D32" s="736">
        <v>3</v>
      </c>
      <c r="E32" s="735">
        <v>8195000</v>
      </c>
      <c r="F32" s="735"/>
      <c r="G32" s="735"/>
      <c r="H32" s="735">
        <v>585000</v>
      </c>
      <c r="I32" s="1778">
        <f>((E32+F32)-H32)+G32</f>
        <v>7610000</v>
      </c>
      <c r="J32" s="735">
        <v>7610000</v>
      </c>
      <c r="K32" s="737"/>
    </row>
    <row r="33" spans="1:11" ht="12" customHeight="1" x14ac:dyDescent="0.2">
      <c r="A33" s="733" t="s">
        <v>2096</v>
      </c>
      <c r="B33" s="734">
        <v>41795</v>
      </c>
      <c r="C33" s="735">
        <v>9985000</v>
      </c>
      <c r="D33" s="736">
        <v>3</v>
      </c>
      <c r="E33" s="735">
        <v>9550000</v>
      </c>
      <c r="F33" s="735"/>
      <c r="G33" s="735"/>
      <c r="H33" s="735"/>
      <c r="I33" s="1778">
        <f t="shared" ref="I33:I48" si="1">((E33+F33)-H33)+G33</f>
        <v>9550000</v>
      </c>
      <c r="J33" s="735">
        <v>9550000</v>
      </c>
      <c r="K33" s="737"/>
    </row>
    <row r="34" spans="1:11" ht="12" customHeight="1" x14ac:dyDescent="0.2">
      <c r="A34" s="733" t="s">
        <v>2097</v>
      </c>
      <c r="B34" s="734">
        <v>42285</v>
      </c>
      <c r="C34" s="735">
        <v>9530000</v>
      </c>
      <c r="D34" s="736">
        <v>3</v>
      </c>
      <c r="E34" s="735">
        <v>9530000</v>
      </c>
      <c r="F34" s="735"/>
      <c r="G34" s="735"/>
      <c r="H34" s="735"/>
      <c r="I34" s="1778">
        <f t="shared" si="1"/>
        <v>9530000</v>
      </c>
      <c r="J34" s="735">
        <v>9530000</v>
      </c>
      <c r="K34" s="738"/>
    </row>
    <row r="35" spans="1:11" ht="12" customHeight="1" x14ac:dyDescent="0.2">
      <c r="A35" s="733" t="s">
        <v>2097</v>
      </c>
      <c r="B35" s="734">
        <v>42304</v>
      </c>
      <c r="C35" s="739">
        <v>9345000</v>
      </c>
      <c r="D35" s="736">
        <v>3</v>
      </c>
      <c r="E35" s="739">
        <v>7650000</v>
      </c>
      <c r="F35" s="739"/>
      <c r="G35" s="739"/>
      <c r="H35" s="739">
        <v>1725000</v>
      </c>
      <c r="I35" s="1778">
        <f t="shared" si="1"/>
        <v>5925000</v>
      </c>
      <c r="J35" s="739">
        <v>5925000</v>
      </c>
      <c r="K35" s="738"/>
    </row>
    <row r="36" spans="1:11" ht="12" customHeight="1" x14ac:dyDescent="0.2">
      <c r="A36" s="733" t="s">
        <v>2098</v>
      </c>
      <c r="B36" s="734" t="s">
        <v>2100</v>
      </c>
      <c r="C36" s="735"/>
      <c r="D36" s="736">
        <v>7</v>
      </c>
      <c r="E36" s="735">
        <v>67003</v>
      </c>
      <c r="F36" s="735"/>
      <c r="G36" s="735"/>
      <c r="H36" s="735">
        <v>28773</v>
      </c>
      <c r="I36" s="1778">
        <f t="shared" si="1"/>
        <v>38230</v>
      </c>
      <c r="J36" s="735">
        <v>38230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47500000</v>
      </c>
      <c r="D49" s="746"/>
      <c r="E49" s="1778">
        <f t="shared" ref="E49:J49" si="2">SUM(E31:E48)</f>
        <v>43827003</v>
      </c>
      <c r="F49" s="1778">
        <f t="shared" si="2"/>
        <v>0</v>
      </c>
      <c r="G49" s="1778">
        <f t="shared" si="2"/>
        <v>0</v>
      </c>
      <c r="H49" s="1778">
        <f t="shared" si="2"/>
        <v>2673773</v>
      </c>
      <c r="I49" s="1778">
        <f t="shared" si="2"/>
        <v>41153230</v>
      </c>
      <c r="J49" s="1778">
        <f t="shared" si="2"/>
        <v>38333018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2098</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0</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0</v>
      </c>
      <c r="I23" s="1780">
        <f>SUM(I14:I16,I21,I22)</f>
        <v>0</v>
      </c>
      <c r="J23" s="1780">
        <f>SUM(J14:J16,J21,J22)</f>
        <v>0</v>
      </c>
      <c r="K23" s="1780">
        <f>SUM(K14:K16,K21,K22)</f>
        <v>0</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J12" sqref="J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5469945</v>
      </c>
      <c r="D5" s="842"/>
      <c r="E5" s="842"/>
      <c r="F5" s="1782">
        <f>(C5+D5)-E5</f>
        <v>5469945</v>
      </c>
      <c r="G5" s="838"/>
      <c r="H5" s="843"/>
      <c r="I5" s="843"/>
      <c r="J5" s="843"/>
      <c r="K5" s="794"/>
      <c r="L5" s="1791">
        <f>F5-K5</f>
        <v>5469945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72321728</v>
      </c>
      <c r="D8" s="845">
        <v>271641</v>
      </c>
      <c r="E8" s="845"/>
      <c r="F8" s="1782">
        <f>(C8+D8)-E8</f>
        <v>72593369</v>
      </c>
      <c r="G8" s="844">
        <v>50</v>
      </c>
      <c r="H8" s="766">
        <v>31895773</v>
      </c>
      <c r="I8" s="766">
        <v>1763285</v>
      </c>
      <c r="J8" s="766"/>
      <c r="K8" s="1791">
        <f>(H8+I8)-J8</f>
        <v>33659058</v>
      </c>
      <c r="L8" s="1791">
        <f>F8-K8</f>
        <v>38934311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2001430</v>
      </c>
      <c r="D10" s="847"/>
      <c r="E10" s="847"/>
      <c r="F10" s="1786">
        <f>(C10+D10)-E10</f>
        <v>2001430</v>
      </c>
      <c r="G10" s="844">
        <v>20</v>
      </c>
      <c r="H10" s="848">
        <v>1542222</v>
      </c>
      <c r="I10" s="848">
        <v>57093</v>
      </c>
      <c r="J10" s="848"/>
      <c r="K10" s="1791">
        <f>(H10+I10)-J10</f>
        <v>1599315</v>
      </c>
      <c r="L10" s="1791">
        <f>F10-K10</f>
        <v>402115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2934354</v>
      </c>
      <c r="D12" s="845">
        <v>38879</v>
      </c>
      <c r="E12" s="845"/>
      <c r="F12" s="1782">
        <f>(C12+D12)-E12</f>
        <v>2973233</v>
      </c>
      <c r="G12" s="844">
        <v>10</v>
      </c>
      <c r="H12" s="766">
        <v>2252516</v>
      </c>
      <c r="I12" s="766">
        <v>158103</v>
      </c>
      <c r="J12" s="766"/>
      <c r="K12" s="1791">
        <f>(H12+I12)-J12</f>
        <v>2410619</v>
      </c>
      <c r="L12" s="1791">
        <f>F12-K12</f>
        <v>562614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0</v>
      </c>
      <c r="D15" s="845">
        <v>548114</v>
      </c>
      <c r="E15" s="845"/>
      <c r="F15" s="1782">
        <f>(C15+D15)-E15</f>
        <v>548114</v>
      </c>
      <c r="G15" s="850" t="s">
        <v>917</v>
      </c>
      <c r="H15" s="782"/>
      <c r="I15" s="782"/>
      <c r="J15" s="782"/>
      <c r="K15" s="782"/>
      <c r="L15" s="1791">
        <f>F15-K15</f>
        <v>548114</v>
      </c>
    </row>
    <row r="16" spans="1:14" ht="15" customHeight="1" thickTop="1" thickBot="1" x14ac:dyDescent="0.25">
      <c r="A16" s="1787" t="s">
        <v>664</v>
      </c>
      <c r="B16" s="1788">
        <v>200</v>
      </c>
      <c r="C16" s="1782">
        <f>SUM(C3,C5:C6,C8:C10,C12:C15)</f>
        <v>82727457</v>
      </c>
      <c r="D16" s="1782">
        <f>SUM(D3,D5:D6,D8:D10,D12:D15)</f>
        <v>858634</v>
      </c>
      <c r="E16" s="1782">
        <f>SUM(E3,E5:E6,E8:E10,E12:E15)</f>
        <v>0</v>
      </c>
      <c r="F16" s="1782">
        <f>SUM(F3,F5:F6,F8:F10,F12:F15)</f>
        <v>83586091</v>
      </c>
      <c r="G16" s="844"/>
      <c r="H16" s="1782">
        <f>SUM(H3,H6,H8:H10,H12:H14,)</f>
        <v>35690511</v>
      </c>
      <c r="I16" s="1782">
        <f>SUM(I3,I6,I8:I10,I12:I14,)</f>
        <v>1978481</v>
      </c>
      <c r="J16" s="1782">
        <f>SUM(J3,J6,J8:J10,J12:J14,)</f>
        <v>0</v>
      </c>
      <c r="K16" s="1782">
        <f>(H16+I16)-J16</f>
        <v>37668992</v>
      </c>
      <c r="L16" s="1782">
        <f>F16-K16</f>
        <v>45917099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107885</v>
      </c>
      <c r="G17" s="838">
        <v>10</v>
      </c>
      <c r="H17" s="770"/>
      <c r="I17" s="1791">
        <f>F17/G17</f>
        <v>10788.5</v>
      </c>
      <c r="J17" s="770"/>
      <c r="K17" s="796"/>
      <c r="L17" s="796"/>
    </row>
    <row r="18" spans="1:12" ht="14.25" thickTop="1" thickBot="1" x14ac:dyDescent="0.25">
      <c r="A18" s="1789" t="s">
        <v>706</v>
      </c>
      <c r="B18" s="1790"/>
      <c r="C18" s="772"/>
      <c r="D18" s="772"/>
      <c r="E18" s="772"/>
      <c r="F18" s="851"/>
      <c r="G18" s="852"/>
      <c r="H18" s="774"/>
      <c r="I18" s="1782">
        <f>SUM(I16,I17)</f>
        <v>1989269.5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F180" sqref="F180"/>
      <selection pane="bottomLeft" activeCell="F91" sqref="F9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18642486</v>
      </c>
      <c r="G8" s="866"/>
    </row>
    <row r="9" spans="1:7" x14ac:dyDescent="0.2">
      <c r="A9" s="870" t="s">
        <v>480</v>
      </c>
      <c r="B9" s="871" t="s">
        <v>1989</v>
      </c>
      <c r="C9" s="872"/>
      <c r="D9" s="870" t="s">
        <v>522</v>
      </c>
      <c r="E9" s="869"/>
      <c r="F9" s="1935">
        <f>'Expenditures 15-22'!K151</f>
        <v>2978629</v>
      </c>
      <c r="G9" s="873"/>
    </row>
    <row r="10" spans="1:7" x14ac:dyDescent="0.2">
      <c r="A10" s="870" t="s">
        <v>520</v>
      </c>
      <c r="B10" s="871" t="s">
        <v>1990</v>
      </c>
      <c r="C10" s="872"/>
      <c r="D10" s="870" t="s">
        <v>522</v>
      </c>
      <c r="E10" s="869"/>
      <c r="F10" s="1935">
        <f>'Expenditures 15-22'!K174</f>
        <v>4023734</v>
      </c>
      <c r="G10" s="873"/>
    </row>
    <row r="11" spans="1:7" x14ac:dyDescent="0.2">
      <c r="A11" s="870" t="s">
        <v>481</v>
      </c>
      <c r="B11" s="871" t="s">
        <v>1991</v>
      </c>
      <c r="C11" s="872"/>
      <c r="D11" s="870" t="s">
        <v>522</v>
      </c>
      <c r="E11" s="869"/>
      <c r="F11" s="1935">
        <f>'Expenditures 15-22'!K210</f>
        <v>1107205</v>
      </c>
      <c r="G11" s="873"/>
    </row>
    <row r="12" spans="1:7" x14ac:dyDescent="0.2">
      <c r="A12" s="870" t="s">
        <v>482</v>
      </c>
      <c r="B12" s="871" t="s">
        <v>1992</v>
      </c>
      <c r="C12" s="872"/>
      <c r="D12" s="870" t="s">
        <v>522</v>
      </c>
      <c r="E12" s="869"/>
      <c r="F12" s="1935">
        <f>'Expenditures 15-22'!K295</f>
        <v>693463</v>
      </c>
      <c r="G12" s="873"/>
    </row>
    <row r="13" spans="1:7" x14ac:dyDescent="0.2">
      <c r="A13" s="870" t="s">
        <v>108</v>
      </c>
      <c r="B13" s="871" t="s">
        <v>1993</v>
      </c>
      <c r="C13" s="872"/>
      <c r="D13" s="870" t="s">
        <v>522</v>
      </c>
      <c r="E13" s="869"/>
      <c r="F13" s="1935">
        <f>'Expenditures 15-22'!K342</f>
        <v>383541</v>
      </c>
      <c r="G13" s="874"/>
    </row>
    <row r="14" spans="1:7" ht="12" customHeight="1" thickBot="1" x14ac:dyDescent="0.25">
      <c r="A14" s="1792"/>
      <c r="B14" s="1793"/>
      <c r="C14" s="1794"/>
      <c r="D14" s="1795" t="s">
        <v>522</v>
      </c>
      <c r="E14" s="1796" t="s">
        <v>1015</v>
      </c>
      <c r="F14" s="1797">
        <f>SUM(F8:F13)</f>
        <v>27829058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670498</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1872</v>
      </c>
      <c r="G51" s="866"/>
    </row>
    <row r="52" spans="1:7" x14ac:dyDescent="0.2">
      <c r="A52" s="870" t="s">
        <v>479</v>
      </c>
      <c r="B52" s="870" t="s">
        <v>1550</v>
      </c>
      <c r="C52" s="890" t="str">
        <f>'Expenditures 15-22'!B75</f>
        <v>3000</v>
      </c>
      <c r="D52" s="889" t="s">
        <v>469</v>
      </c>
      <c r="E52" s="869"/>
      <c r="F52" s="1939">
        <f>'Expenditures 15-22'!K75-SUM('Expenditures 15-22'!G75,'Expenditures 15-22'!I75)</f>
        <v>1584</v>
      </c>
      <c r="G52" s="866"/>
    </row>
    <row r="53" spans="1:7" x14ac:dyDescent="0.2">
      <c r="A53" s="870" t="s">
        <v>479</v>
      </c>
      <c r="B53" s="870" t="s">
        <v>1551</v>
      </c>
      <c r="C53" s="890">
        <f>'Expenditures 15-22'!B102</f>
        <v>4000</v>
      </c>
      <c r="D53" s="889" t="str">
        <f>'Expenditures 15-22'!A102</f>
        <v>Total Payments to Other Govt Units</v>
      </c>
      <c r="E53" s="869"/>
      <c r="F53" s="1939">
        <f>'Expenditures 15-22'!K102</f>
        <v>585351</v>
      </c>
      <c r="G53" s="866"/>
    </row>
    <row r="54" spans="1:7" x14ac:dyDescent="0.2">
      <c r="A54" s="870" t="s">
        <v>479</v>
      </c>
      <c r="B54" s="870" t="s">
        <v>1552</v>
      </c>
      <c r="C54" s="890" t="s">
        <v>1039</v>
      </c>
      <c r="D54" s="886" t="s">
        <v>1157</v>
      </c>
      <c r="E54" s="869"/>
      <c r="F54" s="1939">
        <f>'Expenditures 15-22'!G114</f>
        <v>38879</v>
      </c>
      <c r="G54" s="866"/>
    </row>
    <row r="55" spans="1:7" x14ac:dyDescent="0.2">
      <c r="A55" s="870" t="s">
        <v>479</v>
      </c>
      <c r="B55" s="870" t="s">
        <v>1553</v>
      </c>
      <c r="C55" s="890" t="s">
        <v>1039</v>
      </c>
      <c r="D55" s="886" t="s">
        <v>309</v>
      </c>
      <c r="E55" s="869"/>
      <c r="F55" s="1939">
        <f>'Expenditures 15-22'!I114</f>
        <v>72577</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28638</v>
      </c>
      <c r="G57" s="866"/>
    </row>
    <row r="58" spans="1:7" x14ac:dyDescent="0.2">
      <c r="A58" s="870" t="s">
        <v>480</v>
      </c>
      <c r="B58" s="870" t="s">
        <v>1995</v>
      </c>
      <c r="C58" s="887" t="s">
        <v>1039</v>
      </c>
      <c r="D58" s="886" t="s">
        <v>1157</v>
      </c>
      <c r="E58" s="869"/>
      <c r="F58" s="1941">
        <f>'Expenditures 15-22'!G151</f>
        <v>819755</v>
      </c>
      <c r="G58" s="866"/>
    </row>
    <row r="59" spans="1:7" x14ac:dyDescent="0.2">
      <c r="A59" s="894" t="s">
        <v>480</v>
      </c>
      <c r="B59" s="857" t="s">
        <v>1996</v>
      </c>
      <c r="C59" s="895" t="s">
        <v>1039</v>
      </c>
      <c r="D59" s="857" t="s">
        <v>309</v>
      </c>
      <c r="F59" s="1942">
        <f>'Expenditures 15-22'!I151</f>
        <v>35308</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2673773</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116814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5045049</v>
      </c>
      <c r="G76" s="866"/>
    </row>
    <row r="77" spans="1:8" s="894" customFormat="1" ht="12" customHeight="1" thickTop="1" thickBot="1" x14ac:dyDescent="0.25">
      <c r="A77" s="1801"/>
      <c r="B77" s="1798"/>
      <c r="C77" s="1794"/>
      <c r="D77" s="1799" t="s">
        <v>2012</v>
      </c>
      <c r="E77" s="1796"/>
      <c r="F77" s="1802">
        <f>(F14-F76)</f>
        <v>22784009</v>
      </c>
      <c r="G77" s="870"/>
    </row>
    <row r="78" spans="1:8" s="894" customFormat="1" ht="12" customHeight="1" thickTop="1" x14ac:dyDescent="0.2">
      <c r="A78" s="1803"/>
      <c r="B78" s="1798"/>
      <c r="C78" s="1794"/>
      <c r="D78" s="1799" t="s">
        <v>2059</v>
      </c>
      <c r="E78" s="1796"/>
      <c r="F78" s="899">
        <v>1283.25</v>
      </c>
      <c r="G78" s="900"/>
      <c r="H78" s="870"/>
    </row>
    <row r="79" spans="1:8" s="894" customFormat="1" ht="12" customHeight="1" thickBot="1" x14ac:dyDescent="0.25">
      <c r="A79" s="1804"/>
      <c r="B79" s="1798"/>
      <c r="C79" s="1794"/>
      <c r="D79" s="1799" t="s">
        <v>2013</v>
      </c>
      <c r="E79" s="1796" t="s">
        <v>1015</v>
      </c>
      <c r="F79" s="1805">
        <f>IF(F78&gt;0,F77/F78," Complete Line 78")</f>
        <v>17754.926164036624</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597116</v>
      </c>
      <c r="G94" s="913"/>
    </row>
    <row r="95" spans="1:7" x14ac:dyDescent="0.2">
      <c r="A95" s="909" t="s">
        <v>142</v>
      </c>
      <c r="B95" s="909" t="s">
        <v>177</v>
      </c>
      <c r="C95" s="911">
        <v>1700</v>
      </c>
      <c r="D95" s="919" t="str">
        <f>'Revenues 9-14'!A82</f>
        <v>Total District/School Activity Income</v>
      </c>
      <c r="E95" s="907"/>
      <c r="F95" s="1811">
        <f>SUM('Revenues 9-14'!C82,'Revenues 9-14'!D82)</f>
        <v>839912</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76730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33822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323102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65784</v>
      </c>
      <c r="G106" s="913"/>
    </row>
    <row r="107" spans="1:7" x14ac:dyDescent="0.2">
      <c r="A107" s="922" t="s">
        <v>685</v>
      </c>
      <c r="B107" s="909" t="s">
        <v>843</v>
      </c>
      <c r="C107" s="921">
        <v>3300</v>
      </c>
      <c r="D107" s="912" t="str">
        <f>'Revenues 9-14'!A144</f>
        <v>Total Bilingual Ed</v>
      </c>
      <c r="E107" s="907"/>
      <c r="F107" s="1811">
        <f>SUM('Revenues 9-14'!C144,'Revenues 9-14'!G144)</f>
        <v>4812</v>
      </c>
      <c r="G107" s="913"/>
    </row>
    <row r="108" spans="1:7" x14ac:dyDescent="0.2">
      <c r="A108" s="909" t="s">
        <v>479</v>
      </c>
      <c r="B108" s="909" t="s">
        <v>844</v>
      </c>
      <c r="C108" s="921">
        <f>'Revenues 9-14'!B145</f>
        <v>3360</v>
      </c>
      <c r="D108" s="912" t="str">
        <f>'Revenues 9-14'!A145</f>
        <v>State Free Lunch &amp; Breakfast</v>
      </c>
      <c r="E108" s="907"/>
      <c r="F108" s="1811">
        <f>'Revenues 9-14'!C145</f>
        <v>812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44369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710564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1021</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197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98997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116037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3641</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252338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101416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29631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8541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3308842</v>
      </c>
    </row>
    <row r="179" spans="1:7" ht="12" customHeight="1" x14ac:dyDescent="0.2">
      <c r="A179" s="1792"/>
      <c r="B179" s="1806"/>
      <c r="C179" s="1807"/>
      <c r="D179" s="1808" t="s">
        <v>2015</v>
      </c>
      <c r="E179" s="1809"/>
      <c r="F179" s="1811">
        <f>'PCTC-OEPP 27-28'!F77-F178</f>
        <v>19475167</v>
      </c>
    </row>
    <row r="180" spans="1:7" ht="12" customHeight="1" x14ac:dyDescent="0.2">
      <c r="A180" s="1792"/>
      <c r="B180" s="1806"/>
      <c r="C180" s="1807"/>
      <c r="D180" s="1808" t="s">
        <v>1924</v>
      </c>
      <c r="E180" s="1809"/>
      <c r="F180" s="1811">
        <f>'Cap Outlay Deprec 26'!I18</f>
        <v>1989269.5</v>
      </c>
    </row>
    <row r="181" spans="1:7" ht="12" customHeight="1" x14ac:dyDescent="0.2">
      <c r="A181" s="1792"/>
      <c r="B181" s="1806"/>
      <c r="C181" s="1807"/>
      <c r="D181" s="1808" t="s">
        <v>2016</v>
      </c>
      <c r="E181" s="1809"/>
      <c r="F181" s="1811">
        <f>F179+F180</f>
        <v>21464436.5</v>
      </c>
    </row>
    <row r="182" spans="1:7" ht="12" customHeight="1" x14ac:dyDescent="0.2">
      <c r="A182" s="1792"/>
      <c r="B182" s="1812"/>
      <c r="C182" s="1807"/>
      <c r="D182" s="1808" t="str">
        <f>D78</f>
        <v>9 Month ADA from District Average Daily Attendance/Prior General State Aid Inquiry 2017-2018</v>
      </c>
      <c r="E182" s="1809"/>
      <c r="F182" s="1813">
        <f>'PCTC-OEPP 27-28'!F78</f>
        <v>1283.25</v>
      </c>
      <c r="G182" s="931"/>
    </row>
    <row r="183" spans="1:7" ht="12" customHeight="1" thickBot="1" x14ac:dyDescent="0.25">
      <c r="A183" s="1792"/>
      <c r="B183" s="1812"/>
      <c r="C183" s="1807"/>
      <c r="D183" s="1808" t="s">
        <v>2017</v>
      </c>
      <c r="E183" s="1809" t="s">
        <v>1626</v>
      </c>
      <c r="F183" s="1814">
        <f>F181/F182</f>
        <v>16726.621079290864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3" sqref="B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ht="30" x14ac:dyDescent="0.25">
      <c r="A20" s="1675" t="s">
        <v>2141</v>
      </c>
      <c r="B20" s="2504" t="s">
        <v>2147</v>
      </c>
      <c r="C20" s="1678" t="s">
        <v>2144</v>
      </c>
      <c r="D20" s="1867">
        <v>206700</v>
      </c>
      <c r="E20" s="1562">
        <f t="shared" si="2"/>
        <v>25000</v>
      </c>
      <c r="F20" s="1815">
        <f t="shared" si="3"/>
        <v>25000</v>
      </c>
      <c r="G20" s="1816">
        <f t="shared" si="4"/>
        <v>181700</v>
      </c>
    </row>
    <row r="21" spans="1:8" ht="30" x14ac:dyDescent="0.25">
      <c r="A21" s="1675" t="s">
        <v>2142</v>
      </c>
      <c r="B21" s="2504" t="s">
        <v>2148</v>
      </c>
      <c r="C21" s="1678" t="s">
        <v>2145</v>
      </c>
      <c r="D21" s="1867">
        <v>389613</v>
      </c>
      <c r="E21" s="1562">
        <f t="shared" si="2"/>
        <v>25000</v>
      </c>
      <c r="F21" s="1815">
        <f t="shared" si="3"/>
        <v>25000</v>
      </c>
      <c r="G21" s="1816">
        <f t="shared" si="4"/>
        <v>364613</v>
      </c>
    </row>
    <row r="22" spans="1:8" x14ac:dyDescent="0.25">
      <c r="A22" s="1675" t="s">
        <v>2143</v>
      </c>
      <c r="B22" s="2504" t="s">
        <v>2148</v>
      </c>
      <c r="C22" s="1678" t="s">
        <v>2145</v>
      </c>
      <c r="D22" s="1867">
        <v>757274</v>
      </c>
      <c r="E22" s="1562">
        <f t="shared" si="2"/>
        <v>25000</v>
      </c>
      <c r="F22" s="1815">
        <f t="shared" si="3"/>
        <v>25000</v>
      </c>
      <c r="G22" s="1816">
        <f t="shared" si="4"/>
        <v>732274</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1353587</v>
      </c>
      <c r="E141" s="1563">
        <f t="shared" si="1"/>
        <v>25000</v>
      </c>
      <c r="F141" s="1817">
        <f>SUM(F17:F140)</f>
        <v>75000</v>
      </c>
      <c r="G141" s="1818">
        <f>SUM(G17:G140)</f>
        <v>1278587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v>33425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13449964</v>
      </c>
      <c r="F19" s="1822"/>
      <c r="G19" s="1824">
        <f>'Expenditures 15-22'!K33-SUM('Expenditures 15-22'!G33,'Expenditures 15-22'!I33)+'Expenditures 15-22'!D229</f>
        <v>13449964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1295255</v>
      </c>
      <c r="F21" s="1825"/>
      <c r="G21" s="1828">
        <f>'Expenditures 15-22'!K42-SUM('Expenditures 15-22'!G42,'Expenditures 15-22'!I42)+'Expenditures 15-22'!K120-SUM('Expenditures 15-22'!G120,'Expenditures 15-22'!I120)+'Expenditures 15-22'!K180-SUM('Expenditures 15-22'!G180,'Expenditures 15-22'!I180)+'Expenditures 15-22'!D238</f>
        <v>1295255</v>
      </c>
      <c r="H21" s="988"/>
      <c r="I21" s="162"/>
    </row>
    <row r="22" spans="1:9" s="669" customFormat="1" ht="12" customHeight="1" x14ac:dyDescent="0.2">
      <c r="A22" s="995" t="s">
        <v>585</v>
      </c>
      <c r="B22" s="996"/>
      <c r="C22" s="994">
        <v>2200</v>
      </c>
      <c r="D22" s="1825"/>
      <c r="E22" s="1827">
        <f>'Expenditures 15-22'!K47-SUM('Expenditures 15-22'!G47,'Expenditures 15-22'!I47)+'Expenditures 15-22'!D243</f>
        <v>974550</v>
      </c>
      <c r="F22" s="1825"/>
      <c r="G22" s="1828">
        <f>'Expenditures 15-22'!K47-SUM('Expenditures 15-22'!G47,'Expenditures 15-22'!I47)+'Expenditures 15-22'!D243</f>
        <v>974550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889388</v>
      </c>
      <c r="F23" s="1825"/>
      <c r="G23" s="1827">
        <f>'Expenditures 15-22'!K53-SUM('Expenditures 15-22'!G53,'Expenditures 15-22'!I53)+'Expenditures 15-22'!D257+'Expenditures 15-22'!K330-SUM('Expenditures 15-22'!G330,'Expenditures 15-22'!I330)</f>
        <v>889388</v>
      </c>
      <c r="H23" s="988"/>
      <c r="I23" s="162"/>
    </row>
    <row r="24" spans="1:9" s="669" customFormat="1" ht="12" customHeight="1" x14ac:dyDescent="0.2">
      <c r="A24" s="995" t="s">
        <v>587</v>
      </c>
      <c r="B24" s="996"/>
      <c r="C24" s="994">
        <v>2400</v>
      </c>
      <c r="D24" s="1825"/>
      <c r="E24" s="1827">
        <f>'Expenditures 15-22'!K57-SUM('Expenditures 15-22'!G57,'Expenditures 15-22'!I57)+'Expenditures 15-22'!D261</f>
        <v>712960</v>
      </c>
      <c r="F24" s="1825"/>
      <c r="G24" s="1828">
        <f>'Expenditures 15-22'!K57-SUM('Expenditures 15-22'!G57,'Expenditures 15-22'!I57)+'Expenditures 15-22'!D261</f>
        <v>712960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595616</v>
      </c>
      <c r="E27" s="1827">
        <f>E8</f>
        <v>0</v>
      </c>
      <c r="F27" s="1827">
        <f>'Expenditures 15-22'!K60-SUM('Expenditures 15-22'!G60,'Expenditures 15-22'!I60)+'Expenditures 15-22'!D264-E8</f>
        <v>595616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2304173</v>
      </c>
      <c r="F28" s="1829">
        <f>'Expenditures 15-22'!K61-SUM('Expenditures 15-22'!G61,'Expenditures 15-22'!I61)+'Expenditures 15-22'!K124-SUM('Expenditures 15-22'!G124,'Expenditures 15-22'!I124)+'Expenditures 15-22'!D266-E9</f>
        <v>2304173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1107205</v>
      </c>
      <c r="F29" s="1825"/>
      <c r="G29" s="1828">
        <f>'Expenditures 15-22'!K62-SUM('Expenditures 15-22'!G62,'Expenditures 15-22'!I62)+'Expenditures 15-22'!K125-SUM('Expenditures 15-22'!G125,'Expenditures 15-22'!I125)+'Expenditures 15-22'!K182-SUM('Expenditures 15-22'!G182,'Expenditures 15-22'!I182)+'Expenditures 15-22'!D267</f>
        <v>1107205</v>
      </c>
      <c r="H29" s="986"/>
    </row>
    <row r="30" spans="1:9" ht="12" customHeight="1" x14ac:dyDescent="0.2">
      <c r="A30" s="995" t="s">
        <v>102</v>
      </c>
      <c r="B30" s="998"/>
      <c r="C30" s="994">
        <v>2560</v>
      </c>
      <c r="D30" s="1825"/>
      <c r="E30" s="1827">
        <f>'Expenditures 15-22'!K63-SUM('Expenditures 15-22'!G63,'Expenditures 15-22'!I63)+'Expenditures 15-22'!D268-E10</f>
        <v>679038</v>
      </c>
      <c r="F30" s="1825"/>
      <c r="G30" s="1827">
        <f>'Expenditures 15-22'!K63-SUM('Expenditures 15-22'!G63,'Expenditures 15-22'!I63)+'Expenditures 15-22'!D268-E10</f>
        <v>679038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213625</v>
      </c>
      <c r="E37" s="1827">
        <f>E14</f>
        <v>0</v>
      </c>
      <c r="F37" s="1827">
        <f>'Expenditures 15-22'!K71-SUM('Expenditures 15-22'!G71,'Expenditures 15-22'!I71)+'Expenditures 15-22'!D276-E14</f>
        <v>213625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1458</v>
      </c>
      <c r="F38" s="1825"/>
      <c r="G38" s="1827">
        <f>'Expenditures 15-22'!K73-SUM('Expenditures 15-22'!G73,'Expenditures 15-22'!I73)+'Expenditures 15-22'!K128-SUM('Expenditures 15-22'!G128,'Expenditures 15-22'!I128)+'Expenditures 15-22'!K183-SUM('Expenditures 15-22'!G183,'Expenditures 15-22'!I183)+'Expenditures 15-22'!D278</f>
        <v>1458</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1584</v>
      </c>
      <c r="F39" s="1825"/>
      <c r="G39" s="1827">
        <f>'Expenditures 15-22'!K75-SUM('Expenditures 15-22'!G75,'Expenditures 15-22'!I75)+'Expenditures 15-22'!K130-SUM('Expenditures 15-22'!G130,'Expenditures 15-22'!I130)+'Expenditures 15-22'!K185-SUM('Expenditures 15-22'!G185,'Expenditures 15-22'!I185)+'Expenditures 15-22'!D280</f>
        <v>1584</v>
      </c>
    </row>
    <row r="40" spans="1:7" ht="12" customHeight="1" x14ac:dyDescent="0.2">
      <c r="A40" s="991" t="s">
        <v>1930</v>
      </c>
      <c r="B40" s="992"/>
      <c r="C40" s="994"/>
      <c r="D40" s="1825"/>
      <c r="E40" s="1829">
        <f>-'Contracts Paid in CY 29'!G141</f>
        <v>-1278587</v>
      </c>
      <c r="F40" s="1825"/>
      <c r="G40" s="1829">
        <f>-'Contracts Paid in CY 29'!G141</f>
        <v>-1278587</v>
      </c>
    </row>
    <row r="41" spans="1:7" ht="12" customHeight="1" x14ac:dyDescent="0.2">
      <c r="A41" s="999" t="s">
        <v>158</v>
      </c>
      <c r="B41" s="1000"/>
      <c r="C41" s="1001"/>
      <c r="D41" s="1829">
        <f>SUM(D19:D39)</f>
        <v>809241</v>
      </c>
      <c r="E41" s="1829">
        <f>SUM(E19:E40)</f>
        <v>20136988</v>
      </c>
      <c r="F41" s="1829">
        <f>SUM(F19:F39)</f>
        <v>3113414</v>
      </c>
      <c r="G41" s="1829">
        <f>SUM(G19:G40)</f>
        <v>17832815</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809241</v>
      </c>
      <c r="F43" s="1830" t="s">
        <v>495</v>
      </c>
      <c r="G43" s="1831">
        <f>F41</f>
        <v>3113414</v>
      </c>
    </row>
    <row r="44" spans="1:7" ht="12" customHeight="1" x14ac:dyDescent="0.2">
      <c r="A44" s="988"/>
      <c r="B44" s="162"/>
      <c r="C44" s="1002"/>
      <c r="D44" s="1830" t="s">
        <v>494</v>
      </c>
      <c r="E44" s="1831">
        <f>E41</f>
        <v>20136988</v>
      </c>
      <c r="F44" s="1830" t="s">
        <v>494</v>
      </c>
      <c r="G44" s="1831">
        <f>G41</f>
        <v>17832815</v>
      </c>
    </row>
    <row r="45" spans="1:7" ht="12" customHeight="1" x14ac:dyDescent="0.2">
      <c r="A45" s="988"/>
      <c r="B45" s="162"/>
      <c r="C45" s="162"/>
      <c r="D45" s="1832" t="s">
        <v>1063</v>
      </c>
      <c r="E45" s="1833">
        <f>(E43/E44)</f>
        <v>4.0186794569277193E-2</v>
      </c>
      <c r="F45" s="1832" t="s">
        <v>1063</v>
      </c>
      <c r="G45" s="1833">
        <f>(G43/G44)</f>
        <v>0.17458903712061163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F91" sqref="F91"/>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Lemont Twp HSD 210</v>
      </c>
      <c r="D6" s="2325"/>
      <c r="E6" s="2325"/>
      <c r="F6" s="1877"/>
    </row>
    <row r="7" spans="1:10" ht="11.25" customHeight="1" thickBot="1" x14ac:dyDescent="0.3">
      <c r="A7" s="1875"/>
      <c r="B7" s="1876"/>
      <c r="C7" s="2326">
        <f>COVER!A13</f>
        <v>7016210017</v>
      </c>
      <c r="D7" s="2326"/>
      <c r="E7" s="232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2101</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t="s">
        <v>2077</v>
      </c>
      <c r="D20" s="1890" t="s">
        <v>2077</v>
      </c>
      <c r="E20" s="1893"/>
      <c r="F20" s="1892" t="s">
        <v>2102</v>
      </c>
      <c r="H20" s="1903">
        <f t="shared" si="0"/>
        <v>5</v>
      </c>
      <c r="I20" s="1903">
        <f t="shared" si="1"/>
        <v>5</v>
      </c>
      <c r="J20" s="1903">
        <f t="shared" si="2"/>
        <v>0</v>
      </c>
    </row>
    <row r="21" spans="1:12" ht="12" customHeight="1" x14ac:dyDescent="0.2">
      <c r="A21" s="1888" t="s">
        <v>1610</v>
      </c>
      <c r="B21" s="1889"/>
      <c r="C21" s="1890" t="s">
        <v>2077</v>
      </c>
      <c r="D21" s="1890" t="s">
        <v>2077</v>
      </c>
      <c r="E21" s="1893"/>
      <c r="F21" s="1892" t="s">
        <v>2103</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2104</v>
      </c>
      <c r="H26" s="1903">
        <f t="shared" si="0"/>
        <v>5</v>
      </c>
      <c r="I26" s="1903">
        <f t="shared" si="1"/>
        <v>5</v>
      </c>
      <c r="J26" s="1903">
        <f t="shared" si="2"/>
        <v>0</v>
      </c>
    </row>
    <row r="27" spans="1:12" ht="18.75" x14ac:dyDescent="0.2">
      <c r="A27" s="1888" t="s">
        <v>1616</v>
      </c>
      <c r="B27" s="1889"/>
      <c r="C27" s="1890" t="s">
        <v>2077</v>
      </c>
      <c r="D27" s="1890" t="s">
        <v>2077</v>
      </c>
      <c r="E27" s="1893"/>
      <c r="F27" s="1892" t="s">
        <v>2105</v>
      </c>
      <c r="H27" s="1903">
        <f t="shared" si="0"/>
        <v>5</v>
      </c>
      <c r="I27" s="1903">
        <f t="shared" si="1"/>
        <v>5</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2106</v>
      </c>
      <c r="H30" s="1903">
        <f t="shared" si="0"/>
        <v>5</v>
      </c>
      <c r="I30" s="1903">
        <f t="shared" si="1"/>
        <v>5</v>
      </c>
      <c r="J30" s="1903">
        <f t="shared" si="2"/>
        <v>0</v>
      </c>
    </row>
    <row r="31" spans="1:12" ht="12" customHeight="1" x14ac:dyDescent="0.2">
      <c r="A31" s="1888" t="s">
        <v>1620</v>
      </c>
      <c r="B31" s="1889"/>
      <c r="C31" s="1890" t="s">
        <v>2077</v>
      </c>
      <c r="D31" s="1890" t="s">
        <v>2077</v>
      </c>
      <c r="E31" s="1893"/>
      <c r="F31" s="1892" t="s">
        <v>2107</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2077</v>
      </c>
      <c r="D33" s="1890" t="s">
        <v>2077</v>
      </c>
      <c r="E33" s="1893"/>
      <c r="F33" s="1892" t="s">
        <v>2108</v>
      </c>
      <c r="H33" s="1903">
        <f t="shared" si="0"/>
        <v>5</v>
      </c>
      <c r="I33" s="1903">
        <f t="shared" si="1"/>
        <v>5</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Lemont Twp HSD 210</v>
      </c>
      <c r="J6" s="2335"/>
      <c r="Q6" s="1686"/>
    </row>
    <row r="7" spans="1:17" x14ac:dyDescent="0.2">
      <c r="A7" s="2336" t="s">
        <v>924</v>
      </c>
      <c r="B7" s="2337"/>
      <c r="C7" s="2337"/>
      <c r="D7" s="2337"/>
      <c r="E7" s="2338"/>
      <c r="F7" s="1018"/>
      <c r="G7" s="1010"/>
      <c r="H7" s="1017" t="s">
        <v>390</v>
      </c>
      <c r="I7" s="2339">
        <f>COVER!A13</f>
        <v>7016210017</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349960</v>
      </c>
      <c r="F12" s="1040"/>
      <c r="G12" s="1834">
        <f t="shared" ref="G12:G18" si="0">SUM(E12:F12)</f>
        <v>349960</v>
      </c>
      <c r="H12" s="1041">
        <v>362051</v>
      </c>
      <c r="I12" s="1040"/>
      <c r="J12" s="1834">
        <f t="shared" ref="J12:J18" si="1">SUM(H12:I12)</f>
        <v>362051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349960</v>
      </c>
      <c r="F19" s="1836">
        <f t="shared" si="2"/>
        <v>0</v>
      </c>
      <c r="G19" s="1836">
        <f t="shared" si="2"/>
        <v>349960</v>
      </c>
      <c r="H19" s="1836">
        <f t="shared" si="2"/>
        <v>362051</v>
      </c>
      <c r="I19" s="1836">
        <f t="shared" si="2"/>
        <v>0</v>
      </c>
      <c r="J19" s="1836">
        <f t="shared" si="2"/>
        <v>362051</v>
      </c>
    </row>
    <row r="20" spans="1:10" ht="13.5" thickTop="1" x14ac:dyDescent="0.2">
      <c r="A20" s="1036">
        <v>9</v>
      </c>
      <c r="B20" s="2346" t="s">
        <v>1703</v>
      </c>
      <c r="C20" s="2346"/>
      <c r="D20" s="2347"/>
      <c r="E20" s="1047"/>
      <c r="F20" s="1047"/>
      <c r="G20" s="1047"/>
      <c r="H20" s="1047"/>
      <c r="I20" s="1047"/>
      <c r="J20" s="1837">
        <f>IF(AND(G19&gt;0,J19&gt;0),(((J19-G19)/G19)),"Enter Budget Data")</f>
        <v>3.4549662818607843E-2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Lemont Twp HSD 210</v>
      </c>
    </row>
    <row r="65" spans="2:2" x14ac:dyDescent="0.2">
      <c r="B65" s="1071">
        <f>COVER!A13</f>
        <v>7016210017</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895350</xdr:colOff>
                <xdr:row>0</xdr:row>
                <xdr:rowOff>19050</xdr:rowOff>
              </from>
              <to>
                <xdr:col>1</xdr:col>
                <xdr:colOff>1809750</xdr:colOff>
                <xdr:row>4</xdr:row>
                <xdr:rowOff>57150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20119792</v>
      </c>
      <c r="C8" s="1838">
        <f>'Acct Summary 7-8'!D8</f>
        <v>2493980</v>
      </c>
      <c r="D8" s="1838">
        <f>'Acct Summary 7-8'!F8</f>
        <v>1363380</v>
      </c>
      <c r="E8" s="1838">
        <f>'Acct Summary 7-8'!I8</f>
        <v>61105</v>
      </c>
      <c r="F8" s="1838">
        <f>SUM(B8:E8)</f>
        <v>24038257</v>
      </c>
    </row>
    <row r="9" spans="1:8" s="1080" customFormat="1" ht="14.25" customHeight="1" thickBot="1" x14ac:dyDescent="0.25">
      <c r="A9" s="1079" t="s">
        <v>1436</v>
      </c>
      <c r="B9" s="1839">
        <f>'Acct Summary 7-8'!C17</f>
        <v>18642486</v>
      </c>
      <c r="C9" s="1839">
        <f>'Acct Summary 7-8'!D17</f>
        <v>2978629</v>
      </c>
      <c r="D9" s="1839">
        <f>'Acct Summary 7-8'!F17</f>
        <v>1107205</v>
      </c>
      <c r="E9" s="1838"/>
      <c r="F9" s="1838">
        <f>SUM(B9:E9)</f>
        <v>22728320</v>
      </c>
    </row>
    <row r="10" spans="1:8" s="1080" customFormat="1" ht="14.25" thickTop="1" thickBot="1" x14ac:dyDescent="0.25">
      <c r="A10" s="1081" t="s">
        <v>1437</v>
      </c>
      <c r="B10" s="1840">
        <f>(B8-B9)</f>
        <v>1477306</v>
      </c>
      <c r="C10" s="1840">
        <f>(C8-C9)</f>
        <v>-484649</v>
      </c>
      <c r="D10" s="1840">
        <f>(D8-D9)</f>
        <v>256175</v>
      </c>
      <c r="E10" s="1839">
        <f>(E8-E9)</f>
        <v>61105</v>
      </c>
      <c r="F10" s="1841">
        <f>SUM(F8-F9)</f>
        <v>1309937</v>
      </c>
    </row>
    <row r="11" spans="1:8" s="1080" customFormat="1" ht="14.25" thickTop="1" thickBot="1" x14ac:dyDescent="0.25">
      <c r="A11" s="1082" t="s">
        <v>1785</v>
      </c>
      <c r="B11" s="1842">
        <f>'Acct Summary 7-8'!C81</f>
        <v>11421475</v>
      </c>
      <c r="C11" s="1842">
        <f>'Acct Summary 7-8'!D81</f>
        <v>4664504</v>
      </c>
      <c r="D11" s="1842">
        <f>'Acct Summary 7-8'!F81</f>
        <v>1136802</v>
      </c>
      <c r="E11" s="1842">
        <f>'Acct Summary 7-8'!I81</f>
        <v>5267008</v>
      </c>
      <c r="F11" s="1843">
        <f>SUM(B11:E11)</f>
        <v>22489789</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7016210017</v>
      </c>
    </row>
    <row r="3" spans="1:2" x14ac:dyDescent="0.2">
      <c r="A3" t="s">
        <v>1013</v>
      </c>
      <c r="B3" s="138" t="str">
        <f>COVER!A15</f>
        <v>Cook\DuPage Counties</v>
      </c>
    </row>
    <row r="4" spans="1:2" x14ac:dyDescent="0.2">
      <c r="A4" t="s">
        <v>1064</v>
      </c>
      <c r="B4" s="138" t="str">
        <f>COVER!A17</f>
        <v>Lemont Twp HSD 210</v>
      </c>
    </row>
    <row r="5" spans="1:2" x14ac:dyDescent="0.2">
      <c r="A5" t="s">
        <v>728</v>
      </c>
      <c r="B5" s="138" t="str">
        <f>COVER!A38</f>
        <v>Dr. Mary Ticknor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 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11425918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4443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4443</v>
      </c>
      <c r="C91" s="2" t="s">
        <v>594</v>
      </c>
      <c r="D91" s="2" t="str">
        <f t="shared" si="0"/>
        <v>Error?</v>
      </c>
    </row>
    <row r="92" spans="1:4" x14ac:dyDescent="0.2">
      <c r="A92" s="5">
        <v>31</v>
      </c>
      <c r="B92" s="138">
        <f>'Assets-Liab 5-6'!C39</f>
        <v>11421475</v>
      </c>
      <c r="D92" s="2" t="str">
        <f t="shared" si="0"/>
        <v>Error?</v>
      </c>
    </row>
    <row r="93" spans="1:4" x14ac:dyDescent="0.2">
      <c r="A93" s="5">
        <v>32</v>
      </c>
      <c r="B93" s="138">
        <f>'Assets-Liab 5-6'!C41</f>
        <v>11425918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4664504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4664504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2820212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2820212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1136802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1136802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545203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545203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5469945</v>
      </c>
      <c r="D273" s="2" t="str">
        <f t="shared" si="3"/>
        <v>Error?</v>
      </c>
    </row>
    <row r="274" spans="1:4" x14ac:dyDescent="0.2">
      <c r="A274" s="5">
        <v>213</v>
      </c>
      <c r="B274" s="138">
        <f>'Assets-Liab 5-6'!M17</f>
        <v>72593369</v>
      </c>
      <c r="D274" s="2" t="str">
        <f t="shared" si="3"/>
        <v>Error?</v>
      </c>
    </row>
    <row r="275" spans="1:4" x14ac:dyDescent="0.2">
      <c r="A275" s="5">
        <v>214</v>
      </c>
      <c r="B275" s="138">
        <f>'Assets-Liab 5-6'!M18</f>
        <v>2001430</v>
      </c>
      <c r="D275" s="2" t="str">
        <f t="shared" si="3"/>
        <v>Error?</v>
      </c>
    </row>
    <row r="276" spans="1:4" x14ac:dyDescent="0.2">
      <c r="A276" s="5">
        <v>215</v>
      </c>
      <c r="B276" s="138">
        <f>'Assets-Liab 5-6'!M19</f>
        <v>2973233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83586091</v>
      </c>
      <c r="C279" s="2" t="s">
        <v>594</v>
      </c>
      <c r="D279" s="2" t="str">
        <f t="shared" si="3"/>
        <v>Error?</v>
      </c>
    </row>
    <row r="280" spans="1:4" x14ac:dyDescent="0.2">
      <c r="A280" s="5">
        <v>219</v>
      </c>
      <c r="B280" s="138">
        <f>'Assets-Liab 5-6'!M40</f>
        <v>83586091</v>
      </c>
      <c r="D280" s="2" t="str">
        <f t="shared" si="3"/>
        <v>Error?</v>
      </c>
    </row>
    <row r="281" spans="1:4" x14ac:dyDescent="0.2">
      <c r="A281" s="5">
        <v>220</v>
      </c>
      <c r="B281" s="138">
        <f>'Assets-Liab 5-6'!M41</f>
        <v>83586091</v>
      </c>
      <c r="C281" s="2" t="s">
        <v>594</v>
      </c>
      <c r="D281" s="2" t="str">
        <f t="shared" si="3"/>
        <v>Error?</v>
      </c>
    </row>
    <row r="282" spans="1:4" x14ac:dyDescent="0.2">
      <c r="A282" s="5">
        <v>221</v>
      </c>
      <c r="B282" s="138">
        <f>'Assets-Liab 5-6'!N21</f>
        <v>2820212</v>
      </c>
      <c r="D282" s="2" t="str">
        <f t="shared" si="3"/>
        <v>Error?</v>
      </c>
    </row>
    <row r="283" spans="1:4" x14ac:dyDescent="0.2">
      <c r="A283" s="5">
        <v>222</v>
      </c>
      <c r="B283" s="138">
        <f>'Assets-Liab 5-6'!N22</f>
        <v>38333018</v>
      </c>
      <c r="D283" s="2" t="str">
        <f t="shared" si="3"/>
        <v>Error?</v>
      </c>
    </row>
    <row r="284" spans="1:4" x14ac:dyDescent="0.2">
      <c r="A284" s="5">
        <v>223</v>
      </c>
      <c r="B284" s="138">
        <f>'Assets-Liab 5-6'!N23</f>
        <v>41153230</v>
      </c>
      <c r="C284" s="2" t="s">
        <v>594</v>
      </c>
      <c r="D284" s="2" t="str">
        <f t="shared" si="3"/>
        <v>Error?</v>
      </c>
    </row>
    <row r="285" spans="1:4" x14ac:dyDescent="0.2">
      <c r="A285" s="5">
        <v>224</v>
      </c>
      <c r="B285" s="138">
        <f>'Assets-Liab 5-6'!N36</f>
        <v>41153230</v>
      </c>
      <c r="D285" s="2" t="str">
        <f t="shared" si="3"/>
        <v>Error?</v>
      </c>
    </row>
    <row r="286" spans="1:4" x14ac:dyDescent="0.2">
      <c r="A286" s="10">
        <v>225</v>
      </c>
      <c r="D286" s="2" t="str">
        <f t="shared" si="3"/>
        <v>OK</v>
      </c>
    </row>
    <row r="287" spans="1:4" x14ac:dyDescent="0.2">
      <c r="A287" s="5">
        <v>226</v>
      </c>
      <c r="B287" s="138">
        <f>'Assets-Liab 5-6'!N37</f>
        <v>41153230</v>
      </c>
      <c r="C287" s="2" t="s">
        <v>594</v>
      </c>
      <c r="D287" s="2" t="str">
        <f t="shared" si="3"/>
        <v>Error?</v>
      </c>
    </row>
    <row r="288" spans="1:4" x14ac:dyDescent="0.2">
      <c r="A288" s="5">
        <v>227</v>
      </c>
      <c r="B288" s="138">
        <f>'Assets-Liab 5-6'!N41</f>
        <v>41153230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5689920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632844</v>
      </c>
      <c r="D717" s="2" t="str">
        <f t="shared" si="10"/>
        <v>Error?</v>
      </c>
    </row>
    <row r="718" spans="1:4" x14ac:dyDescent="0.2">
      <c r="A718" s="5">
        <v>657</v>
      </c>
      <c r="B718" s="138">
        <f>'Expenditures 15-22'!C14</f>
        <v>958174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8620646</v>
      </c>
      <c r="C720" s="2" t="s">
        <v>594</v>
      </c>
      <c r="D720" s="2" t="str">
        <f t="shared" si="10"/>
        <v>Error?</v>
      </c>
    </row>
    <row r="721" spans="1:4" x14ac:dyDescent="0.2">
      <c r="A721" s="5">
        <v>660</v>
      </c>
      <c r="B721" s="138">
        <f>'Expenditures 15-22'!C36</f>
        <v>346650</v>
      </c>
      <c r="D721" s="2" t="str">
        <f t="shared" si="10"/>
        <v>Error?</v>
      </c>
    </row>
    <row r="722" spans="1:4" x14ac:dyDescent="0.2">
      <c r="A722" s="5">
        <v>661</v>
      </c>
      <c r="B722" s="138">
        <f>'Expenditures 15-22'!C37</f>
        <v>431464</v>
      </c>
      <c r="D722" s="2" t="str">
        <f t="shared" si="10"/>
        <v>Error?</v>
      </c>
    </row>
    <row r="723" spans="1:4" x14ac:dyDescent="0.2">
      <c r="A723" s="5">
        <v>662</v>
      </c>
      <c r="B723" s="138">
        <f>'Expenditures 15-22'!C38</f>
        <v>54527</v>
      </c>
      <c r="D723" s="2" t="str">
        <f t="shared" si="10"/>
        <v>Error?</v>
      </c>
    </row>
    <row r="724" spans="1:4" x14ac:dyDescent="0.2">
      <c r="A724" s="5">
        <v>663</v>
      </c>
      <c r="B724" s="138">
        <f>'Expenditures 15-22'!C39</f>
        <v>89597</v>
      </c>
      <c r="D724" s="2" t="str">
        <f t="shared" si="10"/>
        <v>Error?</v>
      </c>
    </row>
    <row r="725" spans="1:4" x14ac:dyDescent="0.2">
      <c r="A725" s="5">
        <v>664</v>
      </c>
      <c r="B725" s="138">
        <f>'Expenditures 15-22'!C40</f>
        <v>70236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992474</v>
      </c>
      <c r="C727" s="2" t="s">
        <v>594</v>
      </c>
      <c r="D727" s="2" t="str">
        <f t="shared" si="10"/>
        <v>Error?</v>
      </c>
    </row>
    <row r="728" spans="1:4" x14ac:dyDescent="0.2">
      <c r="A728" s="5">
        <v>667</v>
      </c>
      <c r="B728" s="138">
        <f>'Expenditures 15-22'!C44</f>
        <v>475281</v>
      </c>
      <c r="D728" s="2" t="str">
        <f t="shared" si="10"/>
        <v>Error?</v>
      </c>
    </row>
    <row r="729" spans="1:4" x14ac:dyDescent="0.2">
      <c r="A729" s="5">
        <v>668</v>
      </c>
      <c r="B729" s="138">
        <f>'Expenditures 15-22'!C45</f>
        <v>77417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552698</v>
      </c>
      <c r="C731" s="2" t="s">
        <v>594</v>
      </c>
      <c r="D731" s="2" t="str">
        <f t="shared" si="10"/>
        <v>Error?</v>
      </c>
    </row>
    <row r="732" spans="1:4" x14ac:dyDescent="0.2">
      <c r="A732" s="5">
        <v>671</v>
      </c>
      <c r="B732" s="138">
        <f>'Expenditures 15-22'!C49</f>
        <v>3894</v>
      </c>
      <c r="D732" s="2" t="str">
        <f t="shared" si="10"/>
        <v>Error?</v>
      </c>
    </row>
    <row r="733" spans="1:4" x14ac:dyDescent="0.2">
      <c r="A733" s="5">
        <v>672</v>
      </c>
      <c r="B733" s="138">
        <f>'Expenditures 15-22'!C50</f>
        <v>266558</v>
      </c>
      <c r="D733" s="2" t="str">
        <f t="shared" si="10"/>
        <v>Error?</v>
      </c>
    </row>
    <row r="734" spans="1:4" x14ac:dyDescent="0.2">
      <c r="A734" s="5">
        <v>673</v>
      </c>
      <c r="B734" s="138">
        <f>'Expenditures 15-22'!C53</f>
        <v>270452</v>
      </c>
      <c r="C734" s="2" t="s">
        <v>594</v>
      </c>
      <c r="D734" s="2" t="str">
        <f t="shared" si="10"/>
        <v>Error?</v>
      </c>
    </row>
    <row r="735" spans="1:4" x14ac:dyDescent="0.2">
      <c r="A735" s="5">
        <v>674</v>
      </c>
      <c r="B735" s="138">
        <f>'Expenditures 15-22'!C55</f>
        <v>418403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418403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367233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248196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615429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51588</v>
      </c>
      <c r="D751" s="2" t="str">
        <f t="shared" si="10"/>
        <v>Error?</v>
      </c>
    </row>
    <row r="752" spans="1:4" x14ac:dyDescent="0.2">
      <c r="A752" s="10">
        <v>691</v>
      </c>
      <c r="D752" s="2" t="str">
        <f t="shared" si="10"/>
        <v>OK</v>
      </c>
    </row>
    <row r="753" spans="1:4" x14ac:dyDescent="0.2">
      <c r="A753" s="5">
        <v>692</v>
      </c>
      <c r="B753" s="138">
        <f>'Expenditures 15-22'!C72</f>
        <v>51588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2901044</v>
      </c>
      <c r="C755" s="2" t="s">
        <v>594</v>
      </c>
      <c r="D755" s="2" t="str">
        <f t="shared" si="10"/>
        <v>Error?</v>
      </c>
    </row>
    <row r="756" spans="1:4" x14ac:dyDescent="0.2">
      <c r="A756" s="5">
        <v>695</v>
      </c>
      <c r="B756" s="138">
        <f>'Expenditures 15-22'!C75</f>
        <v>683</v>
      </c>
      <c r="D756" s="2" t="str">
        <f t="shared" si="10"/>
        <v>Error?</v>
      </c>
    </row>
    <row r="757" spans="1:4" x14ac:dyDescent="0.2">
      <c r="A757" s="5">
        <v>696</v>
      </c>
      <c r="B757" s="138">
        <f>'Expenditures 15-22'!C114</f>
        <v>11522373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1636809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185066</v>
      </c>
      <c r="D775" s="2" t="str">
        <f t="shared" si="11"/>
        <v>Error?</v>
      </c>
    </row>
    <row r="776" spans="1:4" x14ac:dyDescent="0.2">
      <c r="A776" s="5">
        <v>715</v>
      </c>
      <c r="B776" s="138">
        <f>'Expenditures 15-22'!D14</f>
        <v>124742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2333128</v>
      </c>
      <c r="C778" s="2" t="s">
        <v>594</v>
      </c>
      <c r="D778" s="2" t="str">
        <f t="shared" si="11"/>
        <v>Error?</v>
      </c>
    </row>
    <row r="779" spans="1:4" x14ac:dyDescent="0.2">
      <c r="A779" s="5">
        <v>718</v>
      </c>
      <c r="B779" s="138">
        <f>'Expenditures 15-22'!D36</f>
        <v>97369</v>
      </c>
      <c r="D779" s="2" t="str">
        <f t="shared" si="11"/>
        <v>Error?</v>
      </c>
    </row>
    <row r="780" spans="1:4" x14ac:dyDescent="0.2">
      <c r="A780" s="5">
        <v>719</v>
      </c>
      <c r="B780" s="138">
        <f>'Expenditures 15-22'!D37</f>
        <v>106989</v>
      </c>
      <c r="D780" s="2" t="str">
        <f t="shared" si="11"/>
        <v>Error?</v>
      </c>
    </row>
    <row r="781" spans="1:4" x14ac:dyDescent="0.2">
      <c r="A781" s="5">
        <v>720</v>
      </c>
      <c r="B781" s="138">
        <f>'Expenditures 15-22'!D38</f>
        <v>16384</v>
      </c>
      <c r="D781" s="2" t="str">
        <f t="shared" si="11"/>
        <v>Error?</v>
      </c>
    </row>
    <row r="782" spans="1:4" x14ac:dyDescent="0.2">
      <c r="A782" s="5">
        <v>721</v>
      </c>
      <c r="B782" s="138">
        <f>'Expenditures 15-22'!D39</f>
        <v>10339</v>
      </c>
      <c r="D782" s="2" t="str">
        <f t="shared" si="11"/>
        <v>Error?</v>
      </c>
    </row>
    <row r="783" spans="1:4" x14ac:dyDescent="0.2">
      <c r="A783" s="5">
        <v>722</v>
      </c>
      <c r="B783" s="138">
        <f>'Expenditures 15-22'!D40</f>
        <v>27641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258722</v>
      </c>
      <c r="C785" s="2" t="s">
        <v>594</v>
      </c>
      <c r="D785" s="2" t="str">
        <f t="shared" si="11"/>
        <v>Error?</v>
      </c>
    </row>
    <row r="786" spans="1:4" x14ac:dyDescent="0.2">
      <c r="A786" s="5">
        <v>725</v>
      </c>
      <c r="B786" s="138">
        <f>'Expenditures 15-22'!D44</f>
        <v>110064</v>
      </c>
      <c r="D786" s="2" t="str">
        <f t="shared" si="11"/>
        <v>Error?</v>
      </c>
    </row>
    <row r="787" spans="1:4" x14ac:dyDescent="0.2">
      <c r="A787" s="5">
        <v>726</v>
      </c>
      <c r="B787" s="138">
        <f>'Expenditures 15-22'!D45</f>
        <v>27034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137098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66870</v>
      </c>
      <c r="D791" s="2" t="str">
        <f t="shared" si="11"/>
        <v>Error?</v>
      </c>
    </row>
    <row r="792" spans="1:4" x14ac:dyDescent="0.2">
      <c r="A792" s="5">
        <v>731</v>
      </c>
      <c r="B792" s="138">
        <f>'Expenditures 15-22'!D53</f>
        <v>66870</v>
      </c>
      <c r="C792" s="2" t="s">
        <v>594</v>
      </c>
      <c r="D792" s="2" t="str">
        <f t="shared" si="11"/>
        <v>Error?</v>
      </c>
    </row>
    <row r="793" spans="1:4" x14ac:dyDescent="0.2">
      <c r="A793" s="5">
        <v>732</v>
      </c>
      <c r="B793" s="138">
        <f>'Expenditures 15-22'!D55</f>
        <v>109155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109155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93003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49373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142376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10116</v>
      </c>
      <c r="D809" s="2" t="str">
        <f t="shared" si="11"/>
        <v>Error?</v>
      </c>
    </row>
    <row r="810" spans="1:4" x14ac:dyDescent="0.2">
      <c r="A810" s="10">
        <v>749</v>
      </c>
      <c r="D810" s="2" t="str">
        <f t="shared" si="11"/>
        <v>OK</v>
      </c>
    </row>
    <row r="811" spans="1:4" x14ac:dyDescent="0.2">
      <c r="A811" s="5">
        <v>750</v>
      </c>
      <c r="B811" s="138">
        <f>'Expenditures 15-22'!D72</f>
        <v>10116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724337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3057465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740307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8789</v>
      </c>
      <c r="D833" s="2" t="str">
        <f t="shared" si="12"/>
        <v>Error?</v>
      </c>
    </row>
    <row r="834" spans="1:4" x14ac:dyDescent="0.2">
      <c r="A834" s="5">
        <v>773</v>
      </c>
      <c r="B834" s="138">
        <f>'Expenditures 15-22'!E14</f>
        <v>154795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1039046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978</v>
      </c>
      <c r="D838" s="2" t="str">
        <f t="shared" si="12"/>
        <v>Error?</v>
      </c>
    </row>
    <row r="839" spans="1:4" x14ac:dyDescent="0.2">
      <c r="A839" s="5">
        <v>778</v>
      </c>
      <c r="B839" s="138">
        <f>'Expenditures 15-22'!E38</f>
        <v>120</v>
      </c>
      <c r="D839" s="2" t="str">
        <f t="shared" si="12"/>
        <v>Error?</v>
      </c>
    </row>
    <row r="840" spans="1:4" x14ac:dyDescent="0.2">
      <c r="A840" s="5">
        <v>779</v>
      </c>
      <c r="B840" s="138">
        <f>'Expenditures 15-22'!E39</f>
        <v>2880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3978</v>
      </c>
      <c r="C843" s="2" t="s">
        <v>594</v>
      </c>
      <c r="D843" s="2" t="str">
        <f t="shared" si="12"/>
        <v>Error?</v>
      </c>
    </row>
    <row r="844" spans="1:4" x14ac:dyDescent="0.2">
      <c r="A844" s="5">
        <v>783</v>
      </c>
      <c r="B844" s="138">
        <f>'Expenditures 15-22'!E44</f>
        <v>158633</v>
      </c>
      <c r="D844" s="2" t="str">
        <f t="shared" si="12"/>
        <v>Error?</v>
      </c>
    </row>
    <row r="845" spans="1:4" x14ac:dyDescent="0.2">
      <c r="A845" s="5">
        <v>784</v>
      </c>
      <c r="B845" s="138">
        <f>'Expenditures 15-22'!E45</f>
        <v>792</v>
      </c>
      <c r="D845" s="2" t="str">
        <f t="shared" si="12"/>
        <v>Error?</v>
      </c>
    </row>
    <row r="846" spans="1:4" x14ac:dyDescent="0.2">
      <c r="A846" s="5">
        <v>785</v>
      </c>
      <c r="B846" s="138">
        <f>'Expenditures 15-22'!E46</f>
        <v>18866</v>
      </c>
      <c r="D846" s="2" t="str">
        <f t="shared" si="12"/>
        <v>Error?</v>
      </c>
    </row>
    <row r="847" spans="1:4" x14ac:dyDescent="0.2">
      <c r="A847" s="5">
        <v>786</v>
      </c>
      <c r="B847" s="138">
        <f>'Expenditures 15-22'!E47</f>
        <v>178291</v>
      </c>
      <c r="C847" s="2" t="s">
        <v>594</v>
      </c>
      <c r="D847" s="2" t="str">
        <f t="shared" si="12"/>
        <v>Error?</v>
      </c>
    </row>
    <row r="848" spans="1:4" x14ac:dyDescent="0.2">
      <c r="A848" s="5">
        <v>787</v>
      </c>
      <c r="B848" s="138">
        <f>'Expenditures 15-22'!E49</f>
        <v>88539</v>
      </c>
      <c r="D848" s="2" t="str">
        <f t="shared" si="12"/>
        <v>Error?</v>
      </c>
    </row>
    <row r="849" spans="1:4" x14ac:dyDescent="0.2">
      <c r="A849" s="5">
        <v>788</v>
      </c>
      <c r="B849" s="138">
        <f>'Expenditures 15-22'!E50</f>
        <v>9537</v>
      </c>
      <c r="D849" s="2" t="str">
        <f t="shared" si="12"/>
        <v>Error?</v>
      </c>
    </row>
    <row r="850" spans="1:4" x14ac:dyDescent="0.2">
      <c r="A850" s="5">
        <v>789</v>
      </c>
      <c r="B850" s="138">
        <f>'Expenditures 15-22'!E53</f>
        <v>98076</v>
      </c>
      <c r="C850" s="2" t="s">
        <v>594</v>
      </c>
      <c r="D850" s="2" t="str">
        <f t="shared" si="12"/>
        <v>Error?</v>
      </c>
    </row>
    <row r="851" spans="1:4" x14ac:dyDescent="0.2">
      <c r="A851" s="5">
        <v>790</v>
      </c>
      <c r="B851" s="138">
        <f>'Expenditures 15-22'!E55</f>
        <v>30419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30419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85306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16888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102194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29127</v>
      </c>
      <c r="D867" s="2" t="str">
        <f t="shared" si="12"/>
        <v>Error?</v>
      </c>
    </row>
    <row r="868" spans="1:4" x14ac:dyDescent="0.2">
      <c r="A868" s="10">
        <v>807</v>
      </c>
      <c r="D868" s="2" t="str">
        <f t="shared" si="12"/>
        <v>OK</v>
      </c>
    </row>
    <row r="869" spans="1:4" x14ac:dyDescent="0.2">
      <c r="A869" s="5">
        <v>808</v>
      </c>
      <c r="B869" s="138">
        <f>'Expenditures 15-22'!E72</f>
        <v>29127</v>
      </c>
      <c r="C869" s="2" t="s">
        <v>594</v>
      </c>
      <c r="D869" s="2" t="str">
        <f t="shared" si="12"/>
        <v>Error?</v>
      </c>
    </row>
    <row r="870" spans="1:4" x14ac:dyDescent="0.2">
      <c r="A870" s="5">
        <v>809</v>
      </c>
      <c r="B870" s="138">
        <f>'Expenditures 15-22'!E73</f>
        <v>1458</v>
      </c>
      <c r="D870" s="2" t="str">
        <f t="shared" si="12"/>
        <v>Error?</v>
      </c>
    </row>
    <row r="871" spans="1:4" x14ac:dyDescent="0.2">
      <c r="A871" s="5">
        <v>810</v>
      </c>
      <c r="B871" s="138">
        <f>'Expenditures 15-22'!E74</f>
        <v>443543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1482589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301141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42050</v>
      </c>
      <c r="D891" s="2" t="str">
        <f t="shared" si="12"/>
        <v>Error?</v>
      </c>
    </row>
    <row r="892" spans="1:4" x14ac:dyDescent="0.2">
      <c r="A892" s="5">
        <v>831</v>
      </c>
      <c r="B892" s="138">
        <f>'Expenditures 15-22'!F14</f>
        <v>89484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483246</v>
      </c>
      <c r="C894" s="2" t="s">
        <v>594</v>
      </c>
      <c r="D894" s="2" t="str">
        <f t="shared" si="12"/>
        <v>Error?</v>
      </c>
    </row>
    <row r="895" spans="1:4" x14ac:dyDescent="0.2">
      <c r="A895" s="5">
        <v>834</v>
      </c>
      <c r="B895" s="138">
        <f>'Expenditures 15-22'!F36</f>
        <v>176</v>
      </c>
      <c r="D895" s="2" t="str">
        <f t="shared" ref="D895:D958" si="13">IF(ISBLANK(B895),"OK",IF(A895-B895=0,"OK","Error?"))</f>
        <v>Error?</v>
      </c>
    </row>
    <row r="896" spans="1:4" x14ac:dyDescent="0.2">
      <c r="A896" s="5">
        <v>835</v>
      </c>
      <c r="B896" s="138">
        <f>'Expenditures 15-22'!F37</f>
        <v>4516</v>
      </c>
      <c r="D896" s="2" t="str">
        <f t="shared" si="13"/>
        <v>Error?</v>
      </c>
    </row>
    <row r="897" spans="1:4" x14ac:dyDescent="0.2">
      <c r="A897" s="5">
        <v>836</v>
      </c>
      <c r="B897" s="138">
        <f>'Expenditures 15-22'!F38</f>
        <v>1596</v>
      </c>
      <c r="D897" s="2" t="str">
        <f t="shared" si="13"/>
        <v>Error?</v>
      </c>
    </row>
    <row r="898" spans="1:4" x14ac:dyDescent="0.2">
      <c r="A898" s="5">
        <v>837</v>
      </c>
      <c r="B898" s="138">
        <f>'Expenditures 15-22'!F39</f>
        <v>2798</v>
      </c>
      <c r="D898" s="2" t="str">
        <f t="shared" si="13"/>
        <v>Error?</v>
      </c>
    </row>
    <row r="899" spans="1:4" x14ac:dyDescent="0.2">
      <c r="A899" s="5">
        <v>838</v>
      </c>
      <c r="B899" s="138">
        <f>'Expenditures 15-22'!F40</f>
        <v>319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9405</v>
      </c>
      <c r="C901" s="2" t="s">
        <v>594</v>
      </c>
      <c r="D901" s="2" t="str">
        <f t="shared" si="13"/>
        <v>Error?</v>
      </c>
    </row>
    <row r="902" spans="1:4" x14ac:dyDescent="0.2">
      <c r="A902" s="5">
        <v>841</v>
      </c>
      <c r="B902" s="138">
        <f>'Expenditures 15-22'!F44</f>
        <v>42414</v>
      </c>
      <c r="D902" s="2" t="str">
        <f t="shared" si="13"/>
        <v>Error?</v>
      </c>
    </row>
    <row r="903" spans="1:4" x14ac:dyDescent="0.2">
      <c r="A903" s="5">
        <v>842</v>
      </c>
      <c r="B903" s="138">
        <f>'Expenditures 15-22'!F45</f>
        <v>21753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64167</v>
      </c>
      <c r="C905" s="2" t="s">
        <v>594</v>
      </c>
      <c r="D905" s="2" t="str">
        <f t="shared" si="13"/>
        <v>Error?</v>
      </c>
    </row>
    <row r="906" spans="1:4" x14ac:dyDescent="0.2">
      <c r="A906" s="5">
        <v>845</v>
      </c>
      <c r="B906" s="138">
        <f>'Expenditures 15-22'!F49</f>
        <v>6312</v>
      </c>
      <c r="D906" s="2" t="str">
        <f t="shared" si="13"/>
        <v>Error?</v>
      </c>
    </row>
    <row r="907" spans="1:4" x14ac:dyDescent="0.2">
      <c r="A907" s="5">
        <v>846</v>
      </c>
      <c r="B907" s="138">
        <f>'Expenditures 15-22'!F50</f>
        <v>3459</v>
      </c>
      <c r="D907" s="2" t="str">
        <f t="shared" si="13"/>
        <v>Error?</v>
      </c>
    </row>
    <row r="908" spans="1:4" x14ac:dyDescent="0.2">
      <c r="A908" s="5">
        <v>847</v>
      </c>
      <c r="B908" s="138">
        <f>'Expenditures 15-22'!F53</f>
        <v>9771</v>
      </c>
      <c r="C908" s="2" t="s">
        <v>594</v>
      </c>
      <c r="D908" s="2" t="str">
        <f t="shared" si="13"/>
        <v>Error?</v>
      </c>
    </row>
    <row r="909" spans="1:4" x14ac:dyDescent="0.2">
      <c r="A909" s="5">
        <v>848</v>
      </c>
      <c r="B909" s="138">
        <f>'Expenditures 15-22'!F55</f>
        <v>9800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9800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313405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318743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111646</v>
      </c>
      <c r="D925" s="2" t="str">
        <f t="shared" si="13"/>
        <v>Error?</v>
      </c>
    </row>
    <row r="926" spans="1:4" x14ac:dyDescent="0.2">
      <c r="A926" s="10">
        <v>865</v>
      </c>
      <c r="D926" s="2" t="str">
        <f t="shared" si="13"/>
        <v>OK</v>
      </c>
    </row>
    <row r="927" spans="1:4" x14ac:dyDescent="0.2">
      <c r="A927" s="5">
        <v>866</v>
      </c>
      <c r="B927" s="138">
        <f>'Expenditures 15-22'!F72</f>
        <v>111646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523532</v>
      </c>
      <c r="C929" s="2" t="s">
        <v>594</v>
      </c>
      <c r="D929" s="2" t="str">
        <f t="shared" si="13"/>
        <v>Error?</v>
      </c>
    </row>
    <row r="930" spans="1:4" x14ac:dyDescent="0.2">
      <c r="A930" s="5">
        <v>869</v>
      </c>
      <c r="B930" s="138">
        <f>'Expenditures 15-22'!F75</f>
        <v>901</v>
      </c>
      <c r="D930" s="2" t="str">
        <f t="shared" si="13"/>
        <v>Error?</v>
      </c>
    </row>
    <row r="931" spans="1:4" x14ac:dyDescent="0.2">
      <c r="A931" s="5">
        <v>870</v>
      </c>
      <c r="B931" s="138">
        <f>'Expenditures 15-22'!F114</f>
        <v>1007679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14353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18795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33148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5731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5731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5731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38879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4364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240</v>
      </c>
      <c r="D1007" s="2" t="str">
        <f t="shared" si="14"/>
        <v>Error?</v>
      </c>
    </row>
    <row r="1008" spans="1:4" x14ac:dyDescent="0.2">
      <c r="A1008" s="5">
        <v>947</v>
      </c>
      <c r="B1008" s="138">
        <f>'Expenditures 15-22'!H14</f>
        <v>54390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732315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1275</v>
      </c>
      <c r="D1012" s="2" t="str">
        <f t="shared" si="14"/>
        <v>Error?</v>
      </c>
    </row>
    <row r="1013" spans="1:4" x14ac:dyDescent="0.2">
      <c r="A1013" s="5">
        <v>952</v>
      </c>
      <c r="B1013" s="138">
        <f>'Expenditures 15-22'!H38</f>
        <v>298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1573</v>
      </c>
      <c r="C1017" s="2" t="s">
        <v>594</v>
      </c>
      <c r="D1017" s="2" t="str">
        <f t="shared" si="14"/>
        <v>Error?</v>
      </c>
    </row>
    <row r="1018" spans="1:4" x14ac:dyDescent="0.2">
      <c r="A1018" s="5">
        <v>957</v>
      </c>
      <c r="B1018" s="138">
        <f>'Expenditures 15-22'!H44</f>
        <v>6190</v>
      </c>
      <c r="D1018" s="2" t="str">
        <f t="shared" si="14"/>
        <v>Error?</v>
      </c>
    </row>
    <row r="1019" spans="1:4" x14ac:dyDescent="0.2">
      <c r="A1019" s="5">
        <v>958</v>
      </c>
      <c r="B1019" s="138">
        <f>'Expenditures 15-22'!H45</f>
        <v>365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6555</v>
      </c>
      <c r="C1021" s="2" t="s">
        <v>594</v>
      </c>
      <c r="D1021" s="2" t="str">
        <f t="shared" si="14"/>
        <v>Error?</v>
      </c>
    </row>
    <row r="1022" spans="1:4" x14ac:dyDescent="0.2">
      <c r="A1022" s="5">
        <v>961</v>
      </c>
      <c r="B1022" s="138">
        <f>'Expenditures 15-22'!H49</f>
        <v>19842</v>
      </c>
      <c r="D1022" s="2" t="str">
        <f t="shared" si="14"/>
        <v>Error?</v>
      </c>
    </row>
    <row r="1023" spans="1:4" x14ac:dyDescent="0.2">
      <c r="A1023" s="5">
        <v>962</v>
      </c>
      <c r="B1023" s="138">
        <f>'Expenditures 15-22'!H50</f>
        <v>3536</v>
      </c>
      <c r="D1023" s="2" t="str">
        <f t="shared" ref="D1023:D1086" si="15">IF(ISBLANK(B1023),"OK",IF(A1023-B1023=0,"OK","Error?"))</f>
        <v>Error?</v>
      </c>
    </row>
    <row r="1024" spans="1:4" x14ac:dyDescent="0.2">
      <c r="A1024" s="5">
        <v>963</v>
      </c>
      <c r="B1024" s="138">
        <f>'Expenditures 15-22'!H53</f>
        <v>23378</v>
      </c>
      <c r="C1024" s="2" t="s">
        <v>594</v>
      </c>
      <c r="D1024" s="2" t="str">
        <f t="shared" si="15"/>
        <v>Error?</v>
      </c>
    </row>
    <row r="1025" spans="1:4" x14ac:dyDescent="0.2">
      <c r="A1025" s="5">
        <v>964</v>
      </c>
      <c r="B1025" s="138">
        <f>'Expenditures 15-22'!H55</f>
        <v>107115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107115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949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930</v>
      </c>
      <c r="D1041" s="2" t="str">
        <f t="shared" si="15"/>
        <v>Error?</v>
      </c>
    </row>
    <row r="1042" spans="1:4" x14ac:dyDescent="0.2">
      <c r="A1042" s="10">
        <v>981</v>
      </c>
      <c r="D1042" s="2" t="str">
        <f t="shared" si="15"/>
        <v>OK</v>
      </c>
    </row>
    <row r="1043" spans="1:4" x14ac:dyDescent="0.2">
      <c r="A1043" s="5">
        <v>982</v>
      </c>
      <c r="B1043" s="138">
        <f>'Expenditures 15-22'!H72</f>
        <v>930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143258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585351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1460924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8409833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891777</v>
      </c>
      <c r="C1105" s="2" t="s">
        <v>594</v>
      </c>
      <c r="D1105" s="2" t="str">
        <f t="shared" si="16"/>
        <v>Error?</v>
      </c>
    </row>
    <row r="1106" spans="1:4" x14ac:dyDescent="0.2">
      <c r="A1106" s="5">
        <v>1045</v>
      </c>
      <c r="B1106" s="138">
        <f>'Expenditures 15-22'!K14</f>
        <v>1385908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13284434</v>
      </c>
      <c r="C1108" s="2" t="s">
        <v>594</v>
      </c>
      <c r="D1108" s="2" t="str">
        <f t="shared" si="16"/>
        <v>Error?</v>
      </c>
    </row>
    <row r="1109" spans="1:4" x14ac:dyDescent="0.2">
      <c r="A1109" s="5">
        <v>1048</v>
      </c>
      <c r="B1109" s="138">
        <f>'Expenditures 15-22'!K36</f>
        <v>444195</v>
      </c>
      <c r="C1109" s="2" t="s">
        <v>594</v>
      </c>
      <c r="D1109" s="2" t="str">
        <f t="shared" si="16"/>
        <v>Error?</v>
      </c>
    </row>
    <row r="1110" spans="1:4" x14ac:dyDescent="0.2">
      <c r="A1110" s="5">
        <v>1049</v>
      </c>
      <c r="B1110" s="138">
        <f>'Expenditures 15-22'!K37</f>
        <v>545222</v>
      </c>
      <c r="C1110" s="2" t="s">
        <v>594</v>
      </c>
      <c r="D1110" s="2" t="str">
        <f t="shared" si="16"/>
        <v>Error?</v>
      </c>
    </row>
    <row r="1111" spans="1:4" x14ac:dyDescent="0.2">
      <c r="A1111" s="5">
        <v>1050</v>
      </c>
      <c r="B1111" s="138">
        <f>'Expenditures 15-22'!K38</f>
        <v>73271</v>
      </c>
      <c r="C1111" s="2" t="s">
        <v>594</v>
      </c>
      <c r="D1111" s="2" t="str">
        <f t="shared" si="16"/>
        <v>Error?</v>
      </c>
    </row>
    <row r="1112" spans="1:4" x14ac:dyDescent="0.2">
      <c r="A1112" s="5">
        <v>1051</v>
      </c>
      <c r="B1112" s="138">
        <f>'Expenditures 15-22'!K39</f>
        <v>105614</v>
      </c>
      <c r="C1112" s="2" t="s">
        <v>594</v>
      </c>
      <c r="D1112" s="2" t="str">
        <f t="shared" si="16"/>
        <v>Error?</v>
      </c>
    </row>
    <row r="1113" spans="1:4" x14ac:dyDescent="0.2">
      <c r="A1113" s="5">
        <v>1052</v>
      </c>
      <c r="B1113" s="138">
        <f>'Expenditures 15-22'!K40</f>
        <v>98615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1266917</v>
      </c>
      <c r="C1115" s="2" t="s">
        <v>594</v>
      </c>
      <c r="D1115" s="2" t="str">
        <f t="shared" si="16"/>
        <v>Error?</v>
      </c>
    </row>
    <row r="1116" spans="1:4" x14ac:dyDescent="0.2">
      <c r="A1116" s="5">
        <v>1055</v>
      </c>
      <c r="B1116" s="138">
        <f>'Expenditures 15-22'!K44</f>
        <v>798313</v>
      </c>
      <c r="C1116" s="2" t="s">
        <v>594</v>
      </c>
      <c r="D1116" s="2" t="str">
        <f t="shared" si="16"/>
        <v>Error?</v>
      </c>
    </row>
    <row r="1117" spans="1:4" x14ac:dyDescent="0.2">
      <c r="A1117" s="5">
        <v>1056</v>
      </c>
      <c r="B1117" s="138">
        <f>'Expenditures 15-22'!K45</f>
        <v>132858</v>
      </c>
      <c r="C1117" s="2" t="s">
        <v>594</v>
      </c>
      <c r="D1117" s="2" t="str">
        <f t="shared" si="16"/>
        <v>Error?</v>
      </c>
    </row>
    <row r="1118" spans="1:4" x14ac:dyDescent="0.2">
      <c r="A1118" s="5">
        <v>1057</v>
      </c>
      <c r="B1118" s="138">
        <f>'Expenditures 15-22'!K46</f>
        <v>18866</v>
      </c>
      <c r="C1118" s="2" t="s">
        <v>594</v>
      </c>
      <c r="D1118" s="2" t="str">
        <f t="shared" si="16"/>
        <v>Error?</v>
      </c>
    </row>
    <row r="1119" spans="1:4" x14ac:dyDescent="0.2">
      <c r="A1119" s="5">
        <v>1058</v>
      </c>
      <c r="B1119" s="138">
        <f>'Expenditures 15-22'!K47</f>
        <v>950037</v>
      </c>
      <c r="C1119" s="2" t="s">
        <v>594</v>
      </c>
      <c r="D1119" s="2" t="str">
        <f t="shared" si="16"/>
        <v>Error?</v>
      </c>
    </row>
    <row r="1120" spans="1:4" x14ac:dyDescent="0.2">
      <c r="A1120" s="5">
        <v>1059</v>
      </c>
      <c r="B1120" s="138">
        <f>'Expenditures 15-22'!K49</f>
        <v>118587</v>
      </c>
      <c r="C1120" s="2" t="s">
        <v>594</v>
      </c>
      <c r="D1120" s="2" t="str">
        <f t="shared" si="16"/>
        <v>Error?</v>
      </c>
    </row>
    <row r="1121" spans="1:4" x14ac:dyDescent="0.2">
      <c r="A1121" s="5">
        <v>1060</v>
      </c>
      <c r="B1121" s="138">
        <f>'Expenditures 15-22'!K50</f>
        <v>349960</v>
      </c>
      <c r="C1121" s="2" t="s">
        <v>594</v>
      </c>
      <c r="D1121" s="2" t="str">
        <f t="shared" si="16"/>
        <v>Error?</v>
      </c>
    </row>
    <row r="1122" spans="1:4" x14ac:dyDescent="0.2">
      <c r="A1122" s="5">
        <v>1061</v>
      </c>
      <c r="B1122" s="138">
        <f>'Expenditures 15-22'!K53</f>
        <v>468547</v>
      </c>
      <c r="C1122" s="2" t="s">
        <v>594</v>
      </c>
      <c r="D1122" s="2" t="str">
        <f t="shared" si="16"/>
        <v>Error?</v>
      </c>
    </row>
    <row r="1123" spans="1:4" x14ac:dyDescent="0.2">
      <c r="A1123" s="5">
        <v>1062</v>
      </c>
      <c r="B1123" s="138">
        <f>'Expenditures 15-22'!K55</f>
        <v>674892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674892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551829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631288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1183117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226149</v>
      </c>
      <c r="C1139" s="2" t="s">
        <v>594</v>
      </c>
      <c r="D1139" s="2" t="str">
        <f t="shared" si="16"/>
        <v>Error?</v>
      </c>
    </row>
    <row r="1140" spans="1:4" x14ac:dyDescent="0.2">
      <c r="A1140" s="10">
        <v>1079</v>
      </c>
      <c r="D1140" s="2" t="str">
        <f t="shared" si="16"/>
        <v>OK</v>
      </c>
    </row>
    <row r="1141" spans="1:4" x14ac:dyDescent="0.2">
      <c r="A1141" s="5">
        <v>1080</v>
      </c>
      <c r="B1141" s="138">
        <f>'Expenditures 15-22'!K72</f>
        <v>226149</v>
      </c>
      <c r="C1141" s="2" t="s">
        <v>594</v>
      </c>
      <c r="D1141" s="2" t="str">
        <f t="shared" si="16"/>
        <v>Error?</v>
      </c>
    </row>
    <row r="1142" spans="1:4" x14ac:dyDescent="0.2">
      <c r="A1142" s="5">
        <v>1081</v>
      </c>
      <c r="B1142" s="138">
        <f>'Expenditures 15-22'!K73</f>
        <v>1458</v>
      </c>
      <c r="C1142" s="2" t="s">
        <v>594</v>
      </c>
      <c r="D1142" s="2" t="str">
        <f t="shared" si="16"/>
        <v>Error?</v>
      </c>
    </row>
    <row r="1143" spans="1:4" x14ac:dyDescent="0.2">
      <c r="A1143" s="5">
        <v>1082</v>
      </c>
      <c r="B1143" s="138">
        <f>'Expenditures 15-22'!K74</f>
        <v>4771117</v>
      </c>
      <c r="C1143" s="2" t="s">
        <v>594</v>
      </c>
      <c r="D1143" s="2" t="str">
        <f t="shared" si="16"/>
        <v>Error?</v>
      </c>
    </row>
    <row r="1144" spans="1:4" x14ac:dyDescent="0.2">
      <c r="A1144" s="5">
        <v>1083</v>
      </c>
      <c r="B1144" s="138">
        <f>'Expenditures 15-22'!K75</f>
        <v>1584</v>
      </c>
      <c r="C1144" s="2" t="s">
        <v>594</v>
      </c>
      <c r="D1144" s="2" t="str">
        <f t="shared" si="16"/>
        <v>Error?</v>
      </c>
    </row>
    <row r="1145" spans="1:4" x14ac:dyDescent="0.2">
      <c r="A1145" s="5">
        <v>1084</v>
      </c>
      <c r="B1145" s="138">
        <f>'Expenditures 15-22'!K102</f>
        <v>585351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18642486</v>
      </c>
      <c r="C1152" s="2" t="s">
        <v>594</v>
      </c>
      <c r="D1152" s="2" t="str">
        <f t="shared" si="17"/>
        <v>Error?</v>
      </c>
    </row>
    <row r="1153" spans="1:4" x14ac:dyDescent="0.2">
      <c r="A1153" s="5">
        <v>1092</v>
      </c>
      <c r="B1153" s="138">
        <f>'Expenditures 15-22'!K115</f>
        <v>1477306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1070174</v>
      </c>
      <c r="D1221" s="2" t="str">
        <f t="shared" si="18"/>
        <v>Error?</v>
      </c>
    </row>
    <row r="1222" spans="1:4" x14ac:dyDescent="0.2">
      <c r="A1222" s="10">
        <v>1161</v>
      </c>
      <c r="D1222" s="2" t="str">
        <f t="shared" si="18"/>
        <v>OK</v>
      </c>
    </row>
    <row r="1223" spans="1:4" x14ac:dyDescent="0.2">
      <c r="A1223" s="5">
        <v>1162</v>
      </c>
      <c r="B1223" s="138">
        <f>'Expenditures 15-22'!C127</f>
        <v>1070174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1070174</v>
      </c>
      <c r="C1225" s="2" t="s">
        <v>594</v>
      </c>
      <c r="D1225" s="2" t="str">
        <f t="shared" si="18"/>
        <v>Error?</v>
      </c>
    </row>
    <row r="1226" spans="1:4" x14ac:dyDescent="0.2">
      <c r="A1226" s="5">
        <v>1165</v>
      </c>
      <c r="B1226" s="138">
        <f>'Expenditures 15-22'!C151</f>
        <v>1070174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198627</v>
      </c>
      <c r="D1229" s="2" t="str">
        <f t="shared" si="18"/>
        <v>Error?</v>
      </c>
    </row>
    <row r="1230" spans="1:4" x14ac:dyDescent="0.2">
      <c r="A1230" s="10">
        <v>1169</v>
      </c>
      <c r="D1230" s="2" t="str">
        <f t="shared" si="18"/>
        <v>OK</v>
      </c>
    </row>
    <row r="1231" spans="1:4" x14ac:dyDescent="0.2">
      <c r="A1231" s="5">
        <v>1170</v>
      </c>
      <c r="B1231" s="138">
        <f>'Expenditures 15-22'!D127</f>
        <v>198627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198627</v>
      </c>
      <c r="C1233" s="2" t="s">
        <v>594</v>
      </c>
      <c r="D1233" s="2" t="str">
        <f t="shared" si="18"/>
        <v>Error?</v>
      </c>
    </row>
    <row r="1234" spans="1:4" x14ac:dyDescent="0.2">
      <c r="A1234" s="5">
        <v>1173</v>
      </c>
      <c r="B1234" s="138">
        <f>'Expenditures 15-22'!D151</f>
        <v>198627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323268</v>
      </c>
      <c r="D1237" s="2" t="str">
        <f t="shared" si="18"/>
        <v>Error?</v>
      </c>
    </row>
    <row r="1238" spans="1:4" x14ac:dyDescent="0.2">
      <c r="A1238" s="10">
        <v>1177</v>
      </c>
      <c r="D1238" s="2" t="str">
        <f t="shared" si="18"/>
        <v>OK</v>
      </c>
    </row>
    <row r="1239" spans="1:4" x14ac:dyDescent="0.2">
      <c r="A1239" s="5">
        <v>1178</v>
      </c>
      <c r="B1239" s="138">
        <f>'Expenditures 15-22'!E127</f>
        <v>323268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323268</v>
      </c>
      <c r="C1241" s="2" t="s">
        <v>594</v>
      </c>
      <c r="D1241" s="2" t="str">
        <f t="shared" si="18"/>
        <v>Error?</v>
      </c>
    </row>
    <row r="1242" spans="1:4" x14ac:dyDescent="0.2">
      <c r="A1242" s="5">
        <v>1181</v>
      </c>
      <c r="B1242" s="138">
        <f>'Expenditures 15-22'!E151</f>
        <v>323268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502859</v>
      </c>
      <c r="D1245" s="2" t="str">
        <f t="shared" si="18"/>
        <v>Error?</v>
      </c>
    </row>
    <row r="1246" spans="1:4" x14ac:dyDescent="0.2">
      <c r="A1246" s="10">
        <v>1185</v>
      </c>
      <c r="D1246" s="2" t="str">
        <f t="shared" si="18"/>
        <v>OK</v>
      </c>
    </row>
    <row r="1247" spans="1:4" x14ac:dyDescent="0.2">
      <c r="A1247" s="5">
        <v>1186</v>
      </c>
      <c r="B1247" s="138">
        <f>'Expenditures 15-22'!F127</f>
        <v>502859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502859</v>
      </c>
      <c r="C1249" s="2" t="s">
        <v>594</v>
      </c>
      <c r="D1249" s="2" t="str">
        <f t="shared" si="18"/>
        <v>Error?</v>
      </c>
    </row>
    <row r="1250" spans="1:4" x14ac:dyDescent="0.2">
      <c r="A1250" s="5">
        <v>1189</v>
      </c>
      <c r="B1250" s="138">
        <f>'Expenditures 15-22'!F151</f>
        <v>502859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819755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819755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819755</v>
      </c>
      <c r="C1258" s="2" t="s">
        <v>594</v>
      </c>
      <c r="D1258" s="2" t="str">
        <f t="shared" si="18"/>
        <v>Error?</v>
      </c>
    </row>
    <row r="1259" spans="1:4" x14ac:dyDescent="0.2">
      <c r="A1259" s="5">
        <v>1198</v>
      </c>
      <c r="B1259" s="138">
        <f>'Expenditures 15-22'!G151</f>
        <v>819755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28638</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28638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2949991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2949991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2949991</v>
      </c>
      <c r="C1281" s="2" t="s">
        <v>594</v>
      </c>
      <c r="D1281" s="2" t="str">
        <f t="shared" si="19"/>
        <v>Error?</v>
      </c>
    </row>
    <row r="1282" spans="1:4" x14ac:dyDescent="0.2">
      <c r="A1282" s="5">
        <v>1221</v>
      </c>
      <c r="B1282" s="138">
        <f>'Expenditures 15-22'!K139</f>
        <v>28638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2978629</v>
      </c>
      <c r="C1288" s="2" t="s">
        <v>594</v>
      </c>
      <c r="D1288" s="2" t="str">
        <f t="shared" si="19"/>
        <v>Error?</v>
      </c>
    </row>
    <row r="1289" spans="1:4" x14ac:dyDescent="0.2">
      <c r="A1289" s="5">
        <v>1228</v>
      </c>
      <c r="B1289" s="138">
        <f>'Expenditures 15-22'!K152</f>
        <v>-484649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1349961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2673773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4023734</v>
      </c>
      <c r="C1317" s="2" t="s">
        <v>594</v>
      </c>
      <c r="D1317" s="2" t="str">
        <f t="shared" si="19"/>
        <v>Error?</v>
      </c>
    </row>
    <row r="1318" spans="1:4" x14ac:dyDescent="0.2">
      <c r="A1318" s="5">
        <v>1257</v>
      </c>
      <c r="B1318" s="138">
        <f>'Expenditures 15-22'!H174</f>
        <v>4023734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1349961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2673773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4023734</v>
      </c>
      <c r="C1331" s="2" t="s">
        <v>594</v>
      </c>
      <c r="D1331" s="2" t="str">
        <f t="shared" si="19"/>
        <v>Error?</v>
      </c>
    </row>
    <row r="1332" spans="1:4" x14ac:dyDescent="0.2">
      <c r="A1332" s="5">
        <v>1271</v>
      </c>
      <c r="B1332" s="138">
        <f>'Expenditures 15-22'!K174</f>
        <v>4023734</v>
      </c>
      <c r="C1332" s="2" t="s">
        <v>594</v>
      </c>
      <c r="D1332" s="2" t="str">
        <f t="shared" si="19"/>
        <v>Error?</v>
      </c>
    </row>
    <row r="1333" spans="1:4" x14ac:dyDescent="0.2">
      <c r="A1333" s="5">
        <v>1272</v>
      </c>
      <c r="B1333" s="138">
        <f>'Expenditures 15-22'!K175</f>
        <v>157387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1025030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1025030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1025030</v>
      </c>
      <c r="C1353" s="2" t="s">
        <v>594</v>
      </c>
      <c r="D1353" s="2" t="str">
        <f t="shared" si="20"/>
        <v>Error?</v>
      </c>
    </row>
    <row r="1354" spans="1:4" x14ac:dyDescent="0.2">
      <c r="A1354" s="5">
        <v>1293</v>
      </c>
      <c r="B1354" s="138">
        <f>'Expenditures 15-22'!F182</f>
        <v>81685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81685</v>
      </c>
      <c r="C1358" s="2" t="s">
        <v>594</v>
      </c>
      <c r="D1358" s="2" t="str">
        <f t="shared" si="20"/>
        <v>Error?</v>
      </c>
    </row>
    <row r="1359" spans="1:4" x14ac:dyDescent="0.2">
      <c r="A1359" s="5">
        <v>1298</v>
      </c>
      <c r="B1359" s="138">
        <f>'Expenditures 15-22'!F210</f>
        <v>81685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490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490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490</v>
      </c>
      <c r="C1376" s="2" t="s">
        <v>594</v>
      </c>
      <c r="D1376" s="2" t="str">
        <f t="shared" si="20"/>
        <v>Error?</v>
      </c>
    </row>
    <row r="1377" spans="1:4" x14ac:dyDescent="0.2">
      <c r="A1377" s="5">
        <v>1316</v>
      </c>
      <c r="B1377" s="138">
        <f>'Expenditures 15-22'!K182</f>
        <v>1107205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1107205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1107205</v>
      </c>
      <c r="C1388" s="2" t="s">
        <v>594</v>
      </c>
      <c r="D1388" s="2" t="str">
        <f t="shared" si="20"/>
        <v>Error?</v>
      </c>
    </row>
    <row r="1389" spans="1:4" x14ac:dyDescent="0.2">
      <c r="A1389" s="5">
        <v>1328</v>
      </c>
      <c r="B1389" s="138">
        <f>'Expenditures 15-22'!K211</f>
        <v>256175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8833</v>
      </c>
      <c r="D1407" s="2" t="str">
        <f t="shared" ref="D1407:D1470" si="21">IF(ISBLANK(B1407),"OK",IF(A1407-B1407=0,"OK","Error?"))</f>
        <v>Error?</v>
      </c>
    </row>
    <row r="1408" spans="1:4" x14ac:dyDescent="0.2">
      <c r="A1408" s="5">
        <v>1347</v>
      </c>
      <c r="B1408" s="138">
        <f>'Expenditures 15-22'!D223</f>
        <v>37644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241583</v>
      </c>
      <c r="C1410" s="2" t="s">
        <v>594</v>
      </c>
      <c r="D1410" s="2" t="str">
        <f t="shared" si="21"/>
        <v>Error?</v>
      </c>
    </row>
    <row r="1411" spans="1:4" x14ac:dyDescent="0.2">
      <c r="A1411" s="5">
        <v>1350</v>
      </c>
      <c r="B1411" s="138">
        <f>'Expenditures 15-22'!D232</f>
        <v>14498</v>
      </c>
      <c r="D1411" s="2" t="str">
        <f t="shared" si="21"/>
        <v>Error?</v>
      </c>
    </row>
    <row r="1412" spans="1:4" x14ac:dyDescent="0.2">
      <c r="A1412" s="5">
        <v>1351</v>
      </c>
      <c r="B1412" s="138">
        <f>'Expenditures 15-22'!D233</f>
        <v>11633</v>
      </c>
      <c r="D1412" s="2" t="str">
        <f t="shared" si="21"/>
        <v>Error?</v>
      </c>
    </row>
    <row r="1413" spans="1:4" x14ac:dyDescent="0.2">
      <c r="A1413" s="5">
        <v>1352</v>
      </c>
      <c r="B1413" s="138">
        <f>'Expenditures 15-22'!D234</f>
        <v>786</v>
      </c>
      <c r="D1413" s="2" t="str">
        <f t="shared" si="21"/>
        <v>Error?</v>
      </c>
    </row>
    <row r="1414" spans="1:4" x14ac:dyDescent="0.2">
      <c r="A1414" s="5">
        <v>1353</v>
      </c>
      <c r="B1414" s="138">
        <f>'Expenditures 15-22'!D235</f>
        <v>1299</v>
      </c>
      <c r="D1414" s="2" t="str">
        <f t="shared" si="21"/>
        <v>Error?</v>
      </c>
    </row>
    <row r="1415" spans="1:4" x14ac:dyDescent="0.2">
      <c r="A1415" s="5">
        <v>1354</v>
      </c>
      <c r="B1415" s="138">
        <f>'Expenditures 15-22'!D236</f>
        <v>887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29103</v>
      </c>
      <c r="C1417" s="2" t="s">
        <v>594</v>
      </c>
      <c r="D1417" s="2" t="str">
        <f t="shared" si="21"/>
        <v>Error?</v>
      </c>
    </row>
    <row r="1418" spans="1:4" x14ac:dyDescent="0.2">
      <c r="A1418" s="5">
        <v>1357</v>
      </c>
      <c r="B1418" s="138">
        <f>'Expenditures 15-22'!D240</f>
        <v>30705</v>
      </c>
      <c r="D1418" s="2" t="str">
        <f t="shared" si="21"/>
        <v>Error?</v>
      </c>
    </row>
    <row r="1419" spans="1:4" x14ac:dyDescent="0.2">
      <c r="A1419" s="5">
        <v>1358</v>
      </c>
      <c r="B1419" s="138">
        <f>'Expenditures 15-22'!D241</f>
        <v>5036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35741</v>
      </c>
      <c r="C1421" s="2" t="s">
        <v>594</v>
      </c>
      <c r="D1421" s="2" t="str">
        <f t="shared" si="21"/>
        <v>Error?</v>
      </c>
    </row>
    <row r="1422" spans="1:4" x14ac:dyDescent="0.2">
      <c r="A1422" s="5">
        <v>1361</v>
      </c>
      <c r="B1422" s="138">
        <f>'Expenditures 15-22'!D245</f>
        <v>769</v>
      </c>
      <c r="D1422" s="2" t="str">
        <f t="shared" si="21"/>
        <v>Error?</v>
      </c>
    </row>
    <row r="1423" spans="1:4" x14ac:dyDescent="0.2">
      <c r="A1423" s="5">
        <v>1362</v>
      </c>
      <c r="B1423" s="138">
        <f>'Expenditures 15-22'!D246</f>
        <v>14934</v>
      </c>
      <c r="D1423" s="2" t="str">
        <f t="shared" si="21"/>
        <v>Error?</v>
      </c>
    </row>
    <row r="1424" spans="1:4" x14ac:dyDescent="0.2">
      <c r="A1424" s="5">
        <v>1363</v>
      </c>
      <c r="B1424" s="138">
        <f>'Expenditures 15-22'!D257</f>
        <v>37300</v>
      </c>
      <c r="C1424" s="2" t="s">
        <v>594</v>
      </c>
      <c r="D1424" s="2" t="str">
        <f t="shared" si="21"/>
        <v>Error?</v>
      </c>
    </row>
    <row r="1425" spans="1:4" x14ac:dyDescent="0.2">
      <c r="A1425" s="5">
        <v>1364</v>
      </c>
      <c r="B1425" s="138">
        <f>'Expenditures 15-22'!D259</f>
        <v>38068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38068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43787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209245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48418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301450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10218</v>
      </c>
      <c r="D1442" s="2" t="str">
        <f t="shared" si="21"/>
        <v>Error?</v>
      </c>
    </row>
    <row r="1443" spans="1:4" x14ac:dyDescent="0.2">
      <c r="A1443" s="10">
        <v>1382</v>
      </c>
      <c r="D1443" s="2" t="str">
        <f t="shared" si="21"/>
        <v>OK</v>
      </c>
    </row>
    <row r="1444" spans="1:4" x14ac:dyDescent="0.2">
      <c r="A1444" s="5">
        <v>1383</v>
      </c>
      <c r="B1444" s="138">
        <f>'Expenditures 15-22'!D277</f>
        <v>10218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451880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693463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8833</v>
      </c>
      <c r="C1471" s="2" t="s">
        <v>594</v>
      </c>
      <c r="D1471" s="2" t="str">
        <f t="shared" ref="D1471:D1534" si="22">IF(ISBLANK(B1471),"OK",IF(A1471-B1471=0,"OK","Error?"))</f>
        <v>Error?</v>
      </c>
    </row>
    <row r="1472" spans="1:4" x14ac:dyDescent="0.2">
      <c r="A1472" s="5">
        <v>1411</v>
      </c>
      <c r="B1472" s="138">
        <f>'Expenditures 15-22'!K223</f>
        <v>37644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241583</v>
      </c>
      <c r="C1474" s="2" t="s">
        <v>594</v>
      </c>
      <c r="D1474" s="2" t="str">
        <f t="shared" si="22"/>
        <v>Error?</v>
      </c>
    </row>
    <row r="1475" spans="1:4" x14ac:dyDescent="0.2">
      <c r="A1475" s="5">
        <v>1414</v>
      </c>
      <c r="B1475" s="138">
        <f>'Expenditures 15-22'!K232</f>
        <v>14498</v>
      </c>
      <c r="C1475" s="2" t="s">
        <v>594</v>
      </c>
      <c r="D1475" s="2" t="str">
        <f t="shared" si="22"/>
        <v>Error?</v>
      </c>
    </row>
    <row r="1476" spans="1:4" x14ac:dyDescent="0.2">
      <c r="A1476" s="5">
        <v>1415</v>
      </c>
      <c r="B1476" s="138">
        <f>'Expenditures 15-22'!K233</f>
        <v>11633</v>
      </c>
      <c r="C1476" s="2" t="s">
        <v>594</v>
      </c>
      <c r="D1476" s="2" t="str">
        <f t="shared" si="22"/>
        <v>Error?</v>
      </c>
    </row>
    <row r="1477" spans="1:4" x14ac:dyDescent="0.2">
      <c r="A1477" s="5">
        <v>1416</v>
      </c>
      <c r="B1477" s="138">
        <f>'Expenditures 15-22'!K234</f>
        <v>786</v>
      </c>
      <c r="C1477" s="2" t="s">
        <v>594</v>
      </c>
      <c r="D1477" s="2" t="str">
        <f t="shared" si="22"/>
        <v>Error?</v>
      </c>
    </row>
    <row r="1478" spans="1:4" x14ac:dyDescent="0.2">
      <c r="A1478" s="5">
        <v>1417</v>
      </c>
      <c r="B1478" s="138">
        <f>'Expenditures 15-22'!K235</f>
        <v>1299</v>
      </c>
      <c r="C1478" s="2" t="s">
        <v>594</v>
      </c>
      <c r="D1478" s="2" t="str">
        <f t="shared" si="22"/>
        <v>Error?</v>
      </c>
    </row>
    <row r="1479" spans="1:4" x14ac:dyDescent="0.2">
      <c r="A1479" s="5">
        <v>1418</v>
      </c>
      <c r="B1479" s="138">
        <f>'Expenditures 15-22'!K236</f>
        <v>887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29103</v>
      </c>
      <c r="C1481" s="2" t="s">
        <v>594</v>
      </c>
      <c r="D1481" s="2" t="str">
        <f t="shared" si="22"/>
        <v>Error?</v>
      </c>
    </row>
    <row r="1482" spans="1:4" x14ac:dyDescent="0.2">
      <c r="A1482" s="5">
        <v>1421</v>
      </c>
      <c r="B1482" s="138">
        <f>'Expenditures 15-22'!K240</f>
        <v>30705</v>
      </c>
      <c r="C1482" s="2" t="s">
        <v>594</v>
      </c>
      <c r="D1482" s="2" t="str">
        <f t="shared" si="22"/>
        <v>Error?</v>
      </c>
    </row>
    <row r="1483" spans="1:4" x14ac:dyDescent="0.2">
      <c r="A1483" s="5">
        <v>1422</v>
      </c>
      <c r="B1483" s="138">
        <f>'Expenditures 15-22'!K241</f>
        <v>5036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35741</v>
      </c>
      <c r="C1485" s="2" t="s">
        <v>594</v>
      </c>
      <c r="D1485" s="2" t="str">
        <f t="shared" si="22"/>
        <v>Error?</v>
      </c>
    </row>
    <row r="1486" spans="1:4" x14ac:dyDescent="0.2">
      <c r="A1486" s="5">
        <v>1425</v>
      </c>
      <c r="B1486" s="138">
        <f>'Expenditures 15-22'!K245</f>
        <v>769</v>
      </c>
      <c r="C1486" s="2" t="s">
        <v>594</v>
      </c>
      <c r="D1486" s="2" t="str">
        <f t="shared" si="22"/>
        <v>Error?</v>
      </c>
    </row>
    <row r="1487" spans="1:4" x14ac:dyDescent="0.2">
      <c r="A1487" s="5">
        <v>1426</v>
      </c>
      <c r="B1487" s="138">
        <f>'Expenditures 15-22'!K246</f>
        <v>14934</v>
      </c>
      <c r="C1487" s="2" t="s">
        <v>594</v>
      </c>
      <c r="D1487" s="2" t="str">
        <f t="shared" si="22"/>
        <v>Error?</v>
      </c>
    </row>
    <row r="1488" spans="1:4" x14ac:dyDescent="0.2">
      <c r="A1488" s="5">
        <v>1427</v>
      </c>
      <c r="B1488" s="138">
        <f>'Expenditures 15-22'!K257</f>
        <v>37300</v>
      </c>
      <c r="C1488" s="2" t="s">
        <v>594</v>
      </c>
      <c r="D1488" s="2" t="str">
        <f t="shared" si="22"/>
        <v>Error?</v>
      </c>
    </row>
    <row r="1489" spans="1:4" x14ac:dyDescent="0.2">
      <c r="A1489" s="5">
        <v>1428</v>
      </c>
      <c r="B1489" s="138">
        <f>'Expenditures 15-22'!K259</f>
        <v>38068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38068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43787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209245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48418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301450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10218</v>
      </c>
      <c r="C1506" s="2" t="s">
        <v>594</v>
      </c>
      <c r="D1506" s="2" t="str">
        <f t="shared" si="22"/>
        <v>Error?</v>
      </c>
    </row>
    <row r="1507" spans="1:4" x14ac:dyDescent="0.2">
      <c r="A1507" s="10">
        <v>1446</v>
      </c>
      <c r="D1507" s="2" t="str">
        <f t="shared" si="22"/>
        <v>OK</v>
      </c>
    </row>
    <row r="1508" spans="1:4" x14ac:dyDescent="0.2">
      <c r="A1508" s="5">
        <v>1447</v>
      </c>
      <c r="B1508" s="138">
        <f>'Expenditures 15-22'!K277</f>
        <v>10218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451880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693463</v>
      </c>
      <c r="C1517" s="2" t="s">
        <v>594</v>
      </c>
      <c r="D1517" s="2" t="str">
        <f t="shared" si="22"/>
        <v>Error?</v>
      </c>
    </row>
    <row r="1518" spans="1:4" x14ac:dyDescent="0.2">
      <c r="A1518" s="5">
        <v>1457</v>
      </c>
      <c r="B1518" s="138">
        <f>'Expenditures 15-22'!K296</f>
        <v>14199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9982629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11421475</v>
      </c>
      <c r="C1630" s="2" t="s">
        <v>594</v>
      </c>
      <c r="D1630" s="2" t="str">
        <f t="shared" si="24"/>
        <v>Error?</v>
      </c>
    </row>
    <row r="1631" spans="1:4" x14ac:dyDescent="0.2">
      <c r="A1631" s="5">
        <v>1570</v>
      </c>
      <c r="B1631" s="138">
        <f>'Acct Summary 7-8'!D79</f>
        <v>5149153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4664504</v>
      </c>
      <c r="C1644" s="2" t="s">
        <v>594</v>
      </c>
      <c r="D1644" s="2" t="str">
        <f t="shared" si="24"/>
        <v>Error?</v>
      </c>
    </row>
    <row r="1645" spans="1:4" x14ac:dyDescent="0.2">
      <c r="A1645" s="5">
        <v>1584</v>
      </c>
      <c r="B1645" s="138">
        <f>'Acct Summary 7-8'!E79</f>
        <v>2621838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2820212</v>
      </c>
      <c r="C1658" s="2" t="s">
        <v>594</v>
      </c>
      <c r="D1658" s="2" t="str">
        <f t="shared" si="24"/>
        <v>Error?</v>
      </c>
    </row>
    <row r="1659" spans="1:4" x14ac:dyDescent="0.2">
      <c r="A1659" s="5">
        <v>1598</v>
      </c>
      <c r="B1659" s="138">
        <f>'Acct Summary 7-8'!F79</f>
        <v>880627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1136802</v>
      </c>
      <c r="C1672" s="2" t="s">
        <v>594</v>
      </c>
      <c r="D1672" s="2" t="str">
        <f t="shared" si="25"/>
        <v>Error?</v>
      </c>
    </row>
    <row r="1673" spans="1:4" x14ac:dyDescent="0.2">
      <c r="A1673" s="5">
        <v>1612</v>
      </c>
      <c r="B1673" s="138">
        <f>'Acct Summary 7-8'!G79</f>
        <v>531004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545203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15528656</v>
      </c>
      <c r="C1744" s="2" t="s">
        <v>594</v>
      </c>
      <c r="D1744" s="2" t="str">
        <f t="shared" si="26"/>
        <v>Error?</v>
      </c>
    </row>
    <row r="1745" spans="1:5" x14ac:dyDescent="0.2">
      <c r="A1745" s="5">
        <v>1684</v>
      </c>
      <c r="B1745" s="138">
        <f>'Tax Sched 23'!B5</f>
        <v>1823732</v>
      </c>
      <c r="C1745" s="2" t="s">
        <v>594</v>
      </c>
      <c r="D1745" s="2" t="str">
        <f t="shared" si="26"/>
        <v>Error?</v>
      </c>
    </row>
    <row r="1746" spans="1:5" x14ac:dyDescent="0.2">
      <c r="A1746" s="5">
        <v>1685</v>
      </c>
      <c r="B1746" s="138">
        <f>'Tax Sched 23'!B6</f>
        <v>4152328</v>
      </c>
      <c r="C1746" s="2" t="s">
        <v>594</v>
      </c>
      <c r="D1746" s="2" t="str">
        <f t="shared" si="26"/>
        <v>Error?</v>
      </c>
    </row>
    <row r="1747" spans="1:5" x14ac:dyDescent="0.2">
      <c r="A1747" s="5">
        <v>1686</v>
      </c>
      <c r="B1747" s="138">
        <f>'Tax Sched 23'!B7</f>
        <v>642427</v>
      </c>
      <c r="C1747" s="2" t="s">
        <v>594</v>
      </c>
      <c r="D1747" s="2" t="str">
        <f t="shared" si="26"/>
        <v>Error?</v>
      </c>
    </row>
    <row r="1748" spans="1:5" x14ac:dyDescent="0.2">
      <c r="A1748" s="5">
        <v>1687</v>
      </c>
      <c r="B1748" s="138">
        <f>'Tax Sched 23'!B8</f>
        <v>339466</v>
      </c>
      <c r="C1748" s="2" t="s">
        <v>594</v>
      </c>
      <c r="D1748" s="2" t="str">
        <f t="shared" si="26"/>
        <v>Error?</v>
      </c>
    </row>
    <row r="1749" spans="1:5" x14ac:dyDescent="0.2">
      <c r="A1749" s="5">
        <v>1688</v>
      </c>
      <c r="B1749" s="138">
        <f>'Tax Sched 23'!B10</f>
        <v>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346337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486295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23319244</v>
      </c>
      <c r="C1759" s="2" t="s">
        <v>594</v>
      </c>
      <c r="D1759" s="2" t="str">
        <f t="shared" si="26"/>
        <v>Error?</v>
      </c>
    </row>
    <row r="1760" spans="1:5" x14ac:dyDescent="0.2">
      <c r="A1760" s="5">
        <v>1699</v>
      </c>
      <c r="B1760" s="138">
        <f>'Tax Sched 23'!D4</f>
        <v>7405318</v>
      </c>
      <c r="C1760" s="2" t="s">
        <v>594</v>
      </c>
      <c r="D1760" s="2" t="str">
        <f t="shared" si="26"/>
        <v>Error?</v>
      </c>
    </row>
    <row r="1761" spans="1:5" x14ac:dyDescent="0.2">
      <c r="A1761" s="5">
        <v>1700</v>
      </c>
      <c r="B1761" s="138">
        <f>'Tax Sched 23'!D5</f>
        <v>888311</v>
      </c>
      <c r="C1761" s="2" t="s">
        <v>594</v>
      </c>
      <c r="D1761" s="2" t="str">
        <f t="shared" si="26"/>
        <v>Error?</v>
      </c>
    </row>
    <row r="1762" spans="1:5" s="8" customFormat="1" x14ac:dyDescent="0.2">
      <c r="A1762" s="5">
        <v>1701</v>
      </c>
      <c r="B1762" s="138">
        <f>'Tax Sched 23'!D6</f>
        <v>1992307</v>
      </c>
      <c r="C1762" s="2" t="s">
        <v>594</v>
      </c>
      <c r="D1762" s="2" t="str">
        <f t="shared" si="26"/>
        <v>Error?</v>
      </c>
      <c r="E1762" s="9"/>
    </row>
    <row r="1763" spans="1:5" x14ac:dyDescent="0.2">
      <c r="A1763" s="5">
        <v>1702</v>
      </c>
      <c r="B1763" s="138">
        <f>'Tax Sched 23'!D7</f>
        <v>277711</v>
      </c>
      <c r="C1763" s="2" t="s">
        <v>594</v>
      </c>
      <c r="D1763" s="2" t="str">
        <f t="shared" si="26"/>
        <v>Error?</v>
      </c>
    </row>
    <row r="1764" spans="1:5" x14ac:dyDescent="0.2">
      <c r="A1764" s="5">
        <v>1703</v>
      </c>
      <c r="B1764" s="138">
        <f>'Tax Sched 23'!D8</f>
        <v>160664</v>
      </c>
      <c r="C1764" s="2" t="s">
        <v>594</v>
      </c>
      <c r="D1764" s="2" t="str">
        <f t="shared" si="26"/>
        <v>Error?</v>
      </c>
    </row>
    <row r="1765" spans="1:5" x14ac:dyDescent="0.2">
      <c r="A1765" s="5">
        <v>1704</v>
      </c>
      <c r="B1765" s="138">
        <f>'Tax Sched 23'!D10</f>
        <v>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162476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420939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11115584</v>
      </c>
      <c r="C1775" s="2" t="s">
        <v>594</v>
      </c>
      <c r="D1775" s="2" t="str">
        <f t="shared" si="26"/>
        <v>Error?</v>
      </c>
    </row>
    <row r="1776" spans="1:5" x14ac:dyDescent="0.2">
      <c r="A1776" s="5">
        <v>1715</v>
      </c>
      <c r="B1776" s="138">
        <f>'Tax Sched 23'!C4</f>
        <v>8123338</v>
      </c>
      <c r="D1776" s="2" t="str">
        <f t="shared" si="26"/>
        <v>Error?</v>
      </c>
    </row>
    <row r="1777" spans="1:4" x14ac:dyDescent="0.2">
      <c r="A1777" s="5">
        <v>1716</v>
      </c>
      <c r="B1777" s="138">
        <f>'Tax Sched 23'!C5</f>
        <v>935421</v>
      </c>
      <c r="D1777" s="2" t="str">
        <f t="shared" si="26"/>
        <v>Error?</v>
      </c>
    </row>
    <row r="1778" spans="1:4" x14ac:dyDescent="0.2">
      <c r="A1778" s="5">
        <v>1717</v>
      </c>
      <c r="B1778" s="138">
        <f>'Tax Sched 23'!C6</f>
        <v>2160021</v>
      </c>
      <c r="D1778" s="2" t="str">
        <f t="shared" si="26"/>
        <v>Error?</v>
      </c>
    </row>
    <row r="1779" spans="1:4" x14ac:dyDescent="0.2">
      <c r="A1779" s="5">
        <v>1718</v>
      </c>
      <c r="B1779" s="138">
        <f>'Tax Sched 23'!C7</f>
        <v>364716</v>
      </c>
      <c r="D1779" s="2" t="str">
        <f t="shared" si="26"/>
        <v>Error?</v>
      </c>
    </row>
    <row r="1780" spans="1:4" x14ac:dyDescent="0.2">
      <c r="A1780" s="5">
        <v>1719</v>
      </c>
      <c r="B1780" s="138">
        <f>'Tax Sched 23'!C8</f>
        <v>178802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183861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65356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12203660</v>
      </c>
      <c r="C1791" s="2" t="s">
        <v>594</v>
      </c>
      <c r="D1791" s="2" t="str">
        <f t="shared" ref="D1791:D1854" si="27">IF(ISBLANK(B1791),"OK",IF(A1791-B1791=0,"OK","Error?"))</f>
        <v>Error?</v>
      </c>
    </row>
    <row r="1792" spans="1:4" x14ac:dyDescent="0.2">
      <c r="A1792" s="5">
        <v>1731</v>
      </c>
      <c r="B1792" s="138">
        <f>'Tax Sched 23'!F4</f>
        <v>12094111</v>
      </c>
      <c r="C1792" s="2" t="s">
        <v>594</v>
      </c>
      <c r="D1792" s="2" t="str">
        <f t="shared" si="27"/>
        <v>Error?</v>
      </c>
    </row>
    <row r="1793" spans="1:4" x14ac:dyDescent="0.2">
      <c r="A1793" s="5">
        <v>1732</v>
      </c>
      <c r="B1793" s="138">
        <f>'Tax Sched 23'!F5</f>
        <v>1406164</v>
      </c>
      <c r="C1793" s="2" t="s">
        <v>594</v>
      </c>
      <c r="D1793" s="2" t="str">
        <f t="shared" si="27"/>
        <v>Error?</v>
      </c>
    </row>
    <row r="1794" spans="1:4" x14ac:dyDescent="0.2">
      <c r="A1794" s="5">
        <v>1733</v>
      </c>
      <c r="B1794" s="138">
        <f>'Tax Sched 23'!F6</f>
        <v>3236433</v>
      </c>
      <c r="C1794" s="2" t="s">
        <v>594</v>
      </c>
      <c r="D1794" s="2" t="str">
        <f t="shared" si="27"/>
        <v>Error?</v>
      </c>
    </row>
    <row r="1795" spans="1:4" x14ac:dyDescent="0.2">
      <c r="A1795" s="5">
        <v>1734</v>
      </c>
      <c r="B1795" s="138">
        <f>'Tax Sched 23'!F7</f>
        <v>548039</v>
      </c>
      <c r="C1795" s="2" t="s">
        <v>594</v>
      </c>
      <c r="D1795" s="2" t="str">
        <f t="shared" si="27"/>
        <v>Error?</v>
      </c>
    </row>
    <row r="1796" spans="1:4" x14ac:dyDescent="0.2">
      <c r="A1796" s="5">
        <v>1735</v>
      </c>
      <c r="B1796" s="138">
        <f>'Tax Sched 23'!F8</f>
        <v>268485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276154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98104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18216088</v>
      </c>
      <c r="C1807" s="2" t="s">
        <v>594</v>
      </c>
      <c r="D1807" s="2" t="str">
        <f t="shared" si="27"/>
        <v>Error?</v>
      </c>
    </row>
    <row r="1808" spans="1:4" x14ac:dyDescent="0.2">
      <c r="A1808" s="5">
        <v>1747</v>
      </c>
      <c r="B1808" s="138">
        <f>'Tax Sched 23'!E4</f>
        <v>20217449</v>
      </c>
      <c r="D1808" s="2" t="str">
        <f t="shared" si="27"/>
        <v>Error?</v>
      </c>
    </row>
    <row r="1809" spans="1:4" x14ac:dyDescent="0.2">
      <c r="A1809" s="5">
        <v>1748</v>
      </c>
      <c r="B1809" s="138">
        <f>'Tax Sched 23'!E5</f>
        <v>2341585</v>
      </c>
      <c r="D1809" s="2" t="str">
        <f t="shared" si="27"/>
        <v>Error?</v>
      </c>
    </row>
    <row r="1810" spans="1:4" x14ac:dyDescent="0.2">
      <c r="A1810" s="5">
        <v>1749</v>
      </c>
      <c r="B1810" s="138">
        <f>'Tax Sched 23'!E6</f>
        <v>5396454</v>
      </c>
      <c r="D1810" s="2" t="str">
        <f t="shared" si="27"/>
        <v>Error?</v>
      </c>
    </row>
    <row r="1811" spans="1:4" x14ac:dyDescent="0.2">
      <c r="A1811" s="5">
        <v>1750</v>
      </c>
      <c r="B1811" s="138">
        <f>'Tax Sched 23'!E7</f>
        <v>912755</v>
      </c>
      <c r="D1811" s="2" t="str">
        <f t="shared" si="27"/>
        <v>Error?</v>
      </c>
    </row>
    <row r="1812" spans="1:4" x14ac:dyDescent="0.2">
      <c r="A1812" s="5">
        <v>1751</v>
      </c>
      <c r="B1812" s="138">
        <f>'Tax Sched 23'!E8</f>
        <v>447287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460015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163460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30419748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43827003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5469945</v>
      </c>
      <c r="D2008" s="2" t="str">
        <f t="shared" si="30"/>
        <v>Error?</v>
      </c>
    </row>
    <row r="2009" spans="1:4" x14ac:dyDescent="0.2">
      <c r="A2009" s="5">
        <v>1948</v>
      </c>
      <c r="B2009" s="138">
        <f>'Cap Outlay Deprec 26'!C8</f>
        <v>72321728</v>
      </c>
      <c r="D2009" s="2" t="str">
        <f t="shared" si="30"/>
        <v>Error?</v>
      </c>
    </row>
    <row r="2010" spans="1:4" x14ac:dyDescent="0.2">
      <c r="A2010" s="5">
        <v>1949</v>
      </c>
      <c r="B2010" s="138">
        <f>'Cap Outlay Deprec 26'!C10</f>
        <v>2001430</v>
      </c>
      <c r="D2010" s="2" t="str">
        <f t="shared" si="30"/>
        <v>Error?</v>
      </c>
    </row>
    <row r="2011" spans="1:4" x14ac:dyDescent="0.2">
      <c r="A2011" s="5">
        <v>1950</v>
      </c>
      <c r="B2011" s="138">
        <f>'Cap Outlay Deprec 26'!C12</f>
        <v>2934354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82727457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271641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38879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858634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5469945</v>
      </c>
      <c r="C2026" s="2" t="s">
        <v>594</v>
      </c>
      <c r="D2026" s="2" t="str">
        <f t="shared" si="30"/>
        <v>Error?</v>
      </c>
    </row>
    <row r="2027" spans="1:4" x14ac:dyDescent="0.2">
      <c r="A2027" s="5">
        <v>1966</v>
      </c>
      <c r="B2027" s="138">
        <f>'Cap Outlay Deprec 26'!F8</f>
        <v>72593369</v>
      </c>
      <c r="C2027" s="2" t="s">
        <v>594</v>
      </c>
      <c r="D2027" s="2" t="str">
        <f t="shared" si="30"/>
        <v>Error?</v>
      </c>
    </row>
    <row r="2028" spans="1:4" x14ac:dyDescent="0.2">
      <c r="A2028" s="5">
        <v>1967</v>
      </c>
      <c r="B2028" s="138">
        <f>'Cap Outlay Deprec 26'!F10</f>
        <v>2001430</v>
      </c>
      <c r="C2028" s="2" t="s">
        <v>594</v>
      </c>
      <c r="D2028" s="2" t="str">
        <f t="shared" si="30"/>
        <v>Error?</v>
      </c>
    </row>
    <row r="2029" spans="1:4" x14ac:dyDescent="0.2">
      <c r="A2029" s="5">
        <v>1968</v>
      </c>
      <c r="B2029" s="138">
        <f>'Cap Outlay Deprec 26'!F12</f>
        <v>2973233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83586091</v>
      </c>
      <c r="C2031" s="2" t="s">
        <v>594</v>
      </c>
      <c r="D2031" s="2" t="str">
        <f t="shared" si="30"/>
        <v>Error?</v>
      </c>
    </row>
    <row r="2032" spans="1:4" x14ac:dyDescent="0.2">
      <c r="A2032" s="10">
        <v>1971</v>
      </c>
      <c r="D2032" s="2" t="str">
        <f t="shared" si="30"/>
        <v>OK</v>
      </c>
    </row>
    <row r="2033" spans="1:4" x14ac:dyDescent="0.2">
      <c r="A2033" s="5">
        <v>1972</v>
      </c>
      <c r="B2033" s="138">
        <f>'Cap Outlay Deprec 26'!H8</f>
        <v>31895773</v>
      </c>
      <c r="D2033" s="2" t="str">
        <f t="shared" si="30"/>
        <v>Error?</v>
      </c>
    </row>
    <row r="2034" spans="1:4" x14ac:dyDescent="0.2">
      <c r="A2034" s="5">
        <v>1973</v>
      </c>
      <c r="B2034" s="138">
        <f>'Cap Outlay Deprec 26'!H10</f>
        <v>1542222</v>
      </c>
      <c r="D2034" s="2" t="str">
        <f t="shared" si="30"/>
        <v>Error?</v>
      </c>
    </row>
    <row r="2035" spans="1:4" x14ac:dyDescent="0.2">
      <c r="A2035" s="5">
        <v>1974</v>
      </c>
      <c r="B2035" s="138">
        <f>'Cap Outlay Deprec 26'!H12</f>
        <v>2252516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35690511</v>
      </c>
      <c r="C2037" s="2" t="s">
        <v>594</v>
      </c>
      <c r="D2037" s="2" t="str">
        <f t="shared" si="30"/>
        <v>Error?</v>
      </c>
    </row>
    <row r="2038" spans="1:4" x14ac:dyDescent="0.2">
      <c r="A2038" s="10">
        <v>1977</v>
      </c>
      <c r="D2038" s="2" t="str">
        <f t="shared" si="30"/>
        <v>OK</v>
      </c>
    </row>
    <row r="2039" spans="1:4" x14ac:dyDescent="0.2">
      <c r="A2039" s="5">
        <v>1978</v>
      </c>
      <c r="B2039" s="138">
        <f>'Cap Outlay Deprec 26'!I8</f>
        <v>1763285</v>
      </c>
      <c r="D2039" s="2" t="str">
        <f t="shared" si="30"/>
        <v>Error?</v>
      </c>
    </row>
    <row r="2040" spans="1:4" x14ac:dyDescent="0.2">
      <c r="A2040" s="5">
        <v>1979</v>
      </c>
      <c r="B2040" s="138">
        <f>'Cap Outlay Deprec 26'!I10</f>
        <v>57093</v>
      </c>
      <c r="D2040" s="2" t="str">
        <f t="shared" si="30"/>
        <v>Error?</v>
      </c>
    </row>
    <row r="2041" spans="1:4" x14ac:dyDescent="0.2">
      <c r="A2041" s="5">
        <v>1980</v>
      </c>
      <c r="B2041" s="138">
        <f>'Cap Outlay Deprec 26'!I12</f>
        <v>158103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1978481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33659058</v>
      </c>
      <c r="C2051" s="2" t="s">
        <v>594</v>
      </c>
      <c r="D2051" s="2" t="str">
        <f t="shared" si="31"/>
        <v>Error?</v>
      </c>
    </row>
    <row r="2052" spans="1:4" x14ac:dyDescent="0.2">
      <c r="A2052" s="5">
        <v>1991</v>
      </c>
      <c r="B2052" s="138">
        <f>'Cap Outlay Deprec 26'!K10</f>
        <v>1599315</v>
      </c>
      <c r="C2052" s="2" t="s">
        <v>594</v>
      </c>
      <c r="D2052" s="2" t="str">
        <f t="shared" si="31"/>
        <v>Error?</v>
      </c>
    </row>
    <row r="2053" spans="1:4" x14ac:dyDescent="0.2">
      <c r="A2053" s="5">
        <v>1992</v>
      </c>
      <c r="B2053" s="138">
        <f>'Cap Outlay Deprec 26'!K12</f>
        <v>2410619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37668992</v>
      </c>
      <c r="C2055" s="2" t="s">
        <v>594</v>
      </c>
      <c r="D2055" s="2" t="str">
        <f t="shared" si="31"/>
        <v>Error?</v>
      </c>
    </row>
    <row r="2056" spans="1:4" x14ac:dyDescent="0.2">
      <c r="A2056" s="5">
        <v>1995</v>
      </c>
      <c r="B2056" s="138">
        <f>'Cap Outlay Deprec 26'!L5</f>
        <v>5469945</v>
      </c>
      <c r="C2056" s="2" t="s">
        <v>594</v>
      </c>
      <c r="D2056" s="2" t="str">
        <f t="shared" si="31"/>
        <v>Error?</v>
      </c>
    </row>
    <row r="2057" spans="1:4" x14ac:dyDescent="0.2">
      <c r="A2057" s="5">
        <v>1996</v>
      </c>
      <c r="B2057" s="138">
        <f>'Cap Outlay Deprec 26'!L8</f>
        <v>38934311</v>
      </c>
      <c r="C2057" s="2" t="s">
        <v>594</v>
      </c>
      <c r="D2057" s="2" t="str">
        <f t="shared" si="31"/>
        <v>Error?</v>
      </c>
    </row>
    <row r="2058" spans="1:4" x14ac:dyDescent="0.2">
      <c r="A2058" s="5">
        <v>1997</v>
      </c>
      <c r="B2058" s="138">
        <f>'Cap Outlay Deprec 26'!L10</f>
        <v>402115</v>
      </c>
      <c r="C2058" s="2" t="s">
        <v>594</v>
      </c>
      <c r="D2058" s="2" t="str">
        <f t="shared" si="31"/>
        <v>Error?</v>
      </c>
    </row>
    <row r="2059" spans="1:4" x14ac:dyDescent="0.2">
      <c r="A2059" s="5">
        <v>1998</v>
      </c>
      <c r="B2059" s="138">
        <f>'Cap Outlay Deprec 26'!L12</f>
        <v>562614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45917099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28638</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28638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4664504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1136802</v>
      </c>
      <c r="D2475" s="2" t="str">
        <f t="shared" si="37"/>
        <v>Error?</v>
      </c>
    </row>
    <row r="2476" spans="1:4" x14ac:dyDescent="0.2">
      <c r="A2476" s="10">
        <v>2415</v>
      </c>
      <c r="D2476" s="2" t="str">
        <f t="shared" si="37"/>
        <v>OK</v>
      </c>
    </row>
    <row r="2477" spans="1:4" x14ac:dyDescent="0.2">
      <c r="A2477" s="5">
        <v>2416</v>
      </c>
      <c r="B2477" s="138">
        <f>'Assets-Liab 5-6'!G38</f>
        <v>545203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2820212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17290369</v>
      </c>
      <c r="C2551" s="2" t="s">
        <v>594</v>
      </c>
      <c r="D2551" s="2" t="str">
        <f t="shared" si="38"/>
        <v>Error?</v>
      </c>
    </row>
    <row r="2552" spans="1:4" x14ac:dyDescent="0.2">
      <c r="A2552" s="10">
        <v>2491</v>
      </c>
      <c r="D2552" s="2" t="str">
        <f t="shared" si="38"/>
        <v>OK</v>
      </c>
    </row>
    <row r="2553" spans="1:4" x14ac:dyDescent="0.2">
      <c r="A2553" s="5">
        <v>2492</v>
      </c>
      <c r="B2553" s="138">
        <f>'Acct Summary 7-8'!C6</f>
        <v>1321837</v>
      </c>
      <c r="C2553" s="2" t="s">
        <v>594</v>
      </c>
      <c r="D2553" s="2" t="str">
        <f t="shared" si="38"/>
        <v>Error?</v>
      </c>
    </row>
    <row r="2554" spans="1:4" x14ac:dyDescent="0.2">
      <c r="A2554" s="5">
        <v>2493</v>
      </c>
      <c r="B2554" s="138">
        <f>'Acct Summary 7-8'!C7</f>
        <v>1507586</v>
      </c>
      <c r="C2554" s="2" t="s">
        <v>594</v>
      </c>
      <c r="D2554" s="2" t="str">
        <f t="shared" si="38"/>
        <v>Error?</v>
      </c>
    </row>
    <row r="2555" spans="1:4" x14ac:dyDescent="0.2">
      <c r="A2555" s="5">
        <v>2494</v>
      </c>
      <c r="B2555" s="138">
        <f>'Acct Summary 7-8'!C8</f>
        <v>20119792</v>
      </c>
      <c r="C2555" s="2" t="s">
        <v>594</v>
      </c>
      <c r="D2555" s="2" t="str">
        <f t="shared" si="38"/>
        <v>Error?</v>
      </c>
    </row>
    <row r="2556" spans="1:4" x14ac:dyDescent="0.2">
      <c r="A2556" s="5">
        <v>2495</v>
      </c>
      <c r="B2556" s="138">
        <f>'Acct Summary 7-8'!C12</f>
        <v>13284434</v>
      </c>
      <c r="C2556" s="2" t="s">
        <v>594</v>
      </c>
      <c r="D2556" s="2" t="str">
        <f t="shared" si="38"/>
        <v>Error?</v>
      </c>
    </row>
    <row r="2557" spans="1:4" x14ac:dyDescent="0.2">
      <c r="A2557" s="5">
        <v>2496</v>
      </c>
      <c r="B2557" s="138">
        <f>'Acct Summary 7-8'!C13</f>
        <v>4771117</v>
      </c>
      <c r="C2557" s="2" t="s">
        <v>594</v>
      </c>
      <c r="D2557" s="2" t="str">
        <f t="shared" si="38"/>
        <v>Error?</v>
      </c>
    </row>
    <row r="2558" spans="1:4" x14ac:dyDescent="0.2">
      <c r="A2558" s="5">
        <v>2497</v>
      </c>
      <c r="B2558" s="138">
        <f>'Acct Summary 7-8'!C14</f>
        <v>1584</v>
      </c>
      <c r="C2558" s="2" t="s">
        <v>594</v>
      </c>
      <c r="D2558" s="2" t="str">
        <f t="shared" si="38"/>
        <v>Error?</v>
      </c>
    </row>
    <row r="2559" spans="1:4" x14ac:dyDescent="0.2">
      <c r="A2559" s="5">
        <v>2498</v>
      </c>
      <c r="B2559" s="138">
        <f>'Acct Summary 7-8'!C15</f>
        <v>585351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18642486</v>
      </c>
      <c r="C2561" s="2" t="s">
        <v>594</v>
      </c>
      <c r="D2561" s="2" t="str">
        <f t="shared" si="39"/>
        <v>Error?</v>
      </c>
    </row>
    <row r="2562" spans="1:4" x14ac:dyDescent="0.2">
      <c r="A2562" s="5">
        <v>2501</v>
      </c>
      <c r="B2562" s="138">
        <f>'Acct Summary 7-8'!C20</f>
        <v>1477306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2493980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2493980</v>
      </c>
      <c r="C2568" s="2" t="s">
        <v>594</v>
      </c>
      <c r="D2568" s="2" t="str">
        <f t="shared" si="39"/>
        <v>Error?</v>
      </c>
    </row>
    <row r="2569" spans="1:4" x14ac:dyDescent="0.2">
      <c r="A2569" s="5">
        <v>2508</v>
      </c>
      <c r="B2569" s="138">
        <f>'Acct Summary 7-8'!D13</f>
        <v>2949991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28638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2978629</v>
      </c>
      <c r="C2573" s="2" t="s">
        <v>594</v>
      </c>
      <c r="D2573" s="2" t="str">
        <f t="shared" si="39"/>
        <v>Error?</v>
      </c>
    </row>
    <row r="2574" spans="1:4" x14ac:dyDescent="0.2">
      <c r="A2574" s="5">
        <v>2513</v>
      </c>
      <c r="B2574" s="138">
        <f>'Acct Summary 7-8'!D20</f>
        <v>-484649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652816</v>
      </c>
      <c r="C2591" s="2" t="s">
        <v>594</v>
      </c>
      <c r="D2591" s="2" t="str">
        <f t="shared" si="39"/>
        <v>Error?</v>
      </c>
    </row>
    <row r="2592" spans="1:4" x14ac:dyDescent="0.2">
      <c r="A2592" s="10">
        <v>2531</v>
      </c>
      <c r="D2592" s="2" t="str">
        <f t="shared" si="39"/>
        <v>OK</v>
      </c>
    </row>
    <row r="2593" spans="1:4" x14ac:dyDescent="0.2">
      <c r="A2593" s="5">
        <v>2532</v>
      </c>
      <c r="B2593" s="138">
        <f>'Acct Summary 7-8'!F6</f>
        <v>710564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1363380</v>
      </c>
      <c r="C2595" s="2" t="s">
        <v>594</v>
      </c>
      <c r="D2595" s="2" t="str">
        <f t="shared" si="39"/>
        <v>Error?</v>
      </c>
    </row>
    <row r="2596" spans="1:4" x14ac:dyDescent="0.2">
      <c r="A2596" s="5">
        <v>2535</v>
      </c>
      <c r="B2596" s="138">
        <f>'Acct Summary 7-8'!F13</f>
        <v>1107205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1107205</v>
      </c>
      <c r="C2600" s="2" t="s">
        <v>594</v>
      </c>
      <c r="D2600" s="2" t="str">
        <f t="shared" si="39"/>
        <v>Error?</v>
      </c>
    </row>
    <row r="2601" spans="1:4" x14ac:dyDescent="0.2">
      <c r="A2601" s="5">
        <v>2540</v>
      </c>
      <c r="B2601" s="138">
        <f>'Acct Summary 7-8'!F20</f>
        <v>256175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707662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707662</v>
      </c>
      <c r="C2606" s="2" t="s">
        <v>594</v>
      </c>
      <c r="D2606" s="2" t="str">
        <f t="shared" si="39"/>
        <v>Error?</v>
      </c>
    </row>
    <row r="2607" spans="1:4" x14ac:dyDescent="0.2">
      <c r="A2607" s="5">
        <v>2546</v>
      </c>
      <c r="B2607" s="138">
        <f>'Acct Summary 7-8'!G12</f>
        <v>241583</v>
      </c>
      <c r="C2607" s="2" t="s">
        <v>594</v>
      </c>
      <c r="D2607" s="2" t="str">
        <f t="shared" si="39"/>
        <v>Error?</v>
      </c>
    </row>
    <row r="2608" spans="1:4" x14ac:dyDescent="0.2">
      <c r="A2608" s="5">
        <v>2547</v>
      </c>
      <c r="B2608" s="138">
        <f>'Acct Summary 7-8'!G13</f>
        <v>451880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693463</v>
      </c>
      <c r="C2612" s="2" t="s">
        <v>594</v>
      </c>
      <c r="D2612" s="2" t="str">
        <f t="shared" si="39"/>
        <v>Error?</v>
      </c>
    </row>
    <row r="2613" spans="1:4" x14ac:dyDescent="0.2">
      <c r="A2613" s="5">
        <v>2552</v>
      </c>
      <c r="B2613" s="138">
        <f>'Acct Summary 7-8'!G20</f>
        <v>14199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4181121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4181121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4023734</v>
      </c>
      <c r="C2634" s="2" t="s">
        <v>594</v>
      </c>
      <c r="D2634" s="2" t="str">
        <f t="shared" si="40"/>
        <v>Error?</v>
      </c>
    </row>
    <row r="2635" spans="1:4" x14ac:dyDescent="0.2">
      <c r="A2635" s="5">
        <v>2574</v>
      </c>
      <c r="B2635" s="138">
        <f>'Acct Summary 7-8'!E17</f>
        <v>4023734</v>
      </c>
      <c r="C2635" s="2" t="s">
        <v>594</v>
      </c>
      <c r="D2635" s="2" t="str">
        <f t="shared" si="40"/>
        <v>Error?</v>
      </c>
    </row>
    <row r="2636" spans="1:4" x14ac:dyDescent="0.2">
      <c r="A2636" s="5">
        <v>2575</v>
      </c>
      <c r="B2636" s="138">
        <f>'Acct Summary 7-8'!E20</f>
        <v>157387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548114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5267008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461734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5267008</v>
      </c>
      <c r="D2912" s="2" t="str">
        <f t="shared" si="44"/>
        <v>Error?</v>
      </c>
    </row>
    <row r="2913" spans="1:4" x14ac:dyDescent="0.2">
      <c r="A2913" s="5">
        <v>2852</v>
      </c>
      <c r="B2913" s="138">
        <f>'Assets-Liab 5-6'!I41</f>
        <v>5267008</v>
      </c>
      <c r="C2913" s="2" t="s">
        <v>594</v>
      </c>
      <c r="D2913" s="2" t="str">
        <f t="shared" si="44"/>
        <v>Error?</v>
      </c>
    </row>
    <row r="2914" spans="1:4" x14ac:dyDescent="0.2">
      <c r="A2914" s="5">
        <v>2853</v>
      </c>
      <c r="B2914" s="138">
        <f>'Assets-Liab 5-6'!L33</f>
        <v>461734</v>
      </c>
      <c r="D2914" s="2" t="str">
        <f t="shared" si="44"/>
        <v>Error?</v>
      </c>
    </row>
    <row r="2915" spans="1:4" x14ac:dyDescent="0.2">
      <c r="A2915" s="10">
        <v>2854</v>
      </c>
      <c r="D2915" s="2" t="str">
        <f t="shared" si="44"/>
        <v>OK</v>
      </c>
    </row>
    <row r="2916" spans="1:4" x14ac:dyDescent="0.2">
      <c r="A2916" s="5">
        <v>2855</v>
      </c>
      <c r="B2916" s="138">
        <f>'Assets-Liab 5-6'!L34</f>
        <v>461734</v>
      </c>
      <c r="C2916" s="2" t="s">
        <v>594</v>
      </c>
      <c r="D2916" s="2" t="str">
        <f t="shared" si="44"/>
        <v>Error?</v>
      </c>
    </row>
    <row r="2917" spans="1:4" x14ac:dyDescent="0.2">
      <c r="A2917" s="5">
        <v>2856</v>
      </c>
      <c r="B2917" s="138">
        <f>'Assets-Liab 5-6'!L41</f>
        <v>461734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28638</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28638</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61105</v>
      </c>
      <c r="C3225" s="2" t="s">
        <v>594</v>
      </c>
      <c r="D3225" s="2" t="str">
        <f t="shared" si="49"/>
        <v>Error?</v>
      </c>
    </row>
    <row r="3226" spans="1:4" x14ac:dyDescent="0.2">
      <c r="A3226" s="5">
        <v>3165</v>
      </c>
      <c r="B3226" s="138">
        <f>'Acct Summary 7-8'!I8</f>
        <v>61105</v>
      </c>
      <c r="C3226" s="2" t="s">
        <v>594</v>
      </c>
      <c r="D3226" s="2" t="str">
        <f t="shared" si="49"/>
        <v>Error?</v>
      </c>
    </row>
    <row r="3227" spans="1:4" x14ac:dyDescent="0.2">
      <c r="A3227" s="5">
        <v>3166</v>
      </c>
      <c r="B3227" s="138">
        <f>'Acct Summary 7-8'!I20</f>
        <v>61105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2527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40987</v>
      </c>
      <c r="C3231" s="2" t="s">
        <v>594</v>
      </c>
      <c r="D3231" s="2" t="str">
        <f t="shared" si="49"/>
        <v>Error?</v>
      </c>
    </row>
    <row r="3232" spans="1:4" x14ac:dyDescent="0.2">
      <c r="A3232" s="5">
        <v>3171</v>
      </c>
      <c r="B3232" s="138">
        <f>'Acct Summary 7-8'!C77</f>
        <v>-38460</v>
      </c>
      <c r="C3232" s="2" t="s">
        <v>594</v>
      </c>
      <c r="D3232" s="2" t="str">
        <f t="shared" si="49"/>
        <v>Error?</v>
      </c>
    </row>
    <row r="3233" spans="1:4" x14ac:dyDescent="0.2">
      <c r="A3233" s="5">
        <v>3172</v>
      </c>
      <c r="B3233" s="138">
        <f>'Acct Summary 7-8'!C78</f>
        <v>1438846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-484649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256175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14199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40987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40987</v>
      </c>
      <c r="C3277" s="2" t="s">
        <v>594</v>
      </c>
      <c r="D3277" s="2" t="str">
        <f t="shared" si="50"/>
        <v>Error?</v>
      </c>
    </row>
    <row r="3278" spans="1:4" x14ac:dyDescent="0.2">
      <c r="A3278" s="5">
        <v>3217</v>
      </c>
      <c r="B3278" s="138">
        <f>'Acct Summary 7-8'!E78</f>
        <v>198374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61105</v>
      </c>
      <c r="C3320" s="2" t="s">
        <v>594</v>
      </c>
      <c r="D3320" s="2" t="str">
        <f t="shared" si="50"/>
        <v>Error?</v>
      </c>
    </row>
    <row r="3321" spans="1:4" x14ac:dyDescent="0.2">
      <c r="A3321" s="5">
        <v>3260</v>
      </c>
      <c r="B3321" s="138">
        <f>'Acct Summary 7-8'!I79</f>
        <v>5205903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5267008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1233359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364451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127047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48736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1785288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76752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76752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11425918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4664504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2820212</v>
      </c>
      <c r="D3417" s="2" t="str">
        <f t="shared" si="52"/>
        <v>Error?</v>
      </c>
    </row>
    <row r="3418" spans="1:4" x14ac:dyDescent="0.2">
      <c r="A3418" s="10">
        <v>3357</v>
      </c>
      <c r="D3418" s="2" t="str">
        <f t="shared" si="52"/>
        <v>OK</v>
      </c>
    </row>
    <row r="3419" spans="1:4" x14ac:dyDescent="0.2">
      <c r="A3419" s="5">
        <v>3358</v>
      </c>
      <c r="B3419" s="138">
        <f>'Assets-Liab 5-6'!F4</f>
        <v>1136802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545203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5267008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461734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-192145</v>
      </c>
      <c r="C3447" s="2" t="s">
        <v>594</v>
      </c>
      <c r="D3447" s="2" t="str">
        <f t="shared" si="52"/>
        <v>Error?</v>
      </c>
    </row>
    <row r="3448" spans="1:4" x14ac:dyDescent="0.2">
      <c r="A3448" s="5">
        <v>3387</v>
      </c>
      <c r="B3448" s="138">
        <f>'Tax Sched 23'!C16</f>
        <v>192145</v>
      </c>
      <c r="D3448" s="2" t="str">
        <f t="shared" si="52"/>
        <v>Error?</v>
      </c>
    </row>
    <row r="3449" spans="1:4" x14ac:dyDescent="0.2">
      <c r="A3449" s="5">
        <v>3388</v>
      </c>
      <c r="B3449" s="138">
        <f>'Tax Sched 23'!F16</f>
        <v>288598</v>
      </c>
      <c r="C3449" s="2" t="s">
        <v>594</v>
      </c>
      <c r="D3449" s="2" t="str">
        <f t="shared" si="52"/>
        <v>Error?</v>
      </c>
    </row>
    <row r="3450" spans="1:4" x14ac:dyDescent="0.2">
      <c r="A3450" s="5">
        <v>3389</v>
      </c>
      <c r="B3450" s="138">
        <f>'Tax Sched 23'!E16</f>
        <v>480743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548114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548114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548114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2527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8076289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28196081</v>
      </c>
      <c r="C4122" s="2" t="s">
        <v>594</v>
      </c>
      <c r="D4122" s="2" t="str">
        <f t="shared" si="63"/>
        <v>Error?</v>
      </c>
    </row>
    <row r="4123" spans="1:4" x14ac:dyDescent="0.2">
      <c r="A4123" s="5">
        <v>4062</v>
      </c>
      <c r="B4123" s="138">
        <f>'Acct Summary 7-8'!D10</f>
        <v>2493980</v>
      </c>
      <c r="C4123" s="2" t="s">
        <v>594</v>
      </c>
      <c r="D4123" s="2" t="str">
        <f t="shared" si="63"/>
        <v>Error?</v>
      </c>
    </row>
    <row r="4124" spans="1:4" x14ac:dyDescent="0.2">
      <c r="A4124" s="5">
        <v>4063</v>
      </c>
      <c r="B4124" s="138">
        <f>'Acct Summary 7-8'!E10</f>
        <v>4181121</v>
      </c>
      <c r="C4124" s="2" t="s">
        <v>594</v>
      </c>
      <c r="D4124" s="2" t="str">
        <f t="shared" si="63"/>
        <v>Error?</v>
      </c>
    </row>
    <row r="4125" spans="1:4" x14ac:dyDescent="0.2">
      <c r="A4125" s="5">
        <v>4064</v>
      </c>
      <c r="B4125" s="138">
        <f>'Acct Summary 7-8'!F10</f>
        <v>1363380</v>
      </c>
      <c r="C4125" s="2" t="s">
        <v>594</v>
      </c>
      <c r="D4125" s="2" t="str">
        <f t="shared" si="63"/>
        <v>Error?</v>
      </c>
    </row>
    <row r="4126" spans="1:4" x14ac:dyDescent="0.2">
      <c r="A4126" s="5">
        <v>4065</v>
      </c>
      <c r="B4126" s="138">
        <f>'Acct Summary 7-8'!G10</f>
        <v>707662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61105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8076289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26718775</v>
      </c>
      <c r="C4136" s="2" t="s">
        <v>594</v>
      </c>
      <c r="D4136" s="2" t="str">
        <f t="shared" si="63"/>
        <v>Error?</v>
      </c>
    </row>
    <row r="4137" spans="1:4" x14ac:dyDescent="0.2">
      <c r="A4137" s="5">
        <v>4076</v>
      </c>
      <c r="B4137" s="138">
        <f>'Acct Summary 7-8'!D19</f>
        <v>2978629</v>
      </c>
      <c r="C4137" s="2" t="s">
        <v>594</v>
      </c>
      <c r="D4137" s="2" t="str">
        <f t="shared" si="63"/>
        <v>Error?</v>
      </c>
    </row>
    <row r="4138" spans="1:4" x14ac:dyDescent="0.2">
      <c r="A4138" s="5">
        <v>4077</v>
      </c>
      <c r="B4138" s="138">
        <f>'Acct Summary 7-8'!E19</f>
        <v>4023734</v>
      </c>
      <c r="C4138" s="2" t="s">
        <v>594</v>
      </c>
      <c r="D4138" s="2" t="str">
        <f t="shared" si="63"/>
        <v>Error?</v>
      </c>
    </row>
    <row r="4139" spans="1:4" x14ac:dyDescent="0.2">
      <c r="A4139" s="5">
        <v>4078</v>
      </c>
      <c r="B4139" s="138">
        <f>'Acct Summary 7-8'!F19</f>
        <v>1107205</v>
      </c>
      <c r="C4139" s="2" t="s">
        <v>594</v>
      </c>
      <c r="D4139" s="2" t="str">
        <f t="shared" si="63"/>
        <v>Error?</v>
      </c>
    </row>
    <row r="4140" spans="1:4" x14ac:dyDescent="0.2">
      <c r="A4140" s="5">
        <v>4079</v>
      </c>
      <c r="B4140" s="138">
        <f>'Acct Summary 7-8'!G19</f>
        <v>693463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41153230</v>
      </c>
      <c r="C4171" s="2" t="s">
        <v>594</v>
      </c>
      <c r="D4171" s="2" t="str">
        <f t="shared" si="64"/>
        <v>Error?</v>
      </c>
    </row>
    <row r="4172" spans="1:4" x14ac:dyDescent="0.2">
      <c r="A4172" s="5">
        <v>4111</v>
      </c>
      <c r="B4172" s="138">
        <f>'Short-Term Long-Term Debt 24'!J49</f>
        <v>38333018</v>
      </c>
      <c r="C4172" s="2" t="s">
        <v>594</v>
      </c>
      <c r="D4172" s="2" t="str">
        <f t="shared" si="64"/>
        <v>Error?</v>
      </c>
    </row>
    <row r="4173" spans="1:4" x14ac:dyDescent="0.2">
      <c r="A4173" s="5">
        <v>4112</v>
      </c>
      <c r="B4173" s="138">
        <f>'Short-Term Long-Term Debt 24'!H49</f>
        <v>2673773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1297.8999999999999</v>
      </c>
      <c r="C4265" s="2" t="s">
        <v>594</v>
      </c>
      <c r="D4265" s="2" t="str">
        <f t="shared" si="65"/>
        <v>Error?</v>
      </c>
      <c r="E4265" s="128"/>
    </row>
    <row r="4266" spans="1:5" x14ac:dyDescent="0.2">
      <c r="A4266" s="12">
        <v>4205</v>
      </c>
      <c r="B4266" s="138">
        <f>('FP Info 3'!F10)*100000</f>
        <v>153.19999999999999</v>
      </c>
      <c r="C4266" s="2" t="s">
        <v>594</v>
      </c>
      <c r="D4266" s="2" t="str">
        <f t="shared" si="65"/>
        <v>Error?</v>
      </c>
      <c r="E4266" s="128"/>
    </row>
    <row r="4267" spans="1:5" x14ac:dyDescent="0.2">
      <c r="A4267" s="12">
        <v>4206</v>
      </c>
      <c r="B4267" s="138">
        <f>('FP Info 3'!H10)*100000</f>
        <v>59.699999999999996</v>
      </c>
      <c r="C4267" s="2" t="s">
        <v>594</v>
      </c>
      <c r="D4267" s="2" t="str">
        <f t="shared" si="65"/>
        <v>Error?</v>
      </c>
      <c r="E4267" s="128"/>
    </row>
    <row r="4268" spans="1:5" x14ac:dyDescent="0.2">
      <c r="A4268" s="12">
        <v>4207</v>
      </c>
      <c r="B4268" s="138">
        <f>('FP Info 3'!J10)*100000</f>
        <v>1511</v>
      </c>
      <c r="C4268" s="2" t="s">
        <v>594</v>
      </c>
      <c r="D4268" s="2" t="str">
        <f t="shared" si="65"/>
        <v>Error?</v>
      </c>
    </row>
    <row r="4269" spans="1:5" x14ac:dyDescent="0.2">
      <c r="A4269" s="12">
        <v>4208</v>
      </c>
      <c r="B4269" s="138">
        <f>'FP Info 3'!J16</f>
        <v>22489789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1021</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8541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3641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29631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33822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239</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1216952619</v>
      </c>
      <c r="D4995" s="2" t="str">
        <f t="shared" si="77"/>
        <v>Error?</v>
      </c>
    </row>
    <row r="4996" spans="1:4" x14ac:dyDescent="0.2">
      <c r="A4996" s="12">
        <v>4935</v>
      </c>
      <c r="B4996" s="138">
        <f>'FP Info 3'!H31</f>
        <v>83969730.71100001</v>
      </c>
      <c r="D4996" s="2" t="str">
        <f t="shared" si="77"/>
        <v>Error?</v>
      </c>
    </row>
    <row r="4997" spans="1:4" x14ac:dyDescent="0.2">
      <c r="A4997" s="12">
        <v>4936</v>
      </c>
      <c r="B4997" s="138">
        <f>'FP Info 3'!H37</f>
        <v>41153230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15528656</v>
      </c>
      <c r="D5061" s="2" t="str">
        <f t="shared" si="78"/>
        <v>Error?</v>
      </c>
    </row>
    <row r="5062" spans="1:4" x14ac:dyDescent="0.2">
      <c r="A5062" s="10">
        <v>5001</v>
      </c>
      <c r="D5062" s="2" t="str">
        <f t="shared" si="78"/>
        <v>OK</v>
      </c>
    </row>
    <row r="5063" spans="1:4" x14ac:dyDescent="0.2">
      <c r="A5063" s="5">
        <v>5002</v>
      </c>
      <c r="B5063" s="138">
        <f>'Revenues 9-14'!C7</f>
        <v>123811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15652467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109515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109515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164820</v>
      </c>
      <c r="D5092" s="2" t="str">
        <f t="shared" si="78"/>
        <v>Error?</v>
      </c>
    </row>
    <row r="5093" spans="1:4" x14ac:dyDescent="0.2">
      <c r="A5093" s="5">
        <v>5032</v>
      </c>
      <c r="B5093" s="138">
        <f>'Revenues 9-14'!C72</f>
        <v>410755</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21541</v>
      </c>
      <c r="D5095" s="2" t="str">
        <f t="shared" si="78"/>
        <v>Error?</v>
      </c>
    </row>
    <row r="5096" spans="1:4" x14ac:dyDescent="0.2">
      <c r="A5096" s="5">
        <v>5035</v>
      </c>
      <c r="B5096" s="138">
        <f>'Revenues 9-14'!C75</f>
        <v>597116</v>
      </c>
      <c r="C5096" s="2" t="s">
        <v>594</v>
      </c>
      <c r="D5096" s="2" t="str">
        <f t="shared" si="78"/>
        <v>Error?</v>
      </c>
    </row>
    <row r="5097" spans="1:4" x14ac:dyDescent="0.2">
      <c r="A5097" s="5">
        <v>5036</v>
      </c>
      <c r="B5097" s="138">
        <f>'Revenues 9-14'!C77</f>
        <v>19644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781583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801227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91573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130044</v>
      </c>
      <c r="C5120" s="2" t="s">
        <v>594</v>
      </c>
      <c r="D5120" s="2" t="str">
        <f t="shared" si="79"/>
        <v>Error?</v>
      </c>
    </row>
    <row r="5121" spans="1:4" x14ac:dyDescent="0.2">
      <c r="A5121" s="5">
        <v>5060</v>
      </c>
      <c r="B5121" s="138">
        <f>'Revenues 9-14'!C109</f>
        <v>17290369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881501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881740</v>
      </c>
      <c r="C5132" s="2" t="s">
        <v>594</v>
      </c>
      <c r="D5132" s="2" t="str">
        <f t="shared" si="79"/>
        <v>Error?</v>
      </c>
    </row>
    <row r="5133" spans="1:4" x14ac:dyDescent="0.2">
      <c r="A5133" s="5">
        <v>5072</v>
      </c>
      <c r="B5133" s="138">
        <f>'Revenues 9-14'!C124</f>
        <v>140582</v>
      </c>
      <c r="D5133" s="2" t="str">
        <f t="shared" si="79"/>
        <v>Error?</v>
      </c>
    </row>
    <row r="5134" spans="1:4" x14ac:dyDescent="0.2">
      <c r="A5134" s="5">
        <v>5073</v>
      </c>
      <c r="B5134" s="138">
        <f>'Revenues 9-14'!C125</f>
        <v>83221</v>
      </c>
      <c r="D5134" s="2" t="str">
        <f t="shared" si="79"/>
        <v>Error?</v>
      </c>
    </row>
    <row r="5135" spans="1:4" x14ac:dyDescent="0.2">
      <c r="A5135" s="5">
        <v>5074</v>
      </c>
      <c r="B5135" s="138">
        <f>'Revenues 9-14'!C126</f>
        <v>97690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1609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323102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65784</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65784</v>
      </c>
      <c r="C5161" s="2" t="s">
        <v>594</v>
      </c>
      <c r="D5161" s="2" t="str">
        <f t="shared" si="79"/>
        <v>Error?</v>
      </c>
    </row>
    <row r="5162" spans="1:4" x14ac:dyDescent="0.2">
      <c r="A5162" s="10">
        <v>5101</v>
      </c>
      <c r="D5162" s="2" t="str">
        <f t="shared" si="79"/>
        <v>OK</v>
      </c>
    </row>
    <row r="5163" spans="1:4" x14ac:dyDescent="0.2">
      <c r="A5163" s="5">
        <v>5102</v>
      </c>
      <c r="B5163" s="138">
        <f>'Revenues 9-14'!C142</f>
        <v>4812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4812</v>
      </c>
      <c r="C5165" s="2" t="s">
        <v>594</v>
      </c>
      <c r="D5165" s="2" t="str">
        <f t="shared" si="79"/>
        <v>Error?</v>
      </c>
    </row>
    <row r="5166" spans="1:4" x14ac:dyDescent="0.2">
      <c r="A5166" s="10">
        <v>5105</v>
      </c>
      <c r="D5166" s="2" t="str">
        <f t="shared" si="79"/>
        <v>OK</v>
      </c>
    </row>
    <row r="5167" spans="1:4" x14ac:dyDescent="0.2">
      <c r="A5167" s="5">
        <v>5106</v>
      </c>
      <c r="B5167" s="138">
        <f>'Revenues 9-14'!C145</f>
        <v>812</v>
      </c>
      <c r="D5167" s="2" t="str">
        <f t="shared" si="79"/>
        <v>Error?</v>
      </c>
    </row>
    <row r="5168" spans="1:4" x14ac:dyDescent="0.2">
      <c r="A5168" s="5">
        <v>5107</v>
      </c>
      <c r="B5168" s="138">
        <f>'Revenues 9-14'!C147</f>
        <v>44369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440097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1321837</v>
      </c>
      <c r="C5223" s="2" t="s">
        <v>594</v>
      </c>
      <c r="D5223" s="2" t="str">
        <f t="shared" si="80"/>
        <v>Error?</v>
      </c>
    </row>
    <row r="5224" spans="1:4" x14ac:dyDescent="0.2">
      <c r="A5224" s="5">
        <v>5163</v>
      </c>
      <c r="B5224" s="138">
        <f>'Revenues 9-14'!C176</f>
        <v>896985</v>
      </c>
      <c r="D5224" s="2" t="str">
        <f t="shared" si="80"/>
        <v>Error?</v>
      </c>
    </row>
    <row r="5225" spans="1:4" x14ac:dyDescent="0.2">
      <c r="A5225" s="5">
        <v>5164</v>
      </c>
      <c r="B5225" s="138">
        <f>'Revenues 9-14'!C178</f>
        <v>896985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98997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98997</v>
      </c>
      <c r="C5246" s="2" t="s">
        <v>594</v>
      </c>
      <c r="D5246" s="2" t="str">
        <f t="shared" si="80"/>
        <v>Error?</v>
      </c>
    </row>
    <row r="5247" spans="1:4" x14ac:dyDescent="0.2">
      <c r="A5247" s="5">
        <v>5186</v>
      </c>
      <c r="B5247" s="138">
        <f>'Revenues 9-14'!C203</f>
        <v>116037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3641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116037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252338</v>
      </c>
      <c r="D5278" s="2" t="str">
        <f t="shared" si="81"/>
        <v>Error?</v>
      </c>
    </row>
    <row r="5279" spans="1:4" x14ac:dyDescent="0.2">
      <c r="A5279" s="5">
        <v>5218</v>
      </c>
      <c r="B5279" s="138">
        <f>'Revenues 9-14'!C221</f>
        <v>101416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353754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610601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1507586</v>
      </c>
      <c r="C5326" s="2" t="s">
        <v>594</v>
      </c>
      <c r="D5326" s="2" t="str">
        <f t="shared" si="82"/>
        <v>Error?</v>
      </c>
    </row>
    <row r="5327" spans="1:4" x14ac:dyDescent="0.2">
      <c r="A5327" s="5">
        <v>5266</v>
      </c>
      <c r="B5327" s="138">
        <f>'Revenues 9-14'!C275</f>
        <v>20119792</v>
      </c>
      <c r="C5327" s="2" t="s">
        <v>594</v>
      </c>
      <c r="D5327" s="2" t="str">
        <f t="shared" si="82"/>
        <v>Error?</v>
      </c>
    </row>
    <row r="5328" spans="1:4" x14ac:dyDescent="0.2">
      <c r="A5328" s="5">
        <v>5267</v>
      </c>
      <c r="B5328" s="138">
        <f>'Revenues 9-14'!D5</f>
        <v>1823732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1823732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349412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349412</v>
      </c>
      <c r="C5339" s="2" t="s">
        <v>594</v>
      </c>
      <c r="D5339" s="2" t="str">
        <f t="shared" si="82"/>
        <v>Error?</v>
      </c>
    </row>
    <row r="5340" spans="1:4" x14ac:dyDescent="0.2">
      <c r="A5340" s="5">
        <v>5279</v>
      </c>
      <c r="B5340" s="138">
        <f>'Revenues 9-14'!D65</f>
        <v>71148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71148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38685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38685</v>
      </c>
      <c r="C5348" s="2" t="s">
        <v>594</v>
      </c>
      <c r="D5348" s="2" t="str">
        <f t="shared" si="82"/>
        <v>Error?</v>
      </c>
    </row>
    <row r="5349" spans="1:4" x14ac:dyDescent="0.2">
      <c r="A5349" s="5">
        <v>5288</v>
      </c>
      <c r="B5349" s="138">
        <f>'Revenues 9-14'!D95</f>
        <v>76730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49287</v>
      </c>
      <c r="D5354" s="2" t="str">
        <f t="shared" si="82"/>
        <v>Error?</v>
      </c>
    </row>
    <row r="5355" spans="1:4" x14ac:dyDescent="0.2">
      <c r="A5355" s="5">
        <v>5294</v>
      </c>
      <c r="B5355" s="138">
        <f>'Revenues 9-14'!D108</f>
        <v>211003</v>
      </c>
      <c r="C5355" s="2" t="s">
        <v>594</v>
      </c>
      <c r="D5355" s="2" t="str">
        <f t="shared" si="82"/>
        <v>Error?</v>
      </c>
    </row>
    <row r="5356" spans="1:4" x14ac:dyDescent="0.2">
      <c r="A5356" s="5">
        <v>5295</v>
      </c>
      <c r="B5356" s="138">
        <f>'Revenues 9-14'!D109</f>
        <v>2493980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2493980</v>
      </c>
      <c r="C5508" s="2" t="s">
        <v>594</v>
      </c>
      <c r="D5508" s="2" t="str">
        <f t="shared" si="85"/>
        <v>Error?</v>
      </c>
    </row>
    <row r="5509" spans="1:4" x14ac:dyDescent="0.2">
      <c r="A5509" s="5">
        <v>5448</v>
      </c>
      <c r="B5509" s="138">
        <f>'Revenues 9-14'!E5</f>
        <v>4152328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4152328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28793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28793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4181121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4181121</v>
      </c>
      <c r="C5552" s="2" t="s">
        <v>594</v>
      </c>
      <c r="D5552" s="2" t="str">
        <f t="shared" si="85"/>
        <v>Error?</v>
      </c>
    </row>
    <row r="5553" spans="1:4" x14ac:dyDescent="0.2">
      <c r="A5553" s="5">
        <v>5492</v>
      </c>
      <c r="B5553" s="138">
        <f>'Revenues 9-14'!F5</f>
        <v>642427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642427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10389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10389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652816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27015</v>
      </c>
      <c r="D5615" s="2" t="str">
        <f t="shared" si="86"/>
        <v>Error?</v>
      </c>
    </row>
    <row r="5616" spans="1:4" x14ac:dyDescent="0.2">
      <c r="A5616" s="10">
        <v>5555</v>
      </c>
      <c r="D5616" s="2" t="str">
        <f t="shared" si="86"/>
        <v>OK</v>
      </c>
    </row>
    <row r="5617" spans="1:4" x14ac:dyDescent="0.2">
      <c r="A5617" s="5">
        <v>5556</v>
      </c>
      <c r="B5617" s="138">
        <f>'Revenues 9-14'!F152</f>
        <v>683549</v>
      </c>
      <c r="D5617" s="2" t="str">
        <f t="shared" si="86"/>
        <v>Error?</v>
      </c>
    </row>
    <row r="5618" spans="1:4" x14ac:dyDescent="0.2">
      <c r="A5618" s="5">
        <v>5557</v>
      </c>
      <c r="B5618" s="138">
        <f>'Revenues 9-14'!F154</f>
        <v>710564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710564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710564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1363380</v>
      </c>
      <c r="C5720" s="2" t="s">
        <v>594</v>
      </c>
      <c r="D5720" s="2" t="str">
        <f t="shared" si="88"/>
        <v>Error?</v>
      </c>
    </row>
    <row r="5721" spans="1:4" x14ac:dyDescent="0.2">
      <c r="A5721" s="5">
        <v>5660</v>
      </c>
      <c r="B5721" s="138">
        <f>'Revenues 9-14'!G5</f>
        <v>339466</v>
      </c>
      <c r="D5721" s="2" t="str">
        <f t="shared" si="88"/>
        <v>Error?</v>
      </c>
    </row>
    <row r="5722" spans="1:4" x14ac:dyDescent="0.2">
      <c r="A5722" s="5">
        <v>5661</v>
      </c>
      <c r="B5722" s="138">
        <f>'Revenues 9-14'!G7</f>
        <v>362484</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701950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5712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5712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707662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61102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61102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61105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707662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61105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33425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1283.25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136283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136283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136283</v>
      </c>
      <c r="D6216" s="2" t="str">
        <f t="shared" si="96"/>
        <v>Error?</v>
      </c>
      <c r="E6216" s="2" t="s">
        <v>199</v>
      </c>
    </row>
    <row r="6217" spans="1:5" x14ac:dyDescent="0.2">
      <c r="A6217">
        <v>6156</v>
      </c>
      <c r="B6217" s="138">
        <f>'Assets-Liab 5-6'!J4</f>
        <v>136283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347960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347960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347960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383541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383541</v>
      </c>
      <c r="D6229" s="2" t="str">
        <f t="shared" si="96"/>
        <v>Error?</v>
      </c>
      <c r="E6229" s="2" t="s">
        <v>199</v>
      </c>
    </row>
    <row r="6230" spans="1:5" x14ac:dyDescent="0.2">
      <c r="A6230">
        <v>6169</v>
      </c>
      <c r="B6230" s="138">
        <f>'Acct Summary 7-8'!J20</f>
        <v>-35581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40987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-35581</v>
      </c>
      <c r="D6263" s="2" t="str">
        <f t="shared" si="96"/>
        <v>Error?</v>
      </c>
      <c r="E6263" s="2" t="s">
        <v>199</v>
      </c>
    </row>
    <row r="6264" spans="1:5" x14ac:dyDescent="0.2">
      <c r="A6264">
        <v>6203</v>
      </c>
      <c r="B6264" s="138">
        <f>'Acct Summary 7-8'!J79</f>
        <v>171864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136283</v>
      </c>
      <c r="D6266" s="2" t="str">
        <f t="shared" si="96"/>
        <v>Error?</v>
      </c>
      <c r="E6266" s="2" t="s">
        <v>199</v>
      </c>
    </row>
    <row r="6267" spans="1:5" x14ac:dyDescent="0.2">
      <c r="A6267">
        <v>6206</v>
      </c>
      <c r="B6267" s="138">
        <f>'Acct Summary 7-8'!C82</f>
        <v>1438846</v>
      </c>
      <c r="D6267" s="2" t="str">
        <f t="shared" si="96"/>
        <v>Error?</v>
      </c>
      <c r="E6267" s="2" t="s">
        <v>199</v>
      </c>
    </row>
    <row r="6268" spans="1:5" x14ac:dyDescent="0.2">
      <c r="A6268">
        <v>6207</v>
      </c>
      <c r="B6268" s="138">
        <f>'Acct Summary 7-8'!D82</f>
        <v>-484649</v>
      </c>
      <c r="D6268" s="2" t="str">
        <f t="shared" si="96"/>
        <v>Error?</v>
      </c>
      <c r="E6268" s="2" t="s">
        <v>199</v>
      </c>
    </row>
    <row r="6269" spans="1:5" x14ac:dyDescent="0.2">
      <c r="A6269">
        <v>6208</v>
      </c>
      <c r="B6269" s="138">
        <f>'Acct Summary 7-8'!E82</f>
        <v>198374</v>
      </c>
      <c r="D6269" s="2" t="str">
        <f t="shared" si="96"/>
        <v>Error?</v>
      </c>
      <c r="E6269" s="2" t="s">
        <v>199</v>
      </c>
    </row>
    <row r="6270" spans="1:5" x14ac:dyDescent="0.2">
      <c r="A6270">
        <v>6209</v>
      </c>
      <c r="B6270" s="138">
        <f>'Acct Summary 7-8'!F82</f>
        <v>256175</v>
      </c>
      <c r="D6270" s="2" t="str">
        <f t="shared" si="96"/>
        <v>Error?</v>
      </c>
      <c r="E6270" s="2" t="s">
        <v>199</v>
      </c>
    </row>
    <row r="6271" spans="1:5" x14ac:dyDescent="0.2">
      <c r="A6271">
        <v>6210</v>
      </c>
      <c r="B6271" s="138">
        <f>'Acct Summary 7-8'!G82</f>
        <v>14199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61105</v>
      </c>
      <c r="D6273" s="2" t="str">
        <f t="shared" si="97"/>
        <v>Error?</v>
      </c>
      <c r="E6273" s="2" t="s">
        <v>199</v>
      </c>
    </row>
    <row r="6274" spans="1:5" x14ac:dyDescent="0.2">
      <c r="A6274">
        <v>6213</v>
      </c>
      <c r="B6274" s="138">
        <f>'Acct Summary 7-8'!J82</f>
        <v>-35581</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0.12597724899804974</v>
      </c>
      <c r="D6276" s="2" t="str">
        <f t="shared" si="97"/>
        <v>Error?</v>
      </c>
      <c r="E6276" s="2" t="s">
        <v>199</v>
      </c>
    </row>
    <row r="6277" spans="1:5" x14ac:dyDescent="0.2">
      <c r="A6277">
        <v>6216</v>
      </c>
      <c r="B6277" s="138">
        <f>'Acct Summary 7-8'!D83</f>
        <v>-0.10390150807031144</v>
      </c>
      <c r="D6277" s="2" t="str">
        <f t="shared" si="97"/>
        <v>Error?</v>
      </c>
      <c r="E6277" s="2" t="s">
        <v>199</v>
      </c>
    </row>
    <row r="6278" spans="1:5" x14ac:dyDescent="0.2">
      <c r="A6278">
        <v>6217</v>
      </c>
      <c r="B6278" s="138">
        <f>'Acct Summary 7-8'!E83</f>
        <v>7.0340102091615814E-2</v>
      </c>
      <c r="D6278" s="2" t="str">
        <f t="shared" si="97"/>
        <v>Error?</v>
      </c>
      <c r="E6278" s="2" t="s">
        <v>199</v>
      </c>
    </row>
    <row r="6279" spans="1:5" x14ac:dyDescent="0.2">
      <c r="A6279">
        <v>6218</v>
      </c>
      <c r="B6279" s="138">
        <f>'Acct Summary 7-8'!F83</f>
        <v>0.22534707011423274</v>
      </c>
      <c r="D6279" s="2" t="str">
        <f t="shared" si="97"/>
        <v>Error?</v>
      </c>
      <c r="E6279" s="2" t="s">
        <v>199</v>
      </c>
    </row>
    <row r="6280" spans="1:5" x14ac:dyDescent="0.2">
      <c r="A6280">
        <v>6219</v>
      </c>
      <c r="B6280" s="138">
        <f>'Acct Summary 7-8'!G83</f>
        <v>2.604351039887895E-2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1.1601463297568563E-2</v>
      </c>
      <c r="D6282" s="2" t="str">
        <f t="shared" si="97"/>
        <v>Error?</v>
      </c>
      <c r="E6282" s="2" t="s">
        <v>199</v>
      </c>
    </row>
    <row r="6283" spans="1:5" x14ac:dyDescent="0.2">
      <c r="A6283">
        <v>6222</v>
      </c>
      <c r="B6283" s="138">
        <f>'Acct Summary 7-8'!J83</f>
        <v>-0.26108171965689042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40987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346337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346337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84986</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4649</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347960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22939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11650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3993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4323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139258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670498</v>
      </c>
      <c r="D6880" s="2" t="str">
        <f t="shared" si="106"/>
        <v>Error?</v>
      </c>
    </row>
    <row r="6881" spans="1:4" x14ac:dyDescent="0.2">
      <c r="A6881">
        <v>6820</v>
      </c>
      <c r="B6881" s="138">
        <f>'Expenditures 15-22'!K22</f>
        <v>670498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1872</v>
      </c>
      <c r="D6900" s="2" t="str">
        <f t="shared" si="106"/>
        <v>Error?</v>
      </c>
    </row>
    <row r="6901" spans="1:4" x14ac:dyDescent="0.2">
      <c r="A6901">
        <v>6840</v>
      </c>
      <c r="B6901" s="138">
        <f>'Expenditures 15-22'!K32</f>
        <v>1872</v>
      </c>
      <c r="D6901" s="2" t="str">
        <f t="shared" si="106"/>
        <v>Error?</v>
      </c>
    </row>
    <row r="6902" spans="1:4" x14ac:dyDescent="0.2">
      <c r="A6902">
        <v>6841</v>
      </c>
      <c r="B6902" s="138">
        <f>'Expenditures 15-22'!I33</f>
        <v>42905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346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419</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765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5497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5497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668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668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22742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22742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29672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478811</v>
      </c>
      <c r="D6998" s="2" t="str">
        <f t="shared" si="108"/>
        <v>Error?</v>
      </c>
    </row>
    <row r="6999" spans="1:4" x14ac:dyDescent="0.2">
      <c r="A6999">
        <v>6938</v>
      </c>
      <c r="B6999" s="138">
        <f>'Expenditures 15-22'!K94</f>
        <v>478811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106540</v>
      </c>
      <c r="D7002" s="2" t="str">
        <f t="shared" si="108"/>
        <v>Error?</v>
      </c>
    </row>
    <row r="7003" spans="1:4" x14ac:dyDescent="0.2">
      <c r="A7003">
        <v>6942</v>
      </c>
      <c r="B7003" s="138">
        <f>'Expenditures 15-22'!K96</f>
        <v>106540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585351</v>
      </c>
      <c r="D7012" s="2" t="str">
        <f t="shared" si="108"/>
        <v>Error?</v>
      </c>
    </row>
    <row r="7013" spans="1:4" x14ac:dyDescent="0.2">
      <c r="A7013">
        <v>6952</v>
      </c>
      <c r="B7013" s="138">
        <f>'Expenditures 15-22'!K100</f>
        <v>585351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72577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35308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35308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35308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383541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35308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347960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116814</v>
      </c>
      <c r="D7073" s="2" t="str">
        <f t="shared" si="109"/>
        <v>Error?</v>
      </c>
    </row>
    <row r="7074" spans="1:4" x14ac:dyDescent="0.2">
      <c r="A7074">
        <v>7013</v>
      </c>
      <c r="B7074" s="138">
        <f>'Expenditures 15-22'!K216</f>
        <v>116814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1540</v>
      </c>
      <c r="D7079" s="2" t="str">
        <f t="shared" si="109"/>
        <v>Error?</v>
      </c>
    </row>
    <row r="7080" spans="1:4" x14ac:dyDescent="0.2">
      <c r="A7080">
        <v>7019</v>
      </c>
      <c r="B7080" s="138">
        <f>'Expenditures 15-22'!K226</f>
        <v>1540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21597</v>
      </c>
      <c r="D7093" s="2" t="str">
        <f t="shared" si="109"/>
        <v>Error?</v>
      </c>
    </row>
    <row r="7094" spans="1:4" x14ac:dyDescent="0.2">
      <c r="A7094">
        <v>7033</v>
      </c>
      <c r="B7094" s="138">
        <f>'Expenditures 15-22'!K254</f>
        <v>21597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64687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64687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16757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16757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28541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28541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109048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89171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198219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109048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274493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383541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109048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274493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383541</v>
      </c>
      <c r="D7224" s="2" t="str">
        <f t="shared" si="111"/>
        <v>Error?</v>
      </c>
    </row>
    <row r="7225" spans="1:4" x14ac:dyDescent="0.2">
      <c r="A7225">
        <v>7164</v>
      </c>
      <c r="B7225" s="138">
        <f>'Expenditures 15-22'!K343</f>
        <v>-35581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106349</v>
      </c>
      <c r="D7263" s="2" t="str">
        <f t="shared" si="112"/>
        <v>Error?</v>
      </c>
    </row>
    <row r="7264" spans="1:4" x14ac:dyDescent="0.2">
      <c r="A7264">
        <f t="shared" si="113"/>
        <v>7203</v>
      </c>
      <c r="B7264" s="138">
        <f>'Expenditures 15-22'!D17</f>
        <v>22060</v>
      </c>
      <c r="D7264" s="2" t="str">
        <f t="shared" si="112"/>
        <v>Error?</v>
      </c>
    </row>
    <row r="7265" spans="1:5" x14ac:dyDescent="0.2">
      <c r="A7265">
        <f t="shared" si="113"/>
        <v>7204</v>
      </c>
      <c r="B7265" s="138">
        <f>'Expenditures 15-22'!E17</f>
        <v>8108</v>
      </c>
      <c r="D7265" s="2" t="str">
        <f t="shared" si="112"/>
        <v>Error?</v>
      </c>
    </row>
    <row r="7266" spans="1:5" x14ac:dyDescent="0.2">
      <c r="A7266">
        <f t="shared" si="113"/>
        <v>7205</v>
      </c>
      <c r="B7266" s="138">
        <f>'Expenditures 15-22'!F17</f>
        <v>1835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906</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107885</v>
      </c>
      <c r="D7624" s="2" t="str">
        <f t="shared" si="124"/>
        <v>Error?</v>
      </c>
      <c r="E7624" s="2" t="s">
        <v>19</v>
      </c>
    </row>
    <row r="7625" spans="1:5" x14ac:dyDescent="0.2">
      <c r="A7625">
        <f t="shared" si="123"/>
        <v>7564</v>
      </c>
      <c r="B7625" s="138">
        <f>'Cap Outlay Deprec 26'!I17</f>
        <v>10788.5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1989269.5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68820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68820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6517</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6517</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1353587</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1278587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election sqref="A1:F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Lemont Twp HSD 210</v>
      </c>
      <c r="B7" s="2402"/>
      <c r="C7" s="2402"/>
      <c r="D7" s="2439"/>
      <c r="E7" s="2440">
        <f>COVER!A13</f>
        <v>7016210017</v>
      </c>
      <c r="F7" s="2441"/>
      <c r="G7" s="2408" t="str">
        <f>COVER!T23</f>
        <v>065-033233</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Lauterbach &amp; Amen, LLP</v>
      </c>
      <c r="H9" s="2415"/>
      <c r="I9" s="2415"/>
      <c r="J9" s="2415"/>
      <c r="K9" s="2415"/>
      <c r="L9" s="2416"/>
    </row>
    <row r="10" spans="1:29" ht="13.5" customHeight="1" x14ac:dyDescent="0.2">
      <c r="A10" s="2398" t="str">
        <f>COVER!A38</f>
        <v>Dr. Mary Ticknor</v>
      </c>
      <c r="B10" s="2399"/>
      <c r="C10" s="2399"/>
      <c r="D10" s="2399"/>
      <c r="E10" s="2399"/>
      <c r="F10" s="2400"/>
      <c r="G10" s="2414" t="str">
        <f>COVER!T17</f>
        <v>668 N. River Road</v>
      </c>
      <c r="H10" s="2427"/>
      <c r="I10" s="2427"/>
      <c r="J10" s="2427"/>
      <c r="K10" s="2427"/>
      <c r="L10" s="2428"/>
    </row>
    <row r="11" spans="1:29" ht="13.5" customHeight="1" x14ac:dyDescent="0.2">
      <c r="A11" s="1185" t="s">
        <v>1599</v>
      </c>
      <c r="B11" s="1186"/>
      <c r="C11" s="1187"/>
      <c r="D11" s="1192"/>
      <c r="E11" s="1187"/>
      <c r="F11" s="1191"/>
      <c r="G11" s="2414" t="str">
        <f>COVER!T19</f>
        <v>Naperville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mberan@lauterbachamen.com</v>
      </c>
      <c r="J13" s="2436"/>
      <c r="K13" s="2436"/>
      <c r="L13" s="2437"/>
    </row>
    <row r="14" spans="1:29" ht="13.5" customHeight="1" x14ac:dyDescent="0.2">
      <c r="A14" s="2414" t="str">
        <f>COVER!A19</f>
        <v>800 Porter Street</v>
      </c>
      <c r="B14" s="2427"/>
      <c r="C14" s="2427"/>
      <c r="D14" s="2427"/>
      <c r="E14" s="2427"/>
      <c r="F14" s="2428"/>
      <c r="G14" s="1196" t="s">
        <v>1247</v>
      </c>
      <c r="H14" s="1194"/>
      <c r="I14" s="1194"/>
      <c r="J14" s="1194"/>
      <c r="K14" s="1194"/>
      <c r="L14" s="1195"/>
    </row>
    <row r="15" spans="1:29" ht="13.5" customHeight="1" x14ac:dyDescent="0.2">
      <c r="A15" s="2414" t="str">
        <f>COVER!A21</f>
        <v>Lemont</v>
      </c>
      <c r="B15" s="2427"/>
      <c r="C15" s="2427"/>
      <c r="D15" s="2427"/>
      <c r="E15" s="2427"/>
      <c r="F15" s="2428"/>
      <c r="G15" s="2424" t="str">
        <f>COVER!T15</f>
        <v>Matt Beran</v>
      </c>
      <c r="H15" s="2425"/>
      <c r="I15" s="2425"/>
      <c r="J15" s="2425"/>
      <c r="K15" s="2425"/>
      <c r="L15" s="2426"/>
    </row>
    <row r="16" spans="1:29" ht="12.2" customHeight="1" x14ac:dyDescent="0.2">
      <c r="A16" s="2404">
        <f>COVER!A25</f>
        <v>60439</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(630) 393-1483</v>
      </c>
      <c r="H18" s="2402"/>
      <c r="I18" s="2402"/>
      <c r="J18" s="2402"/>
      <c r="K18" s="2401" t="str">
        <f>COVER!X21</f>
        <v>(630) 393-2516</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2077</v>
      </c>
      <c r="C46" s="1210" t="s">
        <v>1649</v>
      </c>
      <c r="D46" s="1197"/>
      <c r="E46" s="1197"/>
      <c r="F46" s="1197"/>
      <c r="G46" s="1197"/>
      <c r="H46" s="1197"/>
    </row>
    <row r="47" spans="1:8" ht="9" customHeight="1" x14ac:dyDescent="0.2"/>
    <row r="48" spans="1:8" ht="12.2" customHeight="1" x14ac:dyDescent="0.2">
      <c r="B48" s="1211" t="s">
        <v>2077</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Lemont Twp HSD 210</v>
      </c>
      <c r="B1" s="2438"/>
      <c r="C1" s="2438"/>
      <c r="D1" s="2438"/>
    </row>
    <row r="2" spans="1:11" s="1215" customFormat="1" ht="12.75" x14ac:dyDescent="0.2">
      <c r="A2" s="2443">
        <f>'Single Audit Cover'!E7</f>
        <v>7016210017</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2109</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2109</v>
      </c>
      <c r="C42" s="1232">
        <v>11</v>
      </c>
      <c r="D42" s="1243" t="s">
        <v>1655</v>
      </c>
      <c r="E42" s="312"/>
    </row>
    <row r="43" spans="1:5" ht="3" customHeight="1" x14ac:dyDescent="0.2">
      <c r="A43" s="1222"/>
      <c r="B43" s="1239"/>
      <c r="C43" s="1240"/>
      <c r="D43" s="1221"/>
    </row>
    <row r="44" spans="1:5" x14ac:dyDescent="0.2">
      <c r="A44" s="1222"/>
      <c r="B44" s="1225" t="s">
        <v>2109</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2109</v>
      </c>
      <c r="C48" s="1226">
        <f>C44+1</f>
        <v>13</v>
      </c>
      <c r="D48" s="1237" t="s">
        <v>1656</v>
      </c>
    </row>
    <row r="49" spans="1:4" ht="3" customHeight="1" x14ac:dyDescent="0.2">
      <c r="A49" s="1222"/>
      <c r="B49" s="1229"/>
      <c r="C49" s="1226"/>
      <c r="D49" s="1237"/>
    </row>
    <row r="50" spans="1:4" x14ac:dyDescent="0.2">
      <c r="A50" s="1222"/>
      <c r="B50" s="1225" t="s">
        <v>2109</v>
      </c>
      <c r="C50" s="1226">
        <f>C48+1</f>
        <v>14</v>
      </c>
      <c r="D50" s="1237" t="s">
        <v>1274</v>
      </c>
    </row>
    <row r="51" spans="1:4" ht="3" customHeight="1" x14ac:dyDescent="0.2">
      <c r="A51" s="1222"/>
      <c r="B51" s="1229"/>
      <c r="C51" s="1226"/>
      <c r="D51" s="1237"/>
    </row>
    <row r="52" spans="1:4" x14ac:dyDescent="0.2">
      <c r="A52" s="1222"/>
      <c r="B52" s="1225" t="s">
        <v>2109</v>
      </c>
      <c r="C52" s="1226">
        <f>C50+1</f>
        <v>15</v>
      </c>
      <c r="D52" s="1237" t="s">
        <v>1273</v>
      </c>
    </row>
    <row r="53" spans="1:4" ht="3" customHeight="1" x14ac:dyDescent="0.2">
      <c r="A53" s="1222"/>
      <c r="B53" s="1229"/>
      <c r="C53" s="1226"/>
      <c r="D53" s="1237"/>
    </row>
    <row r="54" spans="1:4" x14ac:dyDescent="0.2">
      <c r="A54" s="1222"/>
      <c r="B54" s="1225" t="s">
        <v>2109</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2077</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2109</v>
      </c>
      <c r="C91" s="1226">
        <f>C89+1</f>
        <v>27</v>
      </c>
      <c r="D91" s="1237" t="s">
        <v>1822</v>
      </c>
    </row>
    <row r="92" spans="1:4" x14ac:dyDescent="0.2">
      <c r="A92" s="1222"/>
      <c r="B92" s="1250"/>
      <c r="C92" s="1244" t="s">
        <v>2109</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2109</v>
      </c>
      <c r="C108" s="1226">
        <v>33</v>
      </c>
      <c r="D108" s="1221" t="s">
        <v>1826</v>
      </c>
    </row>
    <row r="109" spans="1:4" ht="3" customHeight="1" x14ac:dyDescent="0.2">
      <c r="A109" s="1222"/>
      <c r="B109" s="1229"/>
      <c r="C109" s="1226"/>
      <c r="D109" s="1221"/>
    </row>
    <row r="110" spans="1:4" x14ac:dyDescent="0.2">
      <c r="A110" s="1222"/>
      <c r="B110" s="1225" t="s">
        <v>2109</v>
      </c>
      <c r="C110" s="1226">
        <f>C108+1</f>
        <v>34</v>
      </c>
      <c r="D110" s="1221" t="s">
        <v>1260</v>
      </c>
    </row>
    <row r="111" spans="1:4" ht="3" customHeight="1" x14ac:dyDescent="0.2">
      <c r="A111" s="1222"/>
      <c r="B111" s="1229"/>
      <c r="C111" s="1226"/>
      <c r="D111" s="1221"/>
    </row>
    <row r="112" spans="1:4" x14ac:dyDescent="0.2">
      <c r="A112" s="1222"/>
      <c r="B112" s="1225" t="s">
        <v>2109</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2109</v>
      </c>
      <c r="C115" s="1226">
        <f>C112+1</f>
        <v>36</v>
      </c>
      <c r="D115" s="1237" t="s">
        <v>1257</v>
      </c>
    </row>
    <row r="116" spans="1:4" ht="3" customHeight="1" x14ac:dyDescent="0.2">
      <c r="A116" s="1222"/>
      <c r="B116" s="1229"/>
      <c r="C116" s="1226"/>
      <c r="D116" s="1237"/>
    </row>
    <row r="117" spans="1:4" x14ac:dyDescent="0.2">
      <c r="A117" s="1222"/>
      <c r="B117" s="1225" t="s">
        <v>2109</v>
      </c>
      <c r="C117" s="1226">
        <f>C115+1</f>
        <v>37</v>
      </c>
      <c r="D117" s="1237" t="s">
        <v>1827</v>
      </c>
    </row>
    <row r="118" spans="1:4" ht="3" customHeight="1" x14ac:dyDescent="0.2">
      <c r="A118" s="1222"/>
      <c r="B118" s="1229"/>
      <c r="C118" s="1226"/>
      <c r="D118" s="1237"/>
    </row>
    <row r="119" spans="1:4" x14ac:dyDescent="0.2">
      <c r="A119" s="1222"/>
      <c r="B119" s="1225" t="s">
        <v>2109</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2109</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Lemont Twp HSD 210</v>
      </c>
      <c r="B1" s="2446"/>
      <c r="C1" s="2446"/>
      <c r="D1" s="2446"/>
      <c r="E1" s="2446"/>
    </row>
    <row r="2" spans="1:5" x14ac:dyDescent="0.2">
      <c r="A2" s="2447">
        <f>'Single Audit Cover'!E7</f>
        <v>7016210017</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1507586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33425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1541011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1541011</v>
      </c>
    </row>
    <row r="33" spans="1:4" x14ac:dyDescent="0.2">
      <c r="D33" s="1269"/>
    </row>
    <row r="34" spans="1:4" x14ac:dyDescent="0.2">
      <c r="A34" s="317" t="s">
        <v>1294</v>
      </c>
    </row>
    <row r="35" spans="1:4" x14ac:dyDescent="0.2">
      <c r="A35" s="317" t="s">
        <v>1293</v>
      </c>
      <c r="B35" s="1258" t="s">
        <v>1292</v>
      </c>
      <c r="D35" s="1270">
        <f>' SEFA'!F42</f>
        <v>1541011</v>
      </c>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1541011</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1"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Lemont Twp HSD 210</v>
      </c>
      <c r="B1" s="2451"/>
      <c r="C1" s="2451"/>
      <c r="D1" s="2451"/>
      <c r="E1" s="2451"/>
      <c r="F1" s="2451"/>
    </row>
    <row r="2" spans="1:7" ht="13.5" customHeight="1" x14ac:dyDescent="0.2">
      <c r="A2" s="2452">
        <f>'Single Audit Cover'!E7</f>
        <v>7016210017</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t="s">
        <v>2110</v>
      </c>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33425</v>
      </c>
      <c r="D33" s="1928"/>
      <c r="E33" s="1286"/>
    </row>
    <row r="34" spans="1:6" ht="13.5" customHeight="1" x14ac:dyDescent="0.2">
      <c r="A34" s="328" t="s">
        <v>1949</v>
      </c>
      <c r="B34" s="328"/>
      <c r="C34" s="1289">
        <v>0</v>
      </c>
      <c r="D34" s="1928" t="s">
        <v>1671</v>
      </c>
      <c r="E34" s="2460">
        <f>+C33+C34</f>
        <v>33425</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v>0</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5"/>
  <sheetViews>
    <sheetView showGridLines="0" topLeftCell="A25" zoomScaleNormal="100" workbookViewId="0">
      <selection sqref="A1:F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Lemont Twp HSD 210</v>
      </c>
      <c r="C1" s="2463"/>
      <c r="D1" s="2463"/>
      <c r="E1" s="2463"/>
      <c r="F1" s="2463"/>
      <c r="G1" s="2463"/>
      <c r="H1" s="2463"/>
      <c r="I1" s="2463"/>
      <c r="J1" s="2463"/>
      <c r="K1" s="2463"/>
      <c r="L1" s="2463"/>
      <c r="M1" s="2463"/>
    </row>
    <row r="2" spans="2:14" ht="15" x14ac:dyDescent="0.2">
      <c r="B2" s="2452">
        <f>'Single Audit Cover'!E7</f>
        <v>7016210017</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2111</v>
      </c>
      <c r="C11" s="1338"/>
      <c r="D11" s="1339"/>
      <c r="E11" s="1340"/>
      <c r="F11" s="1340"/>
      <c r="G11" s="1340"/>
      <c r="H11" s="1340"/>
      <c r="I11" s="1340"/>
      <c r="J11" s="1340"/>
      <c r="K11" s="1340"/>
      <c r="L11" s="1340"/>
      <c r="M11" s="1340"/>
    </row>
    <row r="12" spans="2:14" ht="20.100000000000001" customHeight="1" x14ac:dyDescent="0.2">
      <c r="B12" s="1956" t="s">
        <v>2112</v>
      </c>
      <c r="C12" s="1341"/>
      <c r="D12" s="1342"/>
      <c r="E12" s="1343"/>
      <c r="F12" s="1343"/>
      <c r="G12" s="1343"/>
      <c r="H12" s="1343"/>
      <c r="I12" s="1343"/>
      <c r="J12" s="1343"/>
      <c r="K12" s="1343"/>
      <c r="L12" s="1340"/>
      <c r="M12" s="1343"/>
    </row>
    <row r="13" spans="2:14" ht="20.100000000000001" customHeight="1" x14ac:dyDescent="0.2">
      <c r="B13" s="1957" t="s">
        <v>1118</v>
      </c>
      <c r="C13" s="1341">
        <v>10.555</v>
      </c>
      <c r="D13" s="1342" t="s">
        <v>2125</v>
      </c>
      <c r="E13" s="1343">
        <v>65306</v>
      </c>
      <c r="F13" s="1343">
        <v>16821</v>
      </c>
      <c r="G13" s="1343">
        <f>E13</f>
        <v>65306</v>
      </c>
      <c r="H13" s="1343">
        <v>0</v>
      </c>
      <c r="I13" s="1343">
        <f>F13</f>
        <v>16821</v>
      </c>
      <c r="J13" s="1343">
        <v>0</v>
      </c>
      <c r="K13" s="1343">
        <v>0</v>
      </c>
      <c r="L13" s="1340">
        <f t="shared" ref="L13:L33" si="0">+G13+I13+K13</f>
        <v>82127</v>
      </c>
      <c r="M13" s="1343">
        <v>0</v>
      </c>
    </row>
    <row r="14" spans="2:14" ht="20.100000000000001" customHeight="1" x14ac:dyDescent="0.2">
      <c r="B14" s="1957" t="s">
        <v>1118</v>
      </c>
      <c r="C14" s="1341">
        <v>10.555</v>
      </c>
      <c r="D14" s="1342" t="s">
        <v>2126</v>
      </c>
      <c r="E14" s="1343">
        <v>0</v>
      </c>
      <c r="F14" s="1343">
        <v>79189</v>
      </c>
      <c r="G14" s="1343">
        <f>E14</f>
        <v>0</v>
      </c>
      <c r="H14" s="1343">
        <v>0</v>
      </c>
      <c r="I14" s="1343">
        <f>F14</f>
        <v>79189</v>
      </c>
      <c r="J14" s="1343">
        <v>0</v>
      </c>
      <c r="K14" s="1343">
        <v>0</v>
      </c>
      <c r="L14" s="1340">
        <f t="shared" si="0"/>
        <v>79189</v>
      </c>
      <c r="M14" s="1343">
        <v>0</v>
      </c>
    </row>
    <row r="15" spans="2:14" ht="20.100000000000001" customHeight="1" x14ac:dyDescent="0.2">
      <c r="B15" s="1957" t="s">
        <v>2113</v>
      </c>
      <c r="C15" s="1341">
        <v>10.555</v>
      </c>
      <c r="D15" s="1342" t="s">
        <v>2109</v>
      </c>
      <c r="E15" s="1343">
        <v>28576</v>
      </c>
      <c r="F15" s="1343">
        <v>27575</v>
      </c>
      <c r="G15" s="1343">
        <f>E15</f>
        <v>28576</v>
      </c>
      <c r="H15" s="1343">
        <v>0</v>
      </c>
      <c r="I15" s="1343">
        <f>F15</f>
        <v>27575</v>
      </c>
      <c r="J15" s="1343">
        <v>0</v>
      </c>
      <c r="K15" s="1343">
        <v>0</v>
      </c>
      <c r="L15" s="1340">
        <f t="shared" si="0"/>
        <v>56151</v>
      </c>
      <c r="M15" s="1343">
        <v>0</v>
      </c>
    </row>
    <row r="16" spans="2:14" ht="20.100000000000001" customHeight="1" x14ac:dyDescent="0.2">
      <c r="B16" s="1957" t="s">
        <v>2114</v>
      </c>
      <c r="C16" s="1341">
        <v>10.555</v>
      </c>
      <c r="D16" s="1342" t="s">
        <v>2109</v>
      </c>
      <c r="E16" s="1343">
        <v>6279</v>
      </c>
      <c r="F16" s="1343">
        <v>5850</v>
      </c>
      <c r="G16" s="1343">
        <f>E16</f>
        <v>6279</v>
      </c>
      <c r="H16" s="1343">
        <v>0</v>
      </c>
      <c r="I16" s="1343">
        <f>F16</f>
        <v>5850</v>
      </c>
      <c r="J16" s="1343">
        <v>0</v>
      </c>
      <c r="K16" s="1343">
        <v>0</v>
      </c>
      <c r="L16" s="1340">
        <f t="shared" si="0"/>
        <v>12129</v>
      </c>
      <c r="M16" s="1343">
        <v>0</v>
      </c>
    </row>
    <row r="17" spans="2:14" ht="20.100000000000001" customHeight="1" x14ac:dyDescent="0.2">
      <c r="B17" s="1956" t="s">
        <v>2115</v>
      </c>
      <c r="C17" s="1341"/>
      <c r="D17" s="1342"/>
      <c r="E17" s="1343"/>
      <c r="F17" s="1343"/>
      <c r="G17" s="1343"/>
      <c r="H17" s="1343"/>
      <c r="I17" s="1343"/>
      <c r="J17" s="1343"/>
      <c r="K17" s="1343"/>
      <c r="L17" s="1340"/>
      <c r="M17" s="1343"/>
    </row>
    <row r="18" spans="2:14" ht="20.100000000000001" customHeight="1" x14ac:dyDescent="0.2">
      <c r="B18" s="1957" t="s">
        <v>1118</v>
      </c>
      <c r="C18" s="1341">
        <v>10.555</v>
      </c>
      <c r="D18" s="1342" t="s">
        <v>2109</v>
      </c>
      <c r="E18" s="1343">
        <v>3367</v>
      </c>
      <c r="F18" s="1343">
        <v>2987</v>
      </c>
      <c r="G18" s="1343">
        <f>E18</f>
        <v>3367</v>
      </c>
      <c r="H18" s="1343">
        <v>0</v>
      </c>
      <c r="I18" s="1343">
        <f>F18</f>
        <v>2987</v>
      </c>
      <c r="J18" s="1343">
        <v>0</v>
      </c>
      <c r="K18" s="1343">
        <v>0</v>
      </c>
      <c r="L18" s="1340">
        <f t="shared" si="0"/>
        <v>6354</v>
      </c>
      <c r="M18" s="1343">
        <v>0</v>
      </c>
    </row>
    <row r="19" spans="2:14" ht="20.100000000000001" customHeight="1" x14ac:dyDescent="0.2">
      <c r="B19" s="1337" t="s">
        <v>2116</v>
      </c>
      <c r="C19" s="1341"/>
      <c r="D19" s="1342"/>
      <c r="E19" s="1343">
        <f>SUM(E13:E18)</f>
        <v>103528</v>
      </c>
      <c r="F19" s="1343">
        <f>SUM(F13:F18)</f>
        <v>132422</v>
      </c>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2117</v>
      </c>
      <c r="C21" s="1341"/>
      <c r="D21" s="1342"/>
      <c r="E21" s="1343"/>
      <c r="F21" s="1343"/>
      <c r="G21" s="1343"/>
      <c r="H21" s="1343"/>
      <c r="I21" s="1343"/>
      <c r="J21" s="1343"/>
      <c r="K21" s="1343"/>
      <c r="L21" s="1340"/>
      <c r="M21" s="1343"/>
    </row>
    <row r="22" spans="2:14" ht="20.100000000000001" customHeight="1" x14ac:dyDescent="0.2">
      <c r="B22" s="1957" t="s">
        <v>2118</v>
      </c>
      <c r="C22" s="1341">
        <v>84.040999999999997</v>
      </c>
      <c r="D22" s="1342" t="s">
        <v>2138</v>
      </c>
      <c r="E22" s="1343">
        <v>0</v>
      </c>
      <c r="F22" s="1343">
        <v>869439</v>
      </c>
      <c r="G22" s="1343">
        <f>E22</f>
        <v>0</v>
      </c>
      <c r="H22" s="1343">
        <v>0</v>
      </c>
      <c r="I22" s="1343">
        <f>F22</f>
        <v>869439</v>
      </c>
      <c r="J22" s="1343">
        <v>0</v>
      </c>
      <c r="K22" s="1343">
        <v>0</v>
      </c>
      <c r="L22" s="1340">
        <f>G22+I22</f>
        <v>869439</v>
      </c>
      <c r="M22" s="1343">
        <v>0</v>
      </c>
    </row>
    <row r="23" spans="2:14" ht="20.100000000000001" customHeight="1" x14ac:dyDescent="0.2">
      <c r="B23" s="1957" t="s">
        <v>2118</v>
      </c>
      <c r="C23" s="1341">
        <v>84.040999999999997</v>
      </c>
      <c r="D23" s="1342" t="s">
        <v>2133</v>
      </c>
      <c r="E23" s="1343">
        <v>869439</v>
      </c>
      <c r="F23" s="1343">
        <v>0</v>
      </c>
      <c r="G23" s="1343">
        <f>E23</f>
        <v>869439</v>
      </c>
      <c r="H23" s="1343">
        <v>0</v>
      </c>
      <c r="I23" s="1343">
        <f>F23</f>
        <v>0</v>
      </c>
      <c r="J23" s="1343">
        <v>0</v>
      </c>
      <c r="K23" s="1343">
        <v>0</v>
      </c>
      <c r="L23" s="1340">
        <f t="shared" si="0"/>
        <v>869439</v>
      </c>
      <c r="M23" s="1343">
        <v>0</v>
      </c>
    </row>
    <row r="24" spans="2:14" ht="20.100000000000001" customHeight="1" x14ac:dyDescent="0.2">
      <c r="B24" s="1957" t="s">
        <v>2118</v>
      </c>
      <c r="C24" s="1341">
        <v>84.040999999999997</v>
      </c>
      <c r="D24" s="1342" t="s">
        <v>2134</v>
      </c>
      <c r="E24" s="1343">
        <v>27231</v>
      </c>
      <c r="F24" s="1343">
        <v>0</v>
      </c>
      <c r="G24" s="1343">
        <f>E24</f>
        <v>27231</v>
      </c>
      <c r="H24" s="1343">
        <v>0</v>
      </c>
      <c r="I24" s="1343">
        <f>F24</f>
        <v>0</v>
      </c>
      <c r="J24" s="1343">
        <v>0</v>
      </c>
      <c r="K24" s="1343">
        <v>0</v>
      </c>
      <c r="L24" s="1340">
        <f t="shared" si="0"/>
        <v>27231</v>
      </c>
      <c r="M24" s="1343">
        <v>0</v>
      </c>
    </row>
    <row r="25" spans="2:14" ht="20.100000000000001" customHeight="1" x14ac:dyDescent="0.2">
      <c r="B25" s="1957" t="s">
        <v>2118</v>
      </c>
      <c r="C25" s="1341">
        <v>84.040999999999997</v>
      </c>
      <c r="D25" s="1342" t="s">
        <v>2135</v>
      </c>
      <c r="E25" s="1343">
        <v>28869</v>
      </c>
      <c r="F25" s="1343">
        <v>27546</v>
      </c>
      <c r="G25" s="1343">
        <f>E25</f>
        <v>28869</v>
      </c>
      <c r="H25" s="1343">
        <v>0</v>
      </c>
      <c r="I25" s="1343">
        <f>F25</f>
        <v>27546</v>
      </c>
      <c r="J25" s="1343">
        <v>0</v>
      </c>
      <c r="K25" s="1343">
        <v>0</v>
      </c>
      <c r="L25" s="1340">
        <f t="shared" si="0"/>
        <v>56415</v>
      </c>
      <c r="M25" s="1343">
        <v>0</v>
      </c>
    </row>
    <row r="26" spans="2:14" ht="20.100000000000001" customHeight="1" x14ac:dyDescent="0.2">
      <c r="B26" s="1956" t="s">
        <v>2112</v>
      </c>
      <c r="C26" s="1341"/>
      <c r="D26" s="1342"/>
      <c r="E26" s="1343"/>
      <c r="F26" s="1343"/>
      <c r="G26" s="1343"/>
      <c r="H26" s="1343"/>
      <c r="I26" s="1343"/>
      <c r="J26" s="1343"/>
      <c r="K26" s="1343"/>
      <c r="L26" s="1340"/>
      <c r="M26" s="1343"/>
    </row>
    <row r="27" spans="2:14" ht="20.100000000000001" customHeight="1" x14ac:dyDescent="0.2">
      <c r="B27" s="1957" t="s">
        <v>974</v>
      </c>
      <c r="C27" s="1341">
        <v>84.01</v>
      </c>
      <c r="D27" s="1342" t="s">
        <v>2127</v>
      </c>
      <c r="E27" s="1343">
        <v>50671</v>
      </c>
      <c r="F27" s="1343">
        <v>43612</v>
      </c>
      <c r="G27" s="1343">
        <f t="shared" ref="G27:G33" si="1">E27</f>
        <v>50671</v>
      </c>
      <c r="H27" s="1343">
        <v>0</v>
      </c>
      <c r="I27" s="1343">
        <f t="shared" ref="I27:I33" si="2">F27</f>
        <v>43612</v>
      </c>
      <c r="J27" s="1343">
        <v>0</v>
      </c>
      <c r="K27" s="1343">
        <v>0</v>
      </c>
      <c r="L27" s="1340">
        <f t="shared" si="0"/>
        <v>94283</v>
      </c>
      <c r="M27" s="1343">
        <v>139320</v>
      </c>
    </row>
    <row r="28" spans="2:14" ht="20.100000000000001" customHeight="1" x14ac:dyDescent="0.2">
      <c r="B28" s="1957" t="s">
        <v>974</v>
      </c>
      <c r="C28" s="1341">
        <v>84.01</v>
      </c>
      <c r="D28" s="1342" t="s">
        <v>2128</v>
      </c>
      <c r="E28" s="1343">
        <v>0</v>
      </c>
      <c r="F28" s="1343">
        <v>72425</v>
      </c>
      <c r="G28" s="1343">
        <f t="shared" si="1"/>
        <v>0</v>
      </c>
      <c r="H28" s="1343">
        <v>0</v>
      </c>
      <c r="I28" s="1343">
        <f t="shared" si="2"/>
        <v>72425</v>
      </c>
      <c r="J28" s="1343">
        <v>0</v>
      </c>
      <c r="K28" s="1343">
        <v>0</v>
      </c>
      <c r="L28" s="1340">
        <f t="shared" si="0"/>
        <v>72425</v>
      </c>
      <c r="M28" s="1343">
        <v>170475</v>
      </c>
      <c r="N28" s="1344"/>
    </row>
    <row r="29" spans="2:14" ht="20.100000000000001" customHeight="1" x14ac:dyDescent="0.2">
      <c r="B29" s="1957" t="s">
        <v>782</v>
      </c>
      <c r="C29" s="1341">
        <v>84.367000000000004</v>
      </c>
      <c r="D29" s="1342" t="s">
        <v>2129</v>
      </c>
      <c r="E29" s="1343">
        <v>6276</v>
      </c>
      <c r="F29" s="1343">
        <v>692</v>
      </c>
      <c r="G29" s="1343">
        <f t="shared" si="1"/>
        <v>6276</v>
      </c>
      <c r="H29" s="1343">
        <v>0</v>
      </c>
      <c r="I29" s="1343">
        <f t="shared" si="2"/>
        <v>692</v>
      </c>
      <c r="J29" s="1343">
        <v>0</v>
      </c>
      <c r="K29" s="1343">
        <v>0</v>
      </c>
      <c r="L29" s="1340">
        <f t="shared" si="0"/>
        <v>6968</v>
      </c>
      <c r="M29" s="1343">
        <v>18824</v>
      </c>
      <c r="N29" s="1344"/>
    </row>
    <row r="30" spans="2:14" ht="20.100000000000001" customHeight="1" x14ac:dyDescent="0.2">
      <c r="B30" s="1957" t="s">
        <v>782</v>
      </c>
      <c r="C30" s="1341">
        <v>84.367000000000004</v>
      </c>
      <c r="D30" s="1342" t="s">
        <v>2130</v>
      </c>
      <c r="E30" s="1343">
        <v>0</v>
      </c>
      <c r="F30" s="1343">
        <v>28939</v>
      </c>
      <c r="G30" s="1343">
        <f t="shared" si="1"/>
        <v>0</v>
      </c>
      <c r="H30" s="1343">
        <v>0</v>
      </c>
      <c r="I30" s="1343">
        <f t="shared" si="2"/>
        <v>28939</v>
      </c>
      <c r="J30" s="1343">
        <v>0</v>
      </c>
      <c r="K30" s="1343">
        <v>0</v>
      </c>
      <c r="L30" s="1340">
        <f t="shared" si="0"/>
        <v>28939</v>
      </c>
      <c r="M30" s="1343">
        <v>43707</v>
      </c>
      <c r="N30" s="1344"/>
    </row>
    <row r="31" spans="2:14" ht="20.100000000000001" customHeight="1" x14ac:dyDescent="0.2">
      <c r="B31" s="1957" t="s">
        <v>2119</v>
      </c>
      <c r="C31" s="1341" t="s">
        <v>2124</v>
      </c>
      <c r="D31" s="1342" t="s">
        <v>2131</v>
      </c>
      <c r="E31" s="1343">
        <v>27772</v>
      </c>
      <c r="F31" s="1343">
        <v>85657</v>
      </c>
      <c r="G31" s="1343">
        <f t="shared" si="1"/>
        <v>27772</v>
      </c>
      <c r="H31" s="1343">
        <v>0</v>
      </c>
      <c r="I31" s="1343">
        <f t="shared" si="2"/>
        <v>85657</v>
      </c>
      <c r="J31" s="1343">
        <v>0</v>
      </c>
      <c r="K31" s="1343">
        <v>0</v>
      </c>
      <c r="L31" s="1340">
        <f t="shared" si="0"/>
        <v>113429</v>
      </c>
      <c r="M31" s="1343">
        <v>0</v>
      </c>
      <c r="N31" s="1344"/>
    </row>
    <row r="32" spans="2:14" ht="20.100000000000001" customHeight="1" x14ac:dyDescent="0.2">
      <c r="B32" s="1957" t="s">
        <v>2119</v>
      </c>
      <c r="C32" s="1341" t="s">
        <v>2124</v>
      </c>
      <c r="D32" s="1342" t="s">
        <v>2132</v>
      </c>
      <c r="E32" s="1343">
        <v>0</v>
      </c>
      <c r="F32" s="1343">
        <v>15759</v>
      </c>
      <c r="G32" s="1343">
        <f t="shared" si="1"/>
        <v>0</v>
      </c>
      <c r="H32" s="1343">
        <v>0</v>
      </c>
      <c r="I32" s="1343">
        <f t="shared" si="2"/>
        <v>15759</v>
      </c>
      <c r="J32" s="1343">
        <v>0</v>
      </c>
      <c r="K32" s="1343">
        <v>0</v>
      </c>
      <c r="L32" s="1340">
        <f t="shared" si="0"/>
        <v>15759</v>
      </c>
      <c r="M32" s="1343">
        <v>0</v>
      </c>
      <c r="N32" s="1344"/>
    </row>
    <row r="33" spans="2:14" ht="20.100000000000001" customHeight="1" x14ac:dyDescent="0.2">
      <c r="B33" s="1957" t="s">
        <v>2139</v>
      </c>
      <c r="C33" s="1341">
        <v>84.424000000000007</v>
      </c>
      <c r="D33" s="1342" t="s">
        <v>2140</v>
      </c>
      <c r="E33" s="1343">
        <v>0</v>
      </c>
      <c r="F33" s="1343">
        <v>3641</v>
      </c>
      <c r="G33" s="1343">
        <f t="shared" si="1"/>
        <v>0</v>
      </c>
      <c r="H33" s="1343">
        <v>0</v>
      </c>
      <c r="I33" s="1343">
        <f t="shared" si="2"/>
        <v>3641</v>
      </c>
      <c r="J33" s="1343">
        <v>0</v>
      </c>
      <c r="K33" s="1343">
        <v>0</v>
      </c>
      <c r="L33" s="1340">
        <f t="shared" si="0"/>
        <v>3641</v>
      </c>
      <c r="M33" s="1343">
        <v>11500</v>
      </c>
      <c r="N33" s="1344"/>
    </row>
    <row r="34" spans="2:14" ht="20.100000000000001" customHeight="1" x14ac:dyDescent="0.2">
      <c r="B34" s="1956" t="s">
        <v>2115</v>
      </c>
      <c r="C34" s="1341"/>
      <c r="D34" s="1342"/>
      <c r="E34" s="1343"/>
      <c r="F34" s="1343"/>
      <c r="G34" s="1343"/>
      <c r="H34" s="1343"/>
      <c r="I34" s="1343"/>
      <c r="J34" s="1343"/>
      <c r="K34" s="1343"/>
      <c r="L34" s="1340"/>
      <c r="M34" s="1343"/>
      <c r="N34" s="1344"/>
    </row>
    <row r="35" spans="2:14" ht="20.100000000000001" customHeight="1" x14ac:dyDescent="0.2">
      <c r="B35" s="1957" t="s">
        <v>2120</v>
      </c>
      <c r="C35" s="1341">
        <v>84.027000000000001</v>
      </c>
      <c r="D35" s="1342">
        <v>2017</v>
      </c>
      <c r="E35" s="1343">
        <v>165423</v>
      </c>
      <c r="F35" s="1343">
        <v>0</v>
      </c>
      <c r="G35" s="1343">
        <f>E35</f>
        <v>165423</v>
      </c>
      <c r="H35" s="1343">
        <v>0</v>
      </c>
      <c r="I35" s="1343">
        <f>F35</f>
        <v>0</v>
      </c>
      <c r="J35" s="1343">
        <v>0</v>
      </c>
      <c r="K35" s="1343">
        <v>0</v>
      </c>
      <c r="L35" s="1340">
        <f>G35+I35</f>
        <v>165423</v>
      </c>
      <c r="M35" s="1343">
        <v>0</v>
      </c>
      <c r="N35" s="1344"/>
    </row>
    <row r="36" spans="2:14" ht="20.100000000000001" customHeight="1" x14ac:dyDescent="0.2">
      <c r="B36" s="1957" t="s">
        <v>2120</v>
      </c>
      <c r="C36" s="1341">
        <v>84.027000000000001</v>
      </c>
      <c r="D36" s="1342">
        <v>2018</v>
      </c>
      <c r="E36" s="1343">
        <v>0</v>
      </c>
      <c r="F36" s="1343">
        <v>252338</v>
      </c>
      <c r="G36" s="1343">
        <f>E36</f>
        <v>0</v>
      </c>
      <c r="H36" s="1343">
        <v>0</v>
      </c>
      <c r="I36" s="1343">
        <f>F36</f>
        <v>252338</v>
      </c>
      <c r="J36" s="1343">
        <v>0</v>
      </c>
      <c r="K36" s="1343">
        <v>0</v>
      </c>
      <c r="L36" s="1340">
        <f>G36+I36</f>
        <v>252338</v>
      </c>
      <c r="M36" s="1343">
        <v>0</v>
      </c>
      <c r="N36" s="1344"/>
    </row>
    <row r="37" spans="2:14" ht="20.100000000000001" customHeight="1" x14ac:dyDescent="0.2">
      <c r="B37" s="1337" t="s">
        <v>2121</v>
      </c>
      <c r="C37" s="1341"/>
      <c r="D37" s="1342"/>
      <c r="E37" s="1343">
        <f>SUM(E23:E36)</f>
        <v>1175681</v>
      </c>
      <c r="F37" s="1343">
        <f>SUM(F22:F36)</f>
        <v>1400048</v>
      </c>
      <c r="G37" s="1343"/>
      <c r="H37" s="1343"/>
      <c r="I37" s="1343"/>
      <c r="J37" s="1343"/>
      <c r="K37" s="1343"/>
      <c r="L37" s="1340"/>
      <c r="M37" s="1343"/>
      <c r="N37" s="1344"/>
    </row>
    <row r="38" spans="2:14" ht="20.100000000000001" customHeight="1" x14ac:dyDescent="0.2">
      <c r="B38" s="1337"/>
      <c r="C38" s="1341"/>
      <c r="D38" s="1342"/>
      <c r="E38" s="1343"/>
      <c r="F38" s="1343"/>
      <c r="G38" s="1343"/>
      <c r="H38" s="1343"/>
      <c r="I38" s="1343"/>
      <c r="J38" s="1343"/>
      <c r="K38" s="1343"/>
      <c r="L38" s="1340"/>
      <c r="M38" s="1343"/>
      <c r="N38" s="1344"/>
    </row>
    <row r="39" spans="2:14" ht="20.100000000000001" customHeight="1" x14ac:dyDescent="0.2">
      <c r="B39" s="1337" t="s">
        <v>2117</v>
      </c>
      <c r="C39" s="1341"/>
      <c r="D39" s="1342"/>
      <c r="E39" s="1343"/>
      <c r="F39" s="1343"/>
      <c r="G39" s="1343"/>
      <c r="H39" s="1343"/>
      <c r="I39" s="1343"/>
      <c r="J39" s="1343"/>
      <c r="K39" s="1343"/>
      <c r="L39" s="1340"/>
      <c r="M39" s="1343"/>
      <c r="N39" s="1344"/>
    </row>
    <row r="40" spans="2:14" ht="20.100000000000001" customHeight="1" x14ac:dyDescent="0.2">
      <c r="B40" s="1956" t="s">
        <v>2112</v>
      </c>
      <c r="C40" s="1341"/>
      <c r="D40" s="1342"/>
      <c r="E40" s="1343"/>
      <c r="F40" s="1343"/>
      <c r="G40" s="1343"/>
      <c r="H40" s="1343"/>
      <c r="I40" s="1343"/>
      <c r="J40" s="1343"/>
      <c r="K40" s="1343"/>
      <c r="L40" s="1340"/>
      <c r="M40" s="1343"/>
      <c r="N40" s="1344"/>
    </row>
    <row r="41" spans="2:14" ht="20.100000000000001" customHeight="1" x14ac:dyDescent="0.2">
      <c r="B41" s="1957" t="s">
        <v>2122</v>
      </c>
      <c r="C41" s="1341">
        <v>93.778000000000006</v>
      </c>
      <c r="D41" s="1342" t="s">
        <v>2109</v>
      </c>
      <c r="E41" s="1343">
        <v>13157</v>
      </c>
      <c r="F41" s="1343">
        <v>8541</v>
      </c>
      <c r="G41" s="1343">
        <f>E41</f>
        <v>13157</v>
      </c>
      <c r="H41" s="1343">
        <v>0</v>
      </c>
      <c r="I41" s="1343">
        <f>F41</f>
        <v>8541</v>
      </c>
      <c r="J41" s="1343">
        <v>0</v>
      </c>
      <c r="K41" s="1343">
        <v>0</v>
      </c>
      <c r="L41" s="1340">
        <f>G41+I41</f>
        <v>21698</v>
      </c>
      <c r="M41" s="1343">
        <v>0</v>
      </c>
      <c r="N41" s="1344"/>
    </row>
    <row r="42" spans="2:14" ht="20.100000000000001" customHeight="1" x14ac:dyDescent="0.2">
      <c r="B42" s="1337" t="s">
        <v>2123</v>
      </c>
      <c r="C42" s="1341"/>
      <c r="D42" s="1342"/>
      <c r="E42" s="1343">
        <f>E19+E37+E41</f>
        <v>1292366</v>
      </c>
      <c r="F42" s="1343">
        <f>F19+F37+F41</f>
        <v>1541011</v>
      </c>
      <c r="G42" s="1343"/>
      <c r="H42" s="1343"/>
      <c r="I42" s="1343"/>
      <c r="J42" s="1343"/>
      <c r="K42" s="1343"/>
      <c r="L42" s="1340"/>
      <c r="M42" s="1343"/>
      <c r="N42" s="1344"/>
    </row>
    <row r="43" spans="2:14" ht="20.100000000000001" customHeight="1" x14ac:dyDescent="0.2">
      <c r="B43" s="1337"/>
      <c r="C43" s="1341"/>
      <c r="D43" s="1342"/>
      <c r="E43" s="1343"/>
      <c r="F43" s="1343"/>
      <c r="G43" s="1343"/>
      <c r="H43" s="1343"/>
      <c r="I43" s="1343"/>
      <c r="J43" s="1343"/>
      <c r="K43" s="1343"/>
      <c r="L43" s="1340"/>
      <c r="M43" s="1343"/>
      <c r="N43" s="1344"/>
    </row>
    <row r="44" spans="2:14" ht="20.100000000000001" customHeight="1" x14ac:dyDescent="0.2">
      <c r="B44" s="1337"/>
      <c r="C44" s="1341"/>
      <c r="D44" s="1342"/>
      <c r="E44" s="1343"/>
      <c r="F44" s="1343"/>
      <c r="G44" s="1343"/>
      <c r="H44" s="1343"/>
      <c r="I44" s="1343"/>
      <c r="J44" s="1343"/>
      <c r="K44" s="1343"/>
      <c r="L44" s="1340"/>
      <c r="M44" s="1343"/>
      <c r="N44" s="1344"/>
    </row>
    <row r="45" spans="2:14" ht="20.100000000000001" customHeight="1" x14ac:dyDescent="0.2">
      <c r="B45" s="1337"/>
      <c r="C45" s="1341"/>
      <c r="D45" s="1342"/>
      <c r="E45" s="1343"/>
      <c r="F45" s="1343"/>
      <c r="G45" s="1343"/>
      <c r="H45" s="1343"/>
      <c r="I45" s="1343"/>
      <c r="J45" s="1343"/>
      <c r="K45" s="1343"/>
      <c r="L45" s="1340"/>
      <c r="M45" s="1343"/>
      <c r="N45" s="1344"/>
    </row>
    <row r="46" spans="2:14" ht="20.100000000000001" customHeight="1" x14ac:dyDescent="0.2">
      <c r="B46" s="1337"/>
      <c r="C46" s="1341"/>
      <c r="D46" s="1342"/>
      <c r="E46" s="1343"/>
      <c r="F46" s="1343"/>
      <c r="G46" s="1343"/>
      <c r="H46" s="1343"/>
      <c r="I46" s="1343"/>
      <c r="J46" s="1343"/>
      <c r="K46" s="1343"/>
      <c r="L46" s="1340"/>
      <c r="M46" s="1343"/>
      <c r="N46" s="1344"/>
    </row>
    <row r="47" spans="2:14" ht="20.100000000000001" customHeight="1" x14ac:dyDescent="0.2">
      <c r="B47" s="1337"/>
      <c r="C47" s="1341"/>
      <c r="D47" s="1342"/>
      <c r="E47" s="1343"/>
      <c r="F47" s="1343"/>
      <c r="G47" s="1343"/>
      <c r="H47" s="1343"/>
      <c r="I47" s="1343"/>
      <c r="J47" s="1343"/>
      <c r="K47" s="1343"/>
      <c r="L47" s="1340"/>
      <c r="M47" s="1343"/>
      <c r="N47" s="1344"/>
    </row>
    <row r="48" spans="2:14" ht="20.100000000000001" customHeight="1" x14ac:dyDescent="0.2">
      <c r="B48" s="1337"/>
      <c r="C48" s="1341"/>
      <c r="D48" s="1342"/>
      <c r="E48" s="1343"/>
      <c r="F48" s="1343"/>
      <c r="G48" s="1343"/>
      <c r="H48" s="1343"/>
      <c r="I48" s="1343"/>
      <c r="J48" s="1343"/>
      <c r="K48" s="1343"/>
      <c r="L48" s="1340"/>
      <c r="M48" s="1343"/>
      <c r="N48" s="1344"/>
    </row>
    <row r="49" spans="2:14" ht="20.100000000000001" customHeight="1" x14ac:dyDescent="0.2">
      <c r="B49" s="1337"/>
      <c r="C49" s="1341"/>
      <c r="D49" s="1342"/>
      <c r="E49" s="1343"/>
      <c r="F49" s="1343"/>
      <c r="G49" s="1343"/>
      <c r="H49" s="1343"/>
      <c r="I49" s="1343"/>
      <c r="J49" s="1343"/>
      <c r="K49" s="1343"/>
      <c r="L49" s="1340"/>
      <c r="M49" s="1343"/>
      <c r="N49" s="1344"/>
    </row>
    <row r="50" spans="2:14" ht="20.100000000000001" customHeight="1" x14ac:dyDescent="0.2">
      <c r="B50" s="1337"/>
      <c r="C50" s="1341"/>
      <c r="D50" s="1342"/>
      <c r="E50" s="1343"/>
      <c r="F50" s="1343"/>
      <c r="G50" s="1343"/>
      <c r="H50" s="1343"/>
      <c r="I50" s="1343"/>
      <c r="J50" s="1343"/>
      <c r="K50" s="1343"/>
      <c r="L50" s="1340"/>
      <c r="M50" s="1343"/>
      <c r="N50" s="1344"/>
    </row>
    <row r="51" spans="2:14" ht="12.75" customHeight="1" x14ac:dyDescent="0.2">
      <c r="B51" s="1345"/>
      <c r="C51" s="1346"/>
      <c r="D51" s="1347"/>
      <c r="E51" s="1348"/>
      <c r="F51" s="1348"/>
      <c r="G51" s="1348"/>
      <c r="H51" s="1348"/>
      <c r="I51" s="1348"/>
      <c r="J51" s="1348"/>
      <c r="K51" s="1348"/>
      <c r="L51" s="1348"/>
      <c r="M51" s="1348"/>
      <c r="N51" s="1344"/>
    </row>
    <row r="52" spans="2:14" x14ac:dyDescent="0.2">
      <c r="B52" s="1257"/>
      <c r="C52" s="1349"/>
      <c r="D52" s="1350"/>
      <c r="E52" s="1257"/>
      <c r="F52" s="1257"/>
      <c r="G52" s="1250"/>
      <c r="H52" s="1250"/>
      <c r="I52" s="1250"/>
      <c r="J52" s="1250"/>
      <c r="K52" s="1250"/>
      <c r="L52" s="1250"/>
      <c r="M52" s="1257"/>
      <c r="N52" s="1344"/>
    </row>
    <row r="53" spans="2:14" ht="13.5" customHeight="1" x14ac:dyDescent="0.2">
      <c r="B53" s="1282" t="s">
        <v>1840</v>
      </c>
      <c r="C53" s="1349"/>
      <c r="D53" s="1350"/>
      <c r="E53" s="1257"/>
      <c r="F53" s="1257"/>
      <c r="G53" s="1250"/>
      <c r="H53" s="1250"/>
      <c r="I53" s="1250"/>
      <c r="J53" s="1250"/>
      <c r="K53" s="1250"/>
      <c r="L53" s="1250"/>
      <c r="M53" s="1257"/>
      <c r="N53" s="1344"/>
    </row>
    <row r="54" spans="2:14" ht="8.25" customHeight="1" x14ac:dyDescent="0.2">
      <c r="B54" s="1282"/>
      <c r="C54" s="1349"/>
      <c r="D54" s="1350"/>
      <c r="E54" s="1257"/>
      <c r="F54" s="1257"/>
      <c r="G54" s="1250"/>
      <c r="H54" s="1250"/>
      <c r="I54" s="1250"/>
      <c r="J54" s="1250"/>
      <c r="K54" s="1250"/>
      <c r="L54" s="1250"/>
      <c r="M54" s="1257"/>
      <c r="N54" s="1344"/>
    </row>
    <row r="55" spans="2:14" x14ac:dyDescent="0.2">
      <c r="B55" s="1351" t="s">
        <v>1951</v>
      </c>
      <c r="C55" s="1352"/>
      <c r="D55" s="1353"/>
      <c r="E55" s="1354"/>
      <c r="F55" s="1354"/>
      <c r="G55" s="1354"/>
      <c r="H55" s="1354"/>
      <c r="I55" s="317"/>
      <c r="J55" s="317"/>
    </row>
    <row r="56" spans="2:14" x14ac:dyDescent="0.2">
      <c r="B56" s="1277"/>
      <c r="C56" s="1355"/>
      <c r="D56" s="1356"/>
      <c r="E56" s="1278"/>
      <c r="F56" s="1278"/>
      <c r="G56" s="317"/>
      <c r="H56" s="317"/>
      <c r="I56" s="317"/>
      <c r="J56" s="317"/>
    </row>
    <row r="57" spans="2:14" ht="13.5" customHeight="1" x14ac:dyDescent="0.2">
      <c r="B57" s="1276" t="s">
        <v>1308</v>
      </c>
      <c r="G57" s="317"/>
      <c r="H57" s="317"/>
      <c r="I57" s="317"/>
      <c r="J57" s="317"/>
    </row>
    <row r="58" spans="2:14" ht="13.5" customHeight="1" x14ac:dyDescent="0.2">
      <c r="B58" s="1359"/>
      <c r="C58" s="1360"/>
      <c r="D58" s="1361"/>
      <c r="E58" s="1297"/>
      <c r="F58" s="1297"/>
      <c r="G58" s="1297"/>
      <c r="H58" s="1297"/>
      <c r="I58" s="1297"/>
      <c r="J58" s="1297"/>
      <c r="K58" s="1362"/>
      <c r="L58" s="1362"/>
      <c r="M58" s="1297"/>
    </row>
    <row r="59" spans="2:14" ht="9.6" customHeight="1" x14ac:dyDescent="0.2">
      <c r="B59" s="1363"/>
      <c r="G59" s="317"/>
      <c r="H59" s="317"/>
      <c r="I59" s="317"/>
      <c r="J59" s="317"/>
    </row>
    <row r="60" spans="2:14" ht="11.25" customHeight="1" x14ac:dyDescent="0.2">
      <c r="B60" s="1364" t="s">
        <v>1841</v>
      </c>
      <c r="C60" s="1365"/>
      <c r="D60" s="1365"/>
      <c r="E60" s="1365"/>
      <c r="F60" s="1365"/>
      <c r="G60" s="1365"/>
      <c r="H60" s="1365"/>
      <c r="I60" s="1366"/>
      <c r="J60" s="1366"/>
      <c r="K60" s="1366"/>
      <c r="L60" s="1366"/>
      <c r="M60" s="1366"/>
    </row>
    <row r="61" spans="2:14" ht="11.25" customHeight="1" x14ac:dyDescent="0.2">
      <c r="B61" s="1367" t="s">
        <v>1666</v>
      </c>
      <c r="C61" s="1366"/>
      <c r="D61" s="1366"/>
      <c r="E61" s="1366"/>
      <c r="F61" s="1366"/>
      <c r="G61" s="1366"/>
      <c r="H61" s="1366"/>
      <c r="I61" s="1366"/>
      <c r="J61" s="1366"/>
      <c r="K61" s="1366"/>
      <c r="L61" s="1366"/>
      <c r="M61" s="1366"/>
    </row>
    <row r="62" spans="2:14" ht="3.95" customHeight="1" x14ac:dyDescent="0.2">
      <c r="B62" s="1367"/>
      <c r="C62" s="1366"/>
      <c r="D62" s="1366"/>
      <c r="E62" s="1366"/>
      <c r="F62" s="1366"/>
      <c r="G62" s="1366"/>
      <c r="H62" s="1366"/>
      <c r="I62" s="1366"/>
      <c r="J62" s="1366"/>
      <c r="K62" s="1366"/>
      <c r="L62" s="1366"/>
      <c r="M62" s="1366"/>
    </row>
    <row r="63" spans="2:14" ht="11.25" customHeight="1" x14ac:dyDescent="0.2">
      <c r="B63" s="1364" t="s">
        <v>1842</v>
      </c>
      <c r="C63" s="1366"/>
      <c r="D63" s="1366"/>
      <c r="E63" s="1366"/>
      <c r="F63" s="1366"/>
      <c r="G63" s="1366"/>
      <c r="H63" s="1366"/>
      <c r="I63" s="1366"/>
      <c r="J63" s="1366"/>
      <c r="K63" s="1366"/>
      <c r="L63" s="1366"/>
      <c r="M63" s="1366"/>
    </row>
    <row r="64" spans="2:14" ht="11.25" customHeight="1" x14ac:dyDescent="0.2">
      <c r="B64" s="1300" t="s">
        <v>1667</v>
      </c>
      <c r="C64" s="1368"/>
      <c r="D64" s="1369"/>
      <c r="E64" s="1300"/>
      <c r="F64" s="1300"/>
      <c r="G64" s="1300"/>
      <c r="H64" s="1300"/>
      <c r="I64" s="1300"/>
      <c r="J64" s="1300"/>
      <c r="K64" s="1370"/>
      <c r="L64" s="1370"/>
      <c r="M64" s="1300"/>
    </row>
    <row r="65" spans="2:13" ht="3.95" customHeight="1" x14ac:dyDescent="0.2">
      <c r="B65" s="1300"/>
      <c r="C65" s="1368"/>
      <c r="D65" s="1369"/>
      <c r="E65" s="1300"/>
      <c r="F65" s="1300"/>
      <c r="G65" s="1300"/>
      <c r="H65" s="1300"/>
      <c r="I65" s="1300"/>
      <c r="J65" s="1300"/>
      <c r="K65" s="1370"/>
      <c r="L65" s="1370"/>
      <c r="M65" s="1300"/>
    </row>
    <row r="66" spans="2:13" ht="11.25" customHeight="1" x14ac:dyDescent="0.2">
      <c r="B66" s="1371" t="s">
        <v>1843</v>
      </c>
      <c r="C66" s="1368"/>
      <c r="D66" s="1369"/>
      <c r="E66" s="1300"/>
      <c r="F66" s="1300"/>
      <c r="G66" s="1300"/>
      <c r="H66" s="1300"/>
      <c r="I66" s="1300"/>
      <c r="J66" s="1300"/>
      <c r="K66" s="1370"/>
      <c r="L66" s="1370"/>
      <c r="M66" s="1300"/>
    </row>
    <row r="67" spans="2:13" ht="3.95" customHeight="1" x14ac:dyDescent="0.2">
      <c r="B67" s="1371"/>
      <c r="C67" s="1368"/>
      <c r="D67" s="1369"/>
      <c r="E67" s="1300"/>
      <c r="F67" s="1300"/>
      <c r="G67" s="1300"/>
      <c r="H67" s="1300"/>
      <c r="I67" s="1300"/>
      <c r="J67" s="1300"/>
      <c r="K67" s="1370"/>
      <c r="L67" s="1370"/>
      <c r="M67" s="1300"/>
    </row>
    <row r="68" spans="2:13" ht="11.25" customHeight="1" x14ac:dyDescent="0.2">
      <c r="B68" s="1372" t="s">
        <v>1844</v>
      </c>
      <c r="C68" s="1368"/>
      <c r="D68" s="1369"/>
      <c r="E68" s="1300"/>
      <c r="F68" s="1300"/>
      <c r="G68" s="1300"/>
      <c r="H68" s="1300"/>
      <c r="I68" s="1300"/>
      <c r="J68" s="1300"/>
      <c r="K68" s="1370"/>
      <c r="L68" s="1370"/>
      <c r="M68" s="1300"/>
    </row>
    <row r="69" spans="2:13" ht="11.25" customHeight="1" x14ac:dyDescent="0.2">
      <c r="B69" s="1300" t="s">
        <v>1668</v>
      </c>
      <c r="G69" s="317"/>
      <c r="H69" s="317"/>
      <c r="I69" s="317"/>
      <c r="J69" s="317"/>
    </row>
    <row r="70" spans="2:13" ht="11.1" customHeight="1" x14ac:dyDescent="0.2">
      <c r="B70" s="1300"/>
      <c r="G70" s="317"/>
      <c r="H70" s="317"/>
      <c r="I70" s="317"/>
      <c r="J70" s="317"/>
    </row>
    <row r="71" spans="2:13" ht="11.1" customHeight="1" x14ac:dyDescent="0.2">
      <c r="B71" s="1300"/>
      <c r="G71" s="317"/>
      <c r="H71" s="317"/>
      <c r="I71" s="317"/>
      <c r="J71" s="317"/>
    </row>
    <row r="72" spans="2:13" ht="13.5" customHeight="1" x14ac:dyDescent="0.2">
      <c r="M72" s="1373"/>
    </row>
    <row r="73" spans="2:13" ht="13.5" customHeight="1" x14ac:dyDescent="0.2">
      <c r="M73" s="1373"/>
    </row>
    <row r="74" spans="2:13" ht="13.5" customHeight="1" x14ac:dyDescent="0.2">
      <c r="M74" s="1373"/>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spans="7:10" ht="13.5" customHeight="1" x14ac:dyDescent="0.2">
      <c r="G81" s="317"/>
      <c r="H81" s="317"/>
      <c r="I81" s="317"/>
      <c r="J81" s="317"/>
    </row>
    <row r="82" spans="7:10" ht="13.5" customHeight="1" x14ac:dyDescent="0.2"/>
    <row r="83" spans="7:10" ht="13.5" customHeight="1" x14ac:dyDescent="0.2"/>
    <row r="84" spans="7:10" ht="13.5" customHeight="1" x14ac:dyDescent="0.2"/>
    <row r="85" spans="7:10" ht="25.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4.7" customHeight="1" x14ac:dyDescent="0.2"/>
    <row r="135" ht="12.2"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4.7" customHeight="1" x14ac:dyDescent="0.2"/>
    <row r="17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6" zoomScale="110" zoomScaleNormal="110" workbookViewId="0">
      <selection sqref="A1:F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Lemont Twp HSD 210</v>
      </c>
      <c r="C1" s="2471"/>
      <c r="D1" s="2471"/>
      <c r="E1" s="2471"/>
      <c r="F1" s="2471"/>
      <c r="G1" s="2471"/>
      <c r="H1" s="2471"/>
      <c r="I1" s="2471"/>
      <c r="J1" s="1422"/>
    </row>
    <row r="2" spans="2:10" s="317" customFormat="1" ht="12.75" customHeight="1" x14ac:dyDescent="0.2">
      <c r="B2" s="2472">
        <f>'Single Audit Cover'!E7</f>
        <v>7016210017</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t="s">
        <v>2136</v>
      </c>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t="s">
        <v>2136</v>
      </c>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v>84.040999999999997</v>
      </c>
      <c r="C38" s="2466" t="s">
        <v>2137</v>
      </c>
      <c r="D38" s="2467"/>
      <c r="E38" s="2467"/>
      <c r="F38" s="2468"/>
      <c r="G38" s="2481">
        <v>896985</v>
      </c>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896985</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F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Lemont Twp HSD 210</v>
      </c>
      <c r="C1" s="2470"/>
      <c r="D1" s="2470"/>
      <c r="E1" s="2470"/>
      <c r="F1" s="2470"/>
      <c r="G1" s="2470"/>
      <c r="H1" s="2470"/>
      <c r="I1" s="2470"/>
      <c r="J1" s="2470"/>
      <c r="K1" s="2470"/>
      <c r="L1" s="1374"/>
      <c r="M1" s="1374"/>
    </row>
    <row r="2" spans="1:13" ht="12" customHeight="1" x14ac:dyDescent="0.2">
      <c r="B2" s="2472">
        <f>'Single Audit Cover'!E7</f>
        <v>7016210017</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sqref="A1:F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Lemont Twp HSD 210</v>
      </c>
      <c r="C1" s="2497"/>
      <c r="D1" s="2497"/>
      <c r="E1" s="2497"/>
      <c r="F1" s="2497"/>
      <c r="G1" s="2497"/>
      <c r="H1" s="2497"/>
      <c r="I1" s="2497"/>
      <c r="J1" s="2497"/>
      <c r="K1" s="2497"/>
      <c r="L1" s="1465"/>
    </row>
    <row r="2" spans="1:12" ht="12.75" customHeight="1" x14ac:dyDescent="0.2">
      <c r="B2" s="2498">
        <f>'Single Audit Cover'!E7</f>
        <v>7016210017</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sqref="A1:F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Lemont Twp HSD 210</v>
      </c>
      <c r="C1" s="2470"/>
      <c r="D1" s="2470"/>
      <c r="E1" s="1491"/>
    </row>
    <row r="2" spans="2:5" s="1282" customFormat="1" ht="12.75" customHeight="1" x14ac:dyDescent="0.2">
      <c r="B2" s="2472">
        <f>'Single Audit Cover'!E7</f>
        <v>7016210017</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1216952619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1.2978999999999999E-2</v>
      </c>
      <c r="E10" s="356" t="s">
        <v>1062</v>
      </c>
      <c r="F10" s="355">
        <v>1.5319999999999999E-3</v>
      </c>
      <c r="G10" s="356" t="s">
        <v>1062</v>
      </c>
      <c r="H10" s="355">
        <v>5.9699999999999998E-4</v>
      </c>
      <c r="I10" s="356" t="s">
        <v>1063</v>
      </c>
      <c r="J10" s="1754">
        <f>ROUND(D10+F10+H10,5)</f>
        <v>1.511E-2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24038257</v>
      </c>
      <c r="E16" s="356"/>
      <c r="F16" s="1755">
        <f>SUM('Acct Summary 7-8'!C17,'Acct Summary 7-8'!D17,'Acct Summary 7-8'!F17)</f>
        <v>22728320</v>
      </c>
      <c r="G16" s="356"/>
      <c r="H16" s="1755">
        <f>SUM(D16-F16)</f>
        <v>1309937</v>
      </c>
      <c r="I16" s="222"/>
      <c r="J16" s="1755">
        <f>SUM('Acct Summary 7-8'!C81,'Acct Summary 7-8'!D81,'Acct Summary 7-8'!F81,'Acct Summary 7-8'!I81)</f>
        <v>22489789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83969730.71100001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41153230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Lemont Twp HSD 210</v>
      </c>
      <c r="E7" s="391"/>
      <c r="G7" s="252"/>
      <c r="H7" s="387"/>
      <c r="I7" s="387"/>
      <c r="J7" s="387"/>
      <c r="K7" s="387"/>
      <c r="L7" s="329"/>
      <c r="M7" s="329"/>
      <c r="N7" s="329"/>
      <c r="O7" s="329"/>
      <c r="P7" s="329"/>
    </row>
    <row r="8" spans="1:18" ht="12.75" x14ac:dyDescent="0.2">
      <c r="A8" s="329"/>
      <c r="B8" s="329"/>
      <c r="C8" s="389" t="s">
        <v>1187</v>
      </c>
      <c r="D8" s="392">
        <f>COVER!A13</f>
        <v>7016210017</v>
      </c>
      <c r="E8" s="393"/>
      <c r="G8" s="329"/>
      <c r="H8" s="329"/>
      <c r="I8" s="329"/>
      <c r="J8" s="329"/>
      <c r="K8" s="329"/>
      <c r="L8" s="329"/>
      <c r="M8" s="329"/>
      <c r="N8" s="329"/>
      <c r="O8" s="329"/>
      <c r="P8" s="329"/>
    </row>
    <row r="9" spans="1:18" ht="12.75" x14ac:dyDescent="0.2">
      <c r="A9" s="329"/>
      <c r="B9" s="329"/>
      <c r="C9" s="389" t="s">
        <v>737</v>
      </c>
      <c r="D9" s="394" t="str">
        <f>COVER!A15</f>
        <v>Cook\DuPage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22489789</v>
      </c>
      <c r="I12" s="404"/>
      <c r="J12" s="404"/>
      <c r="K12" s="405">
        <f>TRUNC((H12/H13*100000),5)/100000</f>
        <v>0.93718114600000002</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23997270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-40987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22728320</v>
      </c>
      <c r="I17" s="404"/>
      <c r="J17" s="416"/>
      <c r="K17" s="405">
        <f>TRUNC((H17/H18*100000),5)/100000</f>
        <v>0.94712106830000009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23997270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-40987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22494232</v>
      </c>
      <c r="I24" s="422"/>
      <c r="J24" s="422"/>
      <c r="K24" s="423">
        <f>TRUNC(((H24/H25*100000)/100000),2)</f>
        <v>356.29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63134.222220000003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15629930.962130001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41153230</v>
      </c>
      <c r="I32" s="420"/>
      <c r="J32" s="420"/>
      <c r="K32" s="423">
        <f>TRUNC(100-((((H32/H33*100))*100)/100),2)</f>
        <v>50.99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83969730.71100001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3" activePane="bottomLeft" state="frozen"/>
      <selection activeCell="A41" sqref="A41"/>
      <selection pane="bottomLeft" activeCell="A41" sqref="A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11425918</v>
      </c>
      <c r="D4" s="466">
        <v>4664504</v>
      </c>
      <c r="E4" s="466">
        <v>2820212</v>
      </c>
      <c r="F4" s="466">
        <v>1136802</v>
      </c>
      <c r="G4" s="466">
        <v>545203</v>
      </c>
      <c r="H4" s="466"/>
      <c r="I4" s="466">
        <v>5267008</v>
      </c>
      <c r="J4" s="467">
        <v>136283</v>
      </c>
      <c r="K4" s="466"/>
      <c r="L4" s="466">
        <v>461734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11425918</v>
      </c>
      <c r="D13" s="1759">
        <f t="shared" ref="D13:L13" si="0">SUM(D4:D12)</f>
        <v>4664504</v>
      </c>
      <c r="E13" s="1759">
        <f t="shared" si="0"/>
        <v>2820212</v>
      </c>
      <c r="F13" s="1759">
        <f t="shared" si="0"/>
        <v>1136802</v>
      </c>
      <c r="G13" s="1759">
        <f t="shared" si="0"/>
        <v>545203</v>
      </c>
      <c r="H13" s="1759">
        <f t="shared" si="0"/>
        <v>0</v>
      </c>
      <c r="I13" s="1759">
        <f t="shared" si="0"/>
        <v>5267008</v>
      </c>
      <c r="J13" s="1759">
        <f t="shared" si="0"/>
        <v>136283</v>
      </c>
      <c r="K13" s="1759">
        <f t="shared" si="0"/>
        <v>0</v>
      </c>
      <c r="L13" s="1759">
        <f t="shared" si="0"/>
        <v>461734</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5469945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72593369</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2001430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f>
        <v>2973233</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548114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2820212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38333018</v>
      </c>
    </row>
    <row r="23" spans="1:14" ht="13.5" customHeight="1" thickBot="1" x14ac:dyDescent="0.25">
      <c r="A23" s="1758" t="s">
        <v>664</v>
      </c>
      <c r="B23" s="1763"/>
      <c r="C23" s="468"/>
      <c r="D23" s="468"/>
      <c r="E23" s="468"/>
      <c r="F23" s="468"/>
      <c r="G23" s="468"/>
      <c r="H23" s="468"/>
      <c r="I23" s="468"/>
      <c r="J23" s="468"/>
      <c r="K23" s="468"/>
      <c r="L23" s="468"/>
      <c r="M23" s="1710">
        <f>SUM(M15:M22)</f>
        <v>83586091</v>
      </c>
      <c r="N23" s="1710">
        <f>SUM(N21:N22)</f>
        <v>41153230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4443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461734</v>
      </c>
      <c r="M33" s="468"/>
      <c r="N33" s="469"/>
    </row>
    <row r="34" spans="1:14" ht="13.5" customHeight="1" thickBot="1" x14ac:dyDescent="0.25">
      <c r="A34" s="1760" t="s">
        <v>675</v>
      </c>
      <c r="B34" s="1761"/>
      <c r="C34" s="1762">
        <f>SUM(C25:C33)</f>
        <v>4443</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461734</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41153230</v>
      </c>
    </row>
    <row r="37" spans="1:14" ht="13.5" thickBot="1" x14ac:dyDescent="0.25">
      <c r="A37" s="1758" t="s">
        <v>674</v>
      </c>
      <c r="B37" s="1763"/>
      <c r="C37" s="477"/>
      <c r="D37" s="477"/>
      <c r="E37" s="477"/>
      <c r="F37" s="477"/>
      <c r="G37" s="477"/>
      <c r="H37" s="477"/>
      <c r="I37" s="477"/>
      <c r="J37" s="477"/>
      <c r="K37" s="477"/>
      <c r="L37" s="480"/>
      <c r="M37" s="468"/>
      <c r="N37" s="1710">
        <f>SUM(N36:N36)</f>
        <v>41153230</v>
      </c>
    </row>
    <row r="38" spans="1:14" s="329" customFormat="1" ht="13.5" customHeight="1" thickTop="1" x14ac:dyDescent="0.2">
      <c r="A38" s="496" t="s">
        <v>440</v>
      </c>
      <c r="B38" s="483">
        <v>714</v>
      </c>
      <c r="C38" s="466"/>
      <c r="D38" s="466">
        <v>4664504</v>
      </c>
      <c r="E38" s="466">
        <v>2820212</v>
      </c>
      <c r="F38" s="466">
        <v>1136802</v>
      </c>
      <c r="G38" s="466">
        <v>545203</v>
      </c>
      <c r="H38" s="466"/>
      <c r="I38" s="466"/>
      <c r="J38" s="467">
        <v>136283</v>
      </c>
      <c r="K38" s="466"/>
      <c r="L38" s="481"/>
      <c r="M38" s="497"/>
      <c r="N38" s="497"/>
    </row>
    <row r="39" spans="1:14" s="329" customFormat="1" ht="13.5" customHeight="1" x14ac:dyDescent="0.2">
      <c r="A39" s="496" t="s">
        <v>360</v>
      </c>
      <c r="B39" s="483">
        <v>730</v>
      </c>
      <c r="C39" s="466">
        <v>11421475</v>
      </c>
      <c r="D39" s="466"/>
      <c r="E39" s="466"/>
      <c r="F39" s="466"/>
      <c r="G39" s="466"/>
      <c r="H39" s="466"/>
      <c r="I39" s="466">
        <v>5267008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83586091</v>
      </c>
      <c r="N40" s="497"/>
    </row>
    <row r="41" spans="1:14" ht="13.5" customHeight="1" thickBot="1" x14ac:dyDescent="0.25">
      <c r="A41" s="1758" t="s">
        <v>676</v>
      </c>
      <c r="B41" s="1728"/>
      <c r="C41" s="1710">
        <f>(SUM(C34,C37,C38,C39))</f>
        <v>11425918</v>
      </c>
      <c r="D41" s="1710">
        <f t="shared" ref="D41:L41" si="2">SUM(D34,D37,D38:D39)</f>
        <v>4664504</v>
      </c>
      <c r="E41" s="1710">
        <f t="shared" si="2"/>
        <v>2820212</v>
      </c>
      <c r="F41" s="1710">
        <f t="shared" si="2"/>
        <v>1136802</v>
      </c>
      <c r="G41" s="1710">
        <f t="shared" si="2"/>
        <v>545203</v>
      </c>
      <c r="H41" s="1710">
        <f t="shared" si="2"/>
        <v>0</v>
      </c>
      <c r="I41" s="1710">
        <f t="shared" si="2"/>
        <v>5267008</v>
      </c>
      <c r="J41" s="1710">
        <f t="shared" si="2"/>
        <v>136283</v>
      </c>
      <c r="K41" s="1710">
        <f t="shared" si="2"/>
        <v>0</v>
      </c>
      <c r="L41" s="1710">
        <f t="shared" si="2"/>
        <v>461734</v>
      </c>
      <c r="M41" s="1710">
        <f>SUM(M40)</f>
        <v>83586091</v>
      </c>
      <c r="N41" s="1710">
        <f>SUM(N37)</f>
        <v>41153230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4" activePane="bottomLeft" state="frozenSplit"/>
      <selection activeCell="A41" sqref="A41"/>
      <selection pane="bottomLeft" activeCell="A41" sqref="A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17290369</v>
      </c>
      <c r="D4" s="1764">
        <f>'Revenues 9-14'!D109</f>
        <v>2493980</v>
      </c>
      <c r="E4" s="1764">
        <f>'Revenues 9-14'!E109</f>
        <v>4181121</v>
      </c>
      <c r="F4" s="1764">
        <f>'Revenues 9-14'!F109</f>
        <v>652816</v>
      </c>
      <c r="G4" s="1764">
        <f>'Revenues 9-14'!G109</f>
        <v>707662</v>
      </c>
      <c r="H4" s="1764">
        <f>'Revenues 9-14'!H109</f>
        <v>0</v>
      </c>
      <c r="I4" s="1764">
        <f>'Revenues 9-14'!I109</f>
        <v>61105</v>
      </c>
      <c r="J4" s="1764">
        <f>'Revenues 9-14'!J109</f>
        <v>347960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1321837</v>
      </c>
      <c r="D6" s="1765">
        <f>'Revenues 9-14'!D173</f>
        <v>0</v>
      </c>
      <c r="E6" s="1765">
        <f>'Revenues 9-14'!E173</f>
        <v>0</v>
      </c>
      <c r="F6" s="1765">
        <f>'Revenues 9-14'!F173</f>
        <v>710564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1507586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20119792</v>
      </c>
      <c r="D8" s="1710">
        <f t="shared" ref="D8:K8" si="0">SUM(D4:D7)</f>
        <v>2493980</v>
      </c>
      <c r="E8" s="1710">
        <f t="shared" si="0"/>
        <v>4181121</v>
      </c>
      <c r="F8" s="1710">
        <f t="shared" si="0"/>
        <v>1363380</v>
      </c>
      <c r="G8" s="1710">
        <f t="shared" si="0"/>
        <v>707662</v>
      </c>
      <c r="H8" s="1710">
        <f t="shared" si="0"/>
        <v>0</v>
      </c>
      <c r="I8" s="1710">
        <f t="shared" si="0"/>
        <v>61105</v>
      </c>
      <c r="J8" s="1710">
        <f t="shared" si="0"/>
        <v>347960</v>
      </c>
      <c r="K8" s="1710">
        <f t="shared" si="0"/>
        <v>0</v>
      </c>
      <c r="L8" s="347"/>
    </row>
    <row r="9" spans="1:13" ht="15.75" thickTop="1" x14ac:dyDescent="0.2">
      <c r="A9" s="514" t="s">
        <v>1752</v>
      </c>
      <c r="B9" s="515">
        <v>3998</v>
      </c>
      <c r="C9" s="481">
        <v>8076289</v>
      </c>
      <c r="D9" s="516"/>
      <c r="E9" s="481"/>
      <c r="F9" s="481"/>
      <c r="G9" s="517"/>
      <c r="H9" s="481"/>
      <c r="I9" s="509" t="s">
        <v>1231</v>
      </c>
      <c r="J9" s="478"/>
      <c r="K9" s="481"/>
      <c r="L9" s="347"/>
    </row>
    <row r="10" spans="1:13" s="519" customFormat="1" ht="13.5" thickBot="1" x14ac:dyDescent="0.25">
      <c r="A10" s="1758" t="s">
        <v>1235</v>
      </c>
      <c r="B10" s="1731"/>
      <c r="C10" s="1710">
        <f>SUM(C8:C9)</f>
        <v>28196081</v>
      </c>
      <c r="D10" s="1710">
        <f t="shared" ref="D10:K10" si="1">SUM(D8:D9)</f>
        <v>2493980</v>
      </c>
      <c r="E10" s="1710">
        <f t="shared" si="1"/>
        <v>4181121</v>
      </c>
      <c r="F10" s="1710">
        <f t="shared" si="1"/>
        <v>1363380</v>
      </c>
      <c r="G10" s="1710">
        <f t="shared" si="1"/>
        <v>707662</v>
      </c>
      <c r="H10" s="1710">
        <f t="shared" si="1"/>
        <v>0</v>
      </c>
      <c r="I10" s="1710">
        <f t="shared" si="1"/>
        <v>61105</v>
      </c>
      <c r="J10" s="1710">
        <f t="shared" si="1"/>
        <v>347960</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13284434</v>
      </c>
      <c r="D12" s="520" t="s">
        <v>1231</v>
      </c>
      <c r="E12" s="468" t="s">
        <v>1231</v>
      </c>
      <c r="F12" s="468" t="s">
        <v>1231</v>
      </c>
      <c r="G12" s="1764">
        <f>'Expenditures 15-22'!K229</f>
        <v>241583</v>
      </c>
      <c r="H12" s="521"/>
      <c r="I12" s="468" t="s">
        <v>1231</v>
      </c>
      <c r="J12" s="468" t="s">
        <v>1231</v>
      </c>
      <c r="K12" s="521" t="s">
        <v>1231</v>
      </c>
      <c r="L12" s="347"/>
    </row>
    <row r="13" spans="1:13" ht="15.75" customHeight="1" x14ac:dyDescent="0.2">
      <c r="A13" s="1598" t="s">
        <v>477</v>
      </c>
      <c r="B13" s="1600">
        <v>2000</v>
      </c>
      <c r="C13" s="1765">
        <f>'Expenditures 15-22'!K74</f>
        <v>4771117</v>
      </c>
      <c r="D13" s="1765">
        <f>'Expenditures 15-22'!K129</f>
        <v>2949991</v>
      </c>
      <c r="E13" s="469" t="s">
        <v>1231</v>
      </c>
      <c r="F13" s="1765">
        <f>'Expenditures 15-22'!K184</f>
        <v>1107205</v>
      </c>
      <c r="G13" s="1765">
        <f>'Expenditures 15-22'!K279</f>
        <v>451880</v>
      </c>
      <c r="H13" s="1765">
        <f>'Expenditures 15-22'!K303</f>
        <v>0</v>
      </c>
      <c r="I13" s="468" t="s">
        <v>1231</v>
      </c>
      <c r="J13" s="1765">
        <f>'Expenditures 15-22'!K330</f>
        <v>383541</v>
      </c>
      <c r="K13" s="1769">
        <f>'Expenditures 15-22'!K352</f>
        <v>0</v>
      </c>
      <c r="L13" s="347"/>
    </row>
    <row r="14" spans="1:13" ht="15.75" customHeight="1" x14ac:dyDescent="0.2">
      <c r="A14" s="1598" t="s">
        <v>469</v>
      </c>
      <c r="B14" s="1600">
        <v>3000</v>
      </c>
      <c r="C14" s="1765">
        <f>'Expenditures 15-22'!K75</f>
        <v>1584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585351</v>
      </c>
      <c r="D15" s="1765">
        <f>'Expenditures 15-22'!K139</f>
        <v>28638</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4023734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18642486</v>
      </c>
      <c r="D17" s="1710">
        <f t="shared" si="2"/>
        <v>2978629</v>
      </c>
      <c r="E17" s="1710">
        <f t="shared" si="2"/>
        <v>4023734</v>
      </c>
      <c r="F17" s="1710">
        <f t="shared" si="2"/>
        <v>1107205</v>
      </c>
      <c r="G17" s="1710">
        <f t="shared" si="2"/>
        <v>693463</v>
      </c>
      <c r="H17" s="1710">
        <f t="shared" si="2"/>
        <v>0</v>
      </c>
      <c r="I17" s="468"/>
      <c r="J17" s="1710">
        <f>SUM(J12:J16)</f>
        <v>383541</v>
      </c>
      <c r="K17" s="1710">
        <f>SUM(K12:K16)</f>
        <v>0</v>
      </c>
      <c r="L17" s="347"/>
    </row>
    <row r="18" spans="1:12" ht="15" customHeight="1" thickTop="1" x14ac:dyDescent="0.2">
      <c r="A18" s="1766" t="s">
        <v>1753</v>
      </c>
      <c r="B18" s="1767">
        <v>4180</v>
      </c>
      <c r="C18" s="1764">
        <f t="shared" ref="C18:H18" si="3">C9</f>
        <v>8076289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26718775</v>
      </c>
      <c r="D19" s="1710">
        <f t="shared" si="4"/>
        <v>2978629</v>
      </c>
      <c r="E19" s="1710">
        <f t="shared" si="4"/>
        <v>4023734</v>
      </c>
      <c r="F19" s="1710">
        <f t="shared" si="4"/>
        <v>1107205</v>
      </c>
      <c r="G19" s="1710">
        <f t="shared" si="4"/>
        <v>693463</v>
      </c>
      <c r="H19" s="1710">
        <f t="shared" si="4"/>
        <v>0</v>
      </c>
      <c r="I19" s="468"/>
      <c r="J19" s="1710">
        <f>SUM(J17:J18)</f>
        <v>383541</v>
      </c>
      <c r="K19" s="1710">
        <f>SUM(K17:K18)</f>
        <v>0</v>
      </c>
      <c r="L19" s="347"/>
    </row>
    <row r="20" spans="1:12" ht="16.5" thickTop="1" thickBot="1" x14ac:dyDescent="0.25">
      <c r="A20" s="2143" t="s">
        <v>1754</v>
      </c>
      <c r="B20" s="2144"/>
      <c r="C20" s="1768">
        <f>C8-C17</f>
        <v>1477306</v>
      </c>
      <c r="D20" s="1768">
        <f t="shared" ref="D20:K20" si="5">D8-D17</f>
        <v>-484649</v>
      </c>
      <c r="E20" s="1768">
        <f t="shared" si="5"/>
        <v>157387</v>
      </c>
      <c r="F20" s="1768">
        <f t="shared" si="5"/>
        <v>256175</v>
      </c>
      <c r="G20" s="1768">
        <f t="shared" si="5"/>
        <v>14199</v>
      </c>
      <c r="H20" s="1768">
        <f t="shared" si="5"/>
        <v>0</v>
      </c>
      <c r="I20" s="1768">
        <f t="shared" si="5"/>
        <v>61105</v>
      </c>
      <c r="J20" s="1768">
        <f t="shared" si="5"/>
        <v>-35581</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2527</v>
      </c>
      <c r="D36" s="467"/>
      <c r="E36" s="467"/>
      <c r="F36" s="467"/>
      <c r="G36" s="467"/>
      <c r="H36" s="467"/>
      <c r="I36" s="475"/>
      <c r="J36" s="467"/>
      <c r="K36" s="467"/>
      <c r="L36" s="524"/>
    </row>
    <row r="37" spans="1:12" s="485" customFormat="1" x14ac:dyDescent="0.2">
      <c r="A37" s="1511" t="s">
        <v>461</v>
      </c>
      <c r="B37" s="525">
        <v>7400</v>
      </c>
      <c r="C37" s="475"/>
      <c r="D37" s="475"/>
      <c r="E37" s="1765">
        <f>SUM(C54:D57,H54:H57)</f>
        <v>40987</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2527</v>
      </c>
      <c r="D44" s="1725">
        <f t="shared" ref="D44:K44" si="6">SUM(D24:D43)</f>
        <v>0</v>
      </c>
      <c r="E44" s="1725">
        <f t="shared" si="6"/>
        <v>40987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40987</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40987</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-38460</v>
      </c>
      <c r="D77" s="1725">
        <f t="shared" si="8"/>
        <v>0</v>
      </c>
      <c r="E77" s="1725">
        <f t="shared" si="8"/>
        <v>40987</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1438846</v>
      </c>
      <c r="D78" s="1724">
        <f t="shared" si="9"/>
        <v>-484649</v>
      </c>
      <c r="E78" s="1724">
        <f t="shared" si="9"/>
        <v>198374</v>
      </c>
      <c r="F78" s="1724">
        <f t="shared" si="9"/>
        <v>256175</v>
      </c>
      <c r="G78" s="1724">
        <f t="shared" si="9"/>
        <v>14199</v>
      </c>
      <c r="H78" s="1724">
        <f t="shared" si="9"/>
        <v>0</v>
      </c>
      <c r="I78" s="1724">
        <f t="shared" si="9"/>
        <v>61105</v>
      </c>
      <c r="J78" s="1724">
        <f t="shared" si="9"/>
        <v>-35581</v>
      </c>
      <c r="K78" s="1724">
        <f t="shared" si="9"/>
        <v>0</v>
      </c>
      <c r="L78" s="533"/>
    </row>
    <row r="79" spans="1:12" ht="13.5" thickTop="1" x14ac:dyDescent="0.2">
      <c r="A79" s="1516" t="s">
        <v>2073</v>
      </c>
      <c r="B79" s="534"/>
      <c r="C79" s="478">
        <v>9982629</v>
      </c>
      <c r="D79" s="535">
        <v>5149153</v>
      </c>
      <c r="E79" s="535">
        <v>2621838</v>
      </c>
      <c r="F79" s="535">
        <v>880627</v>
      </c>
      <c r="G79" s="535">
        <v>531004</v>
      </c>
      <c r="H79" s="535"/>
      <c r="I79" s="535">
        <v>5205903</v>
      </c>
      <c r="J79" s="535">
        <v>171864</v>
      </c>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11421475</v>
      </c>
      <c r="D81" s="1710">
        <f>SUM(D78:D80)</f>
        <v>4664504</v>
      </c>
      <c r="E81" s="1710">
        <f t="shared" ref="E81:K81" si="10">SUM(E78:E80)</f>
        <v>2820212</v>
      </c>
      <c r="F81" s="1710">
        <f t="shared" si="10"/>
        <v>1136802</v>
      </c>
      <c r="G81" s="1710">
        <f t="shared" si="10"/>
        <v>545203</v>
      </c>
      <c r="H81" s="1710">
        <f t="shared" si="10"/>
        <v>0</v>
      </c>
      <c r="I81" s="1710">
        <f t="shared" si="10"/>
        <v>5267008</v>
      </c>
      <c r="J81" s="1710">
        <f t="shared" si="10"/>
        <v>136283</v>
      </c>
      <c r="K81" s="1710">
        <f t="shared" si="10"/>
        <v>0</v>
      </c>
      <c r="L81" s="347"/>
    </row>
    <row r="82" spans="1:12" ht="0.75" customHeight="1" thickTop="1" thickBot="1" x14ac:dyDescent="0.25">
      <c r="A82" s="536" t="s">
        <v>361</v>
      </c>
      <c r="B82" s="537"/>
      <c r="C82" s="538">
        <f>(C81-C79)</f>
        <v>1438846</v>
      </c>
      <c r="D82" s="538">
        <f t="shared" ref="D82:K82" si="11">(D81-D79)</f>
        <v>-484649</v>
      </c>
      <c r="E82" s="538">
        <f t="shared" si="11"/>
        <v>198374</v>
      </c>
      <c r="F82" s="538">
        <f t="shared" si="11"/>
        <v>256175</v>
      </c>
      <c r="G82" s="538">
        <f t="shared" si="11"/>
        <v>14199</v>
      </c>
      <c r="H82" s="538">
        <f t="shared" si="11"/>
        <v>0</v>
      </c>
      <c r="I82" s="538">
        <f t="shared" si="11"/>
        <v>61105</v>
      </c>
      <c r="J82" s="538">
        <f t="shared" si="11"/>
        <v>-35581</v>
      </c>
      <c r="K82" s="538">
        <f t="shared" si="11"/>
        <v>0</v>
      </c>
    </row>
    <row r="83" spans="1:12" ht="14.25" hidden="1" thickTop="1" thickBot="1" x14ac:dyDescent="0.25">
      <c r="A83" s="539" t="s">
        <v>362</v>
      </c>
      <c r="B83" s="464"/>
      <c r="C83" s="540">
        <f>C82/C81</f>
        <v>0.12597724899804974</v>
      </c>
      <c r="D83" s="540">
        <f t="shared" ref="D83:K83" si="12">D82/D81</f>
        <v>-0.10390150807031144</v>
      </c>
      <c r="E83" s="540">
        <f t="shared" si="12"/>
        <v>7.0340102091615814E-2</v>
      </c>
      <c r="F83" s="540">
        <f t="shared" si="12"/>
        <v>0.22534707011423274</v>
      </c>
      <c r="G83" s="540">
        <f t="shared" si="12"/>
        <v>2.604351039887895E-2</v>
      </c>
      <c r="H83" s="540" t="e">
        <f t="shared" si="12"/>
        <v>#DIV/0!</v>
      </c>
      <c r="I83" s="540">
        <f t="shared" si="12"/>
        <v>1.1601463297568563E-2</v>
      </c>
      <c r="J83" s="540">
        <f t="shared" si="12"/>
        <v>-0.26108171965689042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1" sqref="A4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15528656</v>
      </c>
      <c r="D5" s="481">
        <v>1823732</v>
      </c>
      <c r="E5" s="466">
        <v>4152328</v>
      </c>
      <c r="F5" s="548">
        <v>642427</v>
      </c>
      <c r="G5" s="466">
        <v>339466</v>
      </c>
      <c r="H5" s="466"/>
      <c r="I5" s="466">
        <v>3</v>
      </c>
      <c r="J5" s="467">
        <v>346337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123811</v>
      </c>
      <c r="D7" s="466"/>
      <c r="E7" s="468"/>
      <c r="F7" s="467"/>
      <c r="G7" s="467">
        <v>362484</v>
      </c>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15652467</v>
      </c>
      <c r="D12" s="1729">
        <f t="shared" si="0"/>
        <v>1823732</v>
      </c>
      <c r="E12" s="1729">
        <f t="shared" si="0"/>
        <v>4152328</v>
      </c>
      <c r="F12" s="1729">
        <f t="shared" si="0"/>
        <v>642427</v>
      </c>
      <c r="G12" s="1729">
        <f t="shared" si="0"/>
        <v>701950</v>
      </c>
      <c r="H12" s="1729">
        <f t="shared" si="0"/>
        <v>0</v>
      </c>
      <c r="I12" s="1729">
        <f t="shared" si="0"/>
        <v>3</v>
      </c>
      <c r="J12" s="1729">
        <f t="shared" si="0"/>
        <v>346337</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349412</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349412</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109515</v>
      </c>
      <c r="D65" s="466">
        <v>71148</v>
      </c>
      <c r="E65" s="466">
        <v>28793</v>
      </c>
      <c r="F65" s="467">
        <v>10389</v>
      </c>
      <c r="G65" s="466">
        <v>5712</v>
      </c>
      <c r="H65" s="466"/>
      <c r="I65" s="466">
        <v>61102</v>
      </c>
      <c r="J65" s="467">
        <v>1623</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109515</v>
      </c>
      <c r="D67" s="1710">
        <f t="shared" ref="D67:K67" si="2">SUM(D65:D66)</f>
        <v>71148</v>
      </c>
      <c r="E67" s="1710">
        <f t="shared" si="2"/>
        <v>28793</v>
      </c>
      <c r="F67" s="1710">
        <f t="shared" si="2"/>
        <v>10389</v>
      </c>
      <c r="G67" s="1710">
        <f t="shared" si="2"/>
        <v>5712</v>
      </c>
      <c r="H67" s="1710">
        <f t="shared" si="2"/>
        <v>0</v>
      </c>
      <c r="I67" s="1710">
        <f t="shared" si="2"/>
        <v>61102</v>
      </c>
      <c r="J67" s="1710">
        <f t="shared" si="2"/>
        <v>1623</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164820</v>
      </c>
      <c r="D71" s="468"/>
      <c r="E71" s="468"/>
      <c r="F71" s="468"/>
      <c r="G71" s="468"/>
      <c r="H71" s="468"/>
      <c r="I71" s="468"/>
      <c r="J71" s="468"/>
      <c r="K71" s="468"/>
    </row>
    <row r="72" spans="1:11" ht="12.75" customHeight="1" x14ac:dyDescent="0.2">
      <c r="A72" s="463" t="s">
        <v>24</v>
      </c>
      <c r="B72" s="470">
        <v>1614</v>
      </c>
      <c r="C72" s="551">
        <v>410755</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21541</v>
      </c>
      <c r="D74" s="468"/>
      <c r="E74" s="468"/>
      <c r="F74" s="468"/>
      <c r="G74" s="468"/>
      <c r="H74" s="468"/>
      <c r="I74" s="468"/>
      <c r="J74" s="468"/>
      <c r="K74" s="468"/>
    </row>
    <row r="75" spans="1:11" ht="12.75" customHeight="1" thickBot="1" x14ac:dyDescent="0.25">
      <c r="A75" s="1730" t="s">
        <v>569</v>
      </c>
      <c r="B75" s="1731"/>
      <c r="C75" s="1710">
        <f>SUM(C69:C74)</f>
        <v>597116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19644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781583</v>
      </c>
      <c r="D79" s="466">
        <v>38685</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801227</v>
      </c>
      <c r="D82" s="1710">
        <f>SUM(D77:D81)</f>
        <v>38685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76730</v>
      </c>
      <c r="E95" s="521"/>
      <c r="F95" s="521"/>
      <c r="G95" s="521"/>
      <c r="H95" s="521"/>
      <c r="I95" s="521"/>
      <c r="J95" s="521"/>
      <c r="K95" s="521"/>
    </row>
    <row r="96" spans="1:11" ht="12.75" customHeight="1" x14ac:dyDescent="0.2">
      <c r="A96" s="463" t="s">
        <v>409</v>
      </c>
      <c r="B96" s="470">
        <v>1920</v>
      </c>
      <c r="C96" s="551">
        <v>91573</v>
      </c>
      <c r="D96" s="551"/>
      <c r="E96" s="479"/>
      <c r="F96" s="478"/>
      <c r="G96" s="478"/>
      <c r="H96" s="478"/>
      <c r="I96" s="478"/>
      <c r="J96" s="478"/>
      <c r="K96" s="478"/>
    </row>
    <row r="97" spans="1:12" ht="12.75" customHeight="1" x14ac:dyDescent="0.2">
      <c r="A97" s="1517" t="s">
        <v>262</v>
      </c>
      <c r="B97" s="559">
        <v>1930</v>
      </c>
      <c r="C97" s="489"/>
      <c r="D97" s="467">
        <v>84986</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4649</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33822</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v>49287</v>
      </c>
      <c r="E107" s="466"/>
      <c r="F107" s="466"/>
      <c r="G107" s="466"/>
      <c r="H107" s="466"/>
      <c r="I107" s="466"/>
      <c r="J107" s="467"/>
      <c r="K107" s="466"/>
    </row>
    <row r="108" spans="1:12" ht="12.75" customHeight="1" thickBot="1" x14ac:dyDescent="0.25">
      <c r="A108" s="1730" t="s">
        <v>508</v>
      </c>
      <c r="B108" s="1734"/>
      <c r="C108" s="1729">
        <f>SUM(C95:C107)</f>
        <v>130044</v>
      </c>
      <c r="D108" s="1729">
        <f t="shared" ref="D108:K108" si="3">SUM(D95:D107)</f>
        <v>211003</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17290369</v>
      </c>
      <c r="D109" s="1737">
        <f t="shared" si="4"/>
        <v>2493980</v>
      </c>
      <c r="E109" s="1737">
        <f t="shared" si="4"/>
        <v>4181121</v>
      </c>
      <c r="F109" s="1737">
        <f t="shared" si="4"/>
        <v>652816</v>
      </c>
      <c r="G109" s="1737">
        <f t="shared" si="4"/>
        <v>707662</v>
      </c>
      <c r="H109" s="1737">
        <f t="shared" si="4"/>
        <v>0</v>
      </c>
      <c r="I109" s="1737">
        <f t="shared" si="4"/>
        <v>61105</v>
      </c>
      <c r="J109" s="1737">
        <f t="shared" si="4"/>
        <v>347960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881501</v>
      </c>
      <c r="D117" s="481"/>
      <c r="E117" s="466"/>
      <c r="F117" s="481"/>
      <c r="G117" s="481"/>
      <c r="H117" s="466"/>
      <c r="I117" s="468"/>
      <c r="J117" s="467"/>
      <c r="K117" s="466"/>
    </row>
    <row r="118" spans="1:11" ht="12.75" customHeight="1" x14ac:dyDescent="0.2">
      <c r="A118" s="463" t="s">
        <v>1902</v>
      </c>
      <c r="B118" s="562">
        <v>3002</v>
      </c>
      <c r="C118" s="551">
        <v>239</v>
      </c>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881740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140582</v>
      </c>
      <c r="D124" s="561"/>
      <c r="E124" s="468"/>
      <c r="F124" s="548"/>
      <c r="G124" s="468"/>
      <c r="H124" s="468"/>
      <c r="I124" s="468"/>
      <c r="J124" s="468"/>
      <c r="K124" s="468"/>
    </row>
    <row r="125" spans="1:11" ht="12.75" customHeight="1" x14ac:dyDescent="0.2">
      <c r="A125" s="463" t="s">
        <v>1521</v>
      </c>
      <c r="B125" s="562">
        <v>3105</v>
      </c>
      <c r="C125" s="466">
        <v>83221</v>
      </c>
      <c r="D125" s="561"/>
      <c r="E125" s="468"/>
      <c r="F125" s="466"/>
      <c r="G125" s="468"/>
      <c r="H125" s="468"/>
      <c r="I125" s="468"/>
      <c r="J125" s="468"/>
      <c r="K125" s="468"/>
    </row>
    <row r="126" spans="1:11" ht="12.75" customHeight="1" x14ac:dyDescent="0.2">
      <c r="A126" s="463" t="s">
        <v>922</v>
      </c>
      <c r="B126" s="562">
        <v>3110</v>
      </c>
      <c r="C126" s="551">
        <v>97690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1609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323102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65784</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65784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4812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4812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812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44369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27015</v>
      </c>
      <c r="G151" s="467"/>
      <c r="H151" s="468"/>
      <c r="I151" s="468"/>
      <c r="J151" s="468"/>
      <c r="K151" s="468"/>
    </row>
    <row r="152" spans="1:11" ht="12.75" customHeight="1" x14ac:dyDescent="0.2">
      <c r="A152" s="463" t="s">
        <v>1117</v>
      </c>
      <c r="B152" s="562">
        <v>3510</v>
      </c>
      <c r="C152" s="551"/>
      <c r="D152" s="466"/>
      <c r="E152" s="561"/>
      <c r="F152" s="466">
        <v>683549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710564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v>1021</v>
      </c>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197</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440097</v>
      </c>
      <c r="D172" s="1744">
        <f t="shared" si="6"/>
        <v>0</v>
      </c>
      <c r="E172" s="1744">
        <f t="shared" si="6"/>
        <v>0</v>
      </c>
      <c r="F172" s="1744">
        <f t="shared" si="6"/>
        <v>710564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1321837</v>
      </c>
      <c r="D173" s="1737">
        <f>SUM(D121,D172)</f>
        <v>0</v>
      </c>
      <c r="E173" s="1737">
        <f>SUM(E121,E172)</f>
        <v>0</v>
      </c>
      <c r="F173" s="1737">
        <f t="shared" ref="F173:K173" si="7">SUM(F121,F172)</f>
        <v>710564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896985</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896985</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98997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98997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116037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116037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3641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3641</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252338</v>
      </c>
      <c r="D220" s="466"/>
      <c r="E220" s="468"/>
      <c r="F220" s="466"/>
      <c r="G220" s="466"/>
      <c r="H220" s="468"/>
      <c r="I220" s="468"/>
      <c r="J220" s="468"/>
      <c r="K220" s="468"/>
    </row>
    <row r="221" spans="1:11" ht="12.75" customHeight="1" x14ac:dyDescent="0.2">
      <c r="A221" s="463" t="s">
        <v>1114</v>
      </c>
      <c r="B221" s="470">
        <v>4625</v>
      </c>
      <c r="C221" s="551">
        <v>101416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353754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29631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8541</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610601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1507586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20119792</v>
      </c>
      <c r="D275" s="1737">
        <f t="shared" si="12"/>
        <v>2493980</v>
      </c>
      <c r="E275" s="1737">
        <f t="shared" si="12"/>
        <v>4181121</v>
      </c>
      <c r="F275" s="1737">
        <f t="shared" si="12"/>
        <v>1363380</v>
      </c>
      <c r="G275" s="1737">
        <f t="shared" si="12"/>
        <v>707662</v>
      </c>
      <c r="H275" s="1737">
        <f t="shared" si="12"/>
        <v>0</v>
      </c>
      <c r="I275" s="1737">
        <f t="shared" si="12"/>
        <v>61105</v>
      </c>
      <c r="J275" s="1737">
        <f t="shared" si="12"/>
        <v>347960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8" activePane="bottomLeft" state="frozen"/>
      <selection activeCell="A41" sqref="A41"/>
      <selection pane="bottomLeft" activeCell="A182" sqref="A18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5689920</v>
      </c>
      <c r="D5" s="466">
        <v>1636809</v>
      </c>
      <c r="E5" s="466">
        <v>740307</v>
      </c>
      <c r="F5" s="466">
        <v>301141</v>
      </c>
      <c r="G5" s="466">
        <v>14353</v>
      </c>
      <c r="H5" s="466">
        <v>4364</v>
      </c>
      <c r="I5" s="467">
        <v>22939</v>
      </c>
      <c r="J5" s="467"/>
      <c r="K5" s="1693">
        <f>SUM(C5:J5)</f>
        <v>8409833</v>
      </c>
      <c r="L5" s="466">
        <v>8603930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1233359</v>
      </c>
      <c r="D8" s="466">
        <v>364451</v>
      </c>
      <c r="E8" s="466">
        <v>127047</v>
      </c>
      <c r="F8" s="466">
        <v>48736</v>
      </c>
      <c r="G8" s="466"/>
      <c r="H8" s="466">
        <v>45</v>
      </c>
      <c r="I8" s="467">
        <v>11650</v>
      </c>
      <c r="J8" s="467"/>
      <c r="K8" s="1693">
        <f t="shared" si="0"/>
        <v>1785288</v>
      </c>
      <c r="L8" s="466">
        <v>1854525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632844</v>
      </c>
      <c r="D13" s="466">
        <v>185066</v>
      </c>
      <c r="E13" s="466">
        <v>8789</v>
      </c>
      <c r="F13" s="466">
        <v>42050</v>
      </c>
      <c r="G13" s="466">
        <v>18795</v>
      </c>
      <c r="H13" s="466">
        <v>240</v>
      </c>
      <c r="I13" s="467">
        <v>3993</v>
      </c>
      <c r="J13" s="467"/>
      <c r="K13" s="1693">
        <f t="shared" si="0"/>
        <v>891777</v>
      </c>
      <c r="L13" s="466">
        <v>862618</v>
      </c>
    </row>
    <row r="14" spans="1:14" x14ac:dyDescent="0.2">
      <c r="A14" s="1526" t="s">
        <v>1020</v>
      </c>
      <c r="B14" s="615">
        <v>1500</v>
      </c>
      <c r="C14" s="466">
        <v>958174</v>
      </c>
      <c r="D14" s="466">
        <v>124742</v>
      </c>
      <c r="E14" s="466">
        <v>154795</v>
      </c>
      <c r="F14" s="466">
        <v>89484</v>
      </c>
      <c r="G14" s="466"/>
      <c r="H14" s="466">
        <v>54390</v>
      </c>
      <c r="I14" s="467">
        <v>4323</v>
      </c>
      <c r="J14" s="467"/>
      <c r="K14" s="1693">
        <f t="shared" si="0"/>
        <v>1385908</v>
      </c>
      <c r="L14" s="466">
        <v>1408539</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106349</v>
      </c>
      <c r="D17" s="467">
        <v>22060</v>
      </c>
      <c r="E17" s="467">
        <v>8108</v>
      </c>
      <c r="F17" s="467">
        <v>1835</v>
      </c>
      <c r="G17" s="467"/>
      <c r="H17" s="467">
        <v>906</v>
      </c>
      <c r="I17" s="467"/>
      <c r="J17" s="467"/>
      <c r="K17" s="1693">
        <f t="shared" si="0"/>
        <v>139258</v>
      </c>
      <c r="L17" s="466">
        <v>138625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670498</v>
      </c>
      <c r="I22" s="617"/>
      <c r="J22" s="477"/>
      <c r="K22" s="1693">
        <f t="shared" si="0"/>
        <v>670498</v>
      </c>
      <c r="L22" s="471">
        <v>615800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v>1872</v>
      </c>
      <c r="I32" s="617"/>
      <c r="J32" s="480"/>
      <c r="K32" s="1693">
        <f t="shared" si="0"/>
        <v>1872</v>
      </c>
      <c r="L32" s="471">
        <v>5000</v>
      </c>
    </row>
    <row r="33" spans="1:14" ht="12.75" customHeight="1" thickBot="1" x14ac:dyDescent="0.25">
      <c r="A33" s="1690" t="s">
        <v>1767</v>
      </c>
      <c r="B33" s="1691" t="s">
        <v>591</v>
      </c>
      <c r="C33" s="1692">
        <f>SUM(C5:C32)</f>
        <v>8620646</v>
      </c>
      <c r="D33" s="1692">
        <f t="shared" ref="D33:L33" si="1">SUM(D5:D32)</f>
        <v>2333128</v>
      </c>
      <c r="E33" s="1692">
        <f t="shared" si="1"/>
        <v>1039046</v>
      </c>
      <c r="F33" s="1692">
        <f t="shared" si="1"/>
        <v>483246</v>
      </c>
      <c r="G33" s="1692">
        <f t="shared" si="1"/>
        <v>33148</v>
      </c>
      <c r="H33" s="1692">
        <f t="shared" si="1"/>
        <v>732315</v>
      </c>
      <c r="I33" s="1692">
        <f t="shared" si="1"/>
        <v>42905</v>
      </c>
      <c r="J33" s="1692">
        <f t="shared" si="1"/>
        <v>0</v>
      </c>
      <c r="K33" s="1692">
        <f t="shared" si="1"/>
        <v>13284434</v>
      </c>
      <c r="L33" s="1692">
        <f t="shared" si="1"/>
        <v>13489037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346650</v>
      </c>
      <c r="D36" s="481">
        <v>97369</v>
      </c>
      <c r="E36" s="481"/>
      <c r="F36" s="481">
        <v>176</v>
      </c>
      <c r="G36" s="481"/>
      <c r="H36" s="481"/>
      <c r="I36" s="467"/>
      <c r="J36" s="467"/>
      <c r="K36" s="1693">
        <f t="shared" ref="K36:K41" si="2">SUM(C36:J36)</f>
        <v>444195</v>
      </c>
      <c r="L36" s="466">
        <v>442022</v>
      </c>
    </row>
    <row r="37" spans="1:14" x14ac:dyDescent="0.2">
      <c r="A37" s="1526" t="s">
        <v>1151</v>
      </c>
      <c r="B37" s="615">
        <v>2120</v>
      </c>
      <c r="C37" s="466">
        <v>431464</v>
      </c>
      <c r="D37" s="466">
        <v>106989</v>
      </c>
      <c r="E37" s="466">
        <v>978</v>
      </c>
      <c r="F37" s="466">
        <v>4516</v>
      </c>
      <c r="G37" s="466"/>
      <c r="H37" s="466">
        <v>1275</v>
      </c>
      <c r="I37" s="467"/>
      <c r="J37" s="467"/>
      <c r="K37" s="1693">
        <f t="shared" si="2"/>
        <v>545222</v>
      </c>
      <c r="L37" s="466">
        <v>548869</v>
      </c>
    </row>
    <row r="38" spans="1:14" x14ac:dyDescent="0.2">
      <c r="A38" s="1526" t="s">
        <v>207</v>
      </c>
      <c r="B38" s="615">
        <v>2130</v>
      </c>
      <c r="C38" s="466">
        <v>54527</v>
      </c>
      <c r="D38" s="466">
        <v>16384</v>
      </c>
      <c r="E38" s="466">
        <v>120</v>
      </c>
      <c r="F38" s="466">
        <v>1596</v>
      </c>
      <c r="G38" s="466"/>
      <c r="H38" s="466">
        <v>298</v>
      </c>
      <c r="I38" s="467">
        <v>346</v>
      </c>
      <c r="J38" s="467"/>
      <c r="K38" s="1693">
        <f t="shared" si="2"/>
        <v>73271</v>
      </c>
      <c r="L38" s="466">
        <v>75681</v>
      </c>
    </row>
    <row r="39" spans="1:14" x14ac:dyDescent="0.2">
      <c r="A39" s="1526" t="s">
        <v>208</v>
      </c>
      <c r="B39" s="615">
        <v>2140</v>
      </c>
      <c r="C39" s="466">
        <v>89597</v>
      </c>
      <c r="D39" s="466">
        <v>10339</v>
      </c>
      <c r="E39" s="466">
        <v>2880</v>
      </c>
      <c r="F39" s="466">
        <v>2798</v>
      </c>
      <c r="G39" s="466"/>
      <c r="H39" s="466"/>
      <c r="I39" s="467"/>
      <c r="J39" s="467"/>
      <c r="K39" s="1693">
        <f t="shared" si="2"/>
        <v>105614</v>
      </c>
      <c r="L39" s="466">
        <v>114458</v>
      </c>
    </row>
    <row r="40" spans="1:14" x14ac:dyDescent="0.2">
      <c r="A40" s="1526" t="s">
        <v>209</v>
      </c>
      <c r="B40" s="615">
        <v>2150</v>
      </c>
      <c r="C40" s="466">
        <v>70236</v>
      </c>
      <c r="D40" s="466">
        <v>27641</v>
      </c>
      <c r="E40" s="466"/>
      <c r="F40" s="466">
        <v>319</v>
      </c>
      <c r="G40" s="466"/>
      <c r="H40" s="466"/>
      <c r="I40" s="467">
        <v>419</v>
      </c>
      <c r="J40" s="467"/>
      <c r="K40" s="1693">
        <f t="shared" si="2"/>
        <v>98615</v>
      </c>
      <c r="L40" s="466">
        <v>100799</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992474</v>
      </c>
      <c r="D42" s="1692">
        <f t="shared" ref="D42:L42" si="3">SUM(D36:D41)</f>
        <v>258722</v>
      </c>
      <c r="E42" s="1692">
        <f t="shared" si="3"/>
        <v>3978</v>
      </c>
      <c r="F42" s="1692">
        <f t="shared" si="3"/>
        <v>9405</v>
      </c>
      <c r="G42" s="1692">
        <f t="shared" si="3"/>
        <v>0</v>
      </c>
      <c r="H42" s="1692">
        <f t="shared" si="3"/>
        <v>1573</v>
      </c>
      <c r="I42" s="1692">
        <f t="shared" si="3"/>
        <v>765</v>
      </c>
      <c r="J42" s="1692">
        <f t="shared" si="3"/>
        <v>0</v>
      </c>
      <c r="K42" s="1692">
        <f t="shared" si="3"/>
        <v>1266917</v>
      </c>
      <c r="L42" s="1692">
        <f t="shared" si="3"/>
        <v>1281829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475281</v>
      </c>
      <c r="D44" s="481">
        <v>110064</v>
      </c>
      <c r="E44" s="481">
        <v>158633</v>
      </c>
      <c r="F44" s="481">
        <v>42414</v>
      </c>
      <c r="G44" s="481">
        <v>5731</v>
      </c>
      <c r="H44" s="481">
        <v>6190</v>
      </c>
      <c r="I44" s="467"/>
      <c r="J44" s="467"/>
      <c r="K44" s="1694">
        <f>SUM(C44:J44)</f>
        <v>798313</v>
      </c>
      <c r="L44" s="481">
        <v>796733</v>
      </c>
    </row>
    <row r="45" spans="1:14" x14ac:dyDescent="0.2">
      <c r="A45" s="1526" t="s">
        <v>869</v>
      </c>
      <c r="B45" s="615">
        <v>2220</v>
      </c>
      <c r="C45" s="466">
        <v>77417</v>
      </c>
      <c r="D45" s="466">
        <v>27034</v>
      </c>
      <c r="E45" s="466">
        <v>792</v>
      </c>
      <c r="F45" s="466">
        <v>21753</v>
      </c>
      <c r="G45" s="466"/>
      <c r="H45" s="466">
        <v>365</v>
      </c>
      <c r="I45" s="467">
        <v>5497</v>
      </c>
      <c r="J45" s="467"/>
      <c r="K45" s="1694">
        <f>SUM(C45:J45)</f>
        <v>132858</v>
      </c>
      <c r="L45" s="466">
        <v>137719</v>
      </c>
    </row>
    <row r="46" spans="1:14" x14ac:dyDescent="0.2">
      <c r="A46" s="1526" t="s">
        <v>870</v>
      </c>
      <c r="B46" s="615">
        <v>2230</v>
      </c>
      <c r="C46" s="466"/>
      <c r="D46" s="466"/>
      <c r="E46" s="466">
        <v>18866</v>
      </c>
      <c r="F46" s="466"/>
      <c r="G46" s="466"/>
      <c r="H46" s="466"/>
      <c r="I46" s="467"/>
      <c r="J46" s="467"/>
      <c r="K46" s="1694">
        <f>SUM(C46:J46)</f>
        <v>18866</v>
      </c>
      <c r="L46" s="466">
        <v>27225</v>
      </c>
    </row>
    <row r="47" spans="1:14" ht="12.75" customHeight="1" thickBot="1" x14ac:dyDescent="0.25">
      <c r="A47" s="1690" t="s">
        <v>582</v>
      </c>
      <c r="B47" s="1691" t="s">
        <v>32</v>
      </c>
      <c r="C47" s="1692">
        <f>SUM(C44:C46)</f>
        <v>552698</v>
      </c>
      <c r="D47" s="1692">
        <f t="shared" ref="D47:K47" si="4">SUM(D44:D46)</f>
        <v>137098</v>
      </c>
      <c r="E47" s="1692">
        <f t="shared" si="4"/>
        <v>178291</v>
      </c>
      <c r="F47" s="1692">
        <f t="shared" si="4"/>
        <v>64167</v>
      </c>
      <c r="G47" s="1692">
        <f t="shared" si="4"/>
        <v>5731</v>
      </c>
      <c r="H47" s="1692">
        <f t="shared" si="4"/>
        <v>6555</v>
      </c>
      <c r="I47" s="1692">
        <f t="shared" si="4"/>
        <v>5497</v>
      </c>
      <c r="J47" s="1692">
        <f t="shared" si="4"/>
        <v>0</v>
      </c>
      <c r="K47" s="1692">
        <f t="shared" si="4"/>
        <v>950037</v>
      </c>
      <c r="L47" s="1692">
        <f>SUM(L44:L46)</f>
        <v>961677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3894</v>
      </c>
      <c r="D49" s="481"/>
      <c r="E49" s="481">
        <v>88539</v>
      </c>
      <c r="F49" s="481">
        <v>6312</v>
      </c>
      <c r="G49" s="481"/>
      <c r="H49" s="481">
        <v>19842</v>
      </c>
      <c r="I49" s="467"/>
      <c r="J49" s="467"/>
      <c r="K49" s="1694">
        <f>SUM(C49:J49)</f>
        <v>118587</v>
      </c>
      <c r="L49" s="481">
        <v>220100</v>
      </c>
    </row>
    <row r="50" spans="1:14" x14ac:dyDescent="0.2">
      <c r="A50" s="1526" t="s">
        <v>872</v>
      </c>
      <c r="B50" s="615">
        <v>2320</v>
      </c>
      <c r="C50" s="466">
        <v>266558</v>
      </c>
      <c r="D50" s="466">
        <v>66870</v>
      </c>
      <c r="E50" s="466">
        <v>9537</v>
      </c>
      <c r="F50" s="466">
        <v>3459</v>
      </c>
      <c r="G50" s="466"/>
      <c r="H50" s="466">
        <v>3536</v>
      </c>
      <c r="I50" s="467"/>
      <c r="J50" s="467"/>
      <c r="K50" s="1694">
        <f>SUM(C50:J50)</f>
        <v>349960</v>
      </c>
      <c r="L50" s="466">
        <v>350091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270452</v>
      </c>
      <c r="D53" s="1692">
        <f t="shared" ref="D53:L53" si="5">SUM(D49:D52)</f>
        <v>66870</v>
      </c>
      <c r="E53" s="1692">
        <f t="shared" si="5"/>
        <v>98076</v>
      </c>
      <c r="F53" s="1692">
        <f t="shared" si="5"/>
        <v>9771</v>
      </c>
      <c r="G53" s="1692">
        <f t="shared" si="5"/>
        <v>0</v>
      </c>
      <c r="H53" s="1692">
        <f t="shared" si="5"/>
        <v>23378</v>
      </c>
      <c r="I53" s="1692">
        <f t="shared" si="5"/>
        <v>0</v>
      </c>
      <c r="J53" s="1692">
        <f t="shared" si="5"/>
        <v>0</v>
      </c>
      <c r="K53" s="1692">
        <f t="shared" si="5"/>
        <v>468547</v>
      </c>
      <c r="L53" s="1692">
        <f t="shared" si="5"/>
        <v>570191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418403</v>
      </c>
      <c r="D55" s="481">
        <v>109155</v>
      </c>
      <c r="E55" s="481">
        <v>30419</v>
      </c>
      <c r="F55" s="481">
        <v>9800</v>
      </c>
      <c r="G55" s="481"/>
      <c r="H55" s="481">
        <v>107115</v>
      </c>
      <c r="I55" s="467"/>
      <c r="J55" s="467"/>
      <c r="K55" s="1694">
        <f>SUM(C55:J55)</f>
        <v>674892</v>
      </c>
      <c r="L55" s="481">
        <v>681818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418403</v>
      </c>
      <c r="D57" s="1696">
        <f t="shared" ref="D57:K57" si="6">SUM(D55:D56)</f>
        <v>109155</v>
      </c>
      <c r="E57" s="1696">
        <f t="shared" si="6"/>
        <v>30419</v>
      </c>
      <c r="F57" s="1696">
        <f t="shared" si="6"/>
        <v>9800</v>
      </c>
      <c r="G57" s="1696">
        <f t="shared" si="6"/>
        <v>0</v>
      </c>
      <c r="H57" s="1696">
        <f t="shared" si="6"/>
        <v>107115</v>
      </c>
      <c r="I57" s="1696">
        <f t="shared" si="6"/>
        <v>0</v>
      </c>
      <c r="J57" s="1696">
        <f t="shared" si="6"/>
        <v>0</v>
      </c>
      <c r="K57" s="1696">
        <f t="shared" si="6"/>
        <v>674892</v>
      </c>
      <c r="L57" s="1692">
        <f>SUM(L55:L56)</f>
        <v>681818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367233</v>
      </c>
      <c r="D60" s="466">
        <v>93003</v>
      </c>
      <c r="E60" s="466">
        <v>85306</v>
      </c>
      <c r="F60" s="466">
        <v>5338</v>
      </c>
      <c r="G60" s="466"/>
      <c r="H60" s="466">
        <v>949</v>
      </c>
      <c r="I60" s="467"/>
      <c r="J60" s="467"/>
      <c r="K60" s="1694">
        <f t="shared" si="7"/>
        <v>551829</v>
      </c>
      <c r="L60" s="466">
        <v>531080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248196</v>
      </c>
      <c r="D63" s="466">
        <v>49373</v>
      </c>
      <c r="E63" s="466">
        <v>16888</v>
      </c>
      <c r="F63" s="466">
        <v>313405</v>
      </c>
      <c r="G63" s="466"/>
      <c r="H63" s="466">
        <v>2758</v>
      </c>
      <c r="I63" s="467">
        <v>668</v>
      </c>
      <c r="J63" s="467"/>
      <c r="K63" s="1694">
        <f t="shared" si="7"/>
        <v>631288</v>
      </c>
      <c r="L63" s="466">
        <v>660197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615429</v>
      </c>
      <c r="D65" s="1692">
        <f t="shared" ref="D65:L65" si="8">SUM(D59:D64)</f>
        <v>142376</v>
      </c>
      <c r="E65" s="1692">
        <f t="shared" si="8"/>
        <v>102194</v>
      </c>
      <c r="F65" s="1692">
        <f t="shared" si="8"/>
        <v>318743</v>
      </c>
      <c r="G65" s="1692">
        <f t="shared" si="8"/>
        <v>0</v>
      </c>
      <c r="H65" s="1692">
        <f t="shared" si="8"/>
        <v>3707</v>
      </c>
      <c r="I65" s="1692">
        <f t="shared" si="8"/>
        <v>668</v>
      </c>
      <c r="J65" s="1692">
        <f t="shared" si="8"/>
        <v>0</v>
      </c>
      <c r="K65" s="1692">
        <f t="shared" si="8"/>
        <v>1183117</v>
      </c>
      <c r="L65" s="1692">
        <f t="shared" si="8"/>
        <v>1191277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v>22025</v>
      </c>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51588</v>
      </c>
      <c r="D71" s="466">
        <v>10116</v>
      </c>
      <c r="E71" s="466">
        <v>29127</v>
      </c>
      <c r="F71" s="466">
        <v>111646</v>
      </c>
      <c r="G71" s="466"/>
      <c r="H71" s="466">
        <v>930</v>
      </c>
      <c r="I71" s="467">
        <v>22742</v>
      </c>
      <c r="J71" s="467"/>
      <c r="K71" s="1694">
        <f>SUM(C71:J71)</f>
        <v>226149</v>
      </c>
      <c r="L71" s="466">
        <v>241044</v>
      </c>
      <c r="M71" s="610"/>
      <c r="N71" s="610"/>
    </row>
    <row r="72" spans="1:14" s="343" customFormat="1" ht="12.75" customHeight="1" thickBot="1" x14ac:dyDescent="0.25">
      <c r="A72" s="1690" t="s">
        <v>37</v>
      </c>
      <c r="B72" s="1697" t="s">
        <v>36</v>
      </c>
      <c r="C72" s="1692">
        <f>SUM(C67:C71)</f>
        <v>51588</v>
      </c>
      <c r="D72" s="1692">
        <f t="shared" ref="D72:K72" si="9">SUM(D67:D71)</f>
        <v>10116</v>
      </c>
      <c r="E72" s="1692">
        <f t="shared" si="9"/>
        <v>29127</v>
      </c>
      <c r="F72" s="1692">
        <f t="shared" si="9"/>
        <v>111646</v>
      </c>
      <c r="G72" s="1692">
        <f t="shared" si="9"/>
        <v>0</v>
      </c>
      <c r="H72" s="1692">
        <f t="shared" si="9"/>
        <v>930</v>
      </c>
      <c r="I72" s="1692">
        <f t="shared" si="9"/>
        <v>22742</v>
      </c>
      <c r="J72" s="1692">
        <f t="shared" si="9"/>
        <v>0</v>
      </c>
      <c r="K72" s="1692">
        <f t="shared" si="9"/>
        <v>226149</v>
      </c>
      <c r="L72" s="1692">
        <f>SUM(L67:L71)</f>
        <v>263069</v>
      </c>
      <c r="M72" s="610"/>
      <c r="N72" s="610"/>
    </row>
    <row r="73" spans="1:14" s="343" customFormat="1" ht="14.25" thickTop="1" thickBot="1" x14ac:dyDescent="0.25">
      <c r="A73" s="1532" t="s">
        <v>1037</v>
      </c>
      <c r="B73" s="633" t="s">
        <v>595</v>
      </c>
      <c r="C73" s="573"/>
      <c r="D73" s="573"/>
      <c r="E73" s="573">
        <v>1458</v>
      </c>
      <c r="F73" s="573"/>
      <c r="G73" s="573"/>
      <c r="H73" s="573"/>
      <c r="I73" s="531"/>
      <c r="J73" s="531"/>
      <c r="K73" s="1692">
        <f>SUM(C73:J73)</f>
        <v>1458</v>
      </c>
      <c r="L73" s="576"/>
      <c r="M73" s="610"/>
      <c r="N73" s="610"/>
    </row>
    <row r="74" spans="1:14" ht="12.75" customHeight="1" thickTop="1" thickBot="1" x14ac:dyDescent="0.25">
      <c r="A74" s="1690" t="s">
        <v>865</v>
      </c>
      <c r="B74" s="1698">
        <v>2000</v>
      </c>
      <c r="C74" s="1699">
        <f>SUM(C42,C47,C53,C57,C65,C72,C73)</f>
        <v>2901044</v>
      </c>
      <c r="D74" s="1699">
        <f t="shared" ref="D74:K74" si="10">SUM(D42,D47,D53,D57,D65,D72,D73)</f>
        <v>724337</v>
      </c>
      <c r="E74" s="1699">
        <f t="shared" si="10"/>
        <v>443543</v>
      </c>
      <c r="F74" s="1699">
        <f t="shared" si="10"/>
        <v>523532</v>
      </c>
      <c r="G74" s="1699">
        <f t="shared" si="10"/>
        <v>5731</v>
      </c>
      <c r="H74" s="1699">
        <f t="shared" si="10"/>
        <v>143258</v>
      </c>
      <c r="I74" s="1699">
        <f t="shared" si="10"/>
        <v>29672</v>
      </c>
      <c r="J74" s="1699">
        <f t="shared" si="10"/>
        <v>0</v>
      </c>
      <c r="K74" s="1699">
        <f t="shared" si="10"/>
        <v>4771117</v>
      </c>
      <c r="L74" s="1699">
        <f>SUM(L42,L47,L53,L57,L65,L72,L73)</f>
        <v>4949861</v>
      </c>
    </row>
    <row r="75" spans="1:14" s="259" customFormat="1" ht="15.75" customHeight="1" thickTop="1" thickBot="1" x14ac:dyDescent="0.25">
      <c r="A75" s="1632" t="s">
        <v>49</v>
      </c>
      <c r="B75" s="1633" t="s">
        <v>596</v>
      </c>
      <c r="C75" s="573">
        <v>683</v>
      </c>
      <c r="D75" s="573"/>
      <c r="E75" s="573"/>
      <c r="F75" s="573">
        <v>901</v>
      </c>
      <c r="G75" s="573"/>
      <c r="H75" s="573"/>
      <c r="I75" s="531"/>
      <c r="J75" s="531"/>
      <c r="K75" s="1692">
        <f>SUM(C75:J75)</f>
        <v>1584</v>
      </c>
      <c r="L75" s="576">
        <v>3050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v>478811</v>
      </c>
      <c r="I94" s="477"/>
      <c r="J94" s="477"/>
      <c r="K94" s="1699">
        <f t="shared" si="12"/>
        <v>478811</v>
      </c>
      <c r="L94" s="530">
        <v>601000</v>
      </c>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v>106540</v>
      </c>
      <c r="I96" s="477"/>
      <c r="J96" s="477"/>
      <c r="K96" s="1699">
        <f t="shared" si="12"/>
        <v>106540</v>
      </c>
      <c r="L96" s="530">
        <v>82000</v>
      </c>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585351</v>
      </c>
      <c r="I100" s="477"/>
      <c r="J100" s="477"/>
      <c r="K100" s="1699">
        <f>SUM(K93:K99)</f>
        <v>585351</v>
      </c>
      <c r="L100" s="1699">
        <f>SUM(L93:L99)</f>
        <v>683000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585351</v>
      </c>
      <c r="I102" s="477"/>
      <c r="J102" s="477"/>
      <c r="K102" s="1699">
        <f>SUM(K84,K92,K100,K101)</f>
        <v>585351</v>
      </c>
      <c r="L102" s="1699">
        <f>SUM(L84,L92,L100,L101)</f>
        <v>683000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11522373</v>
      </c>
      <c r="D114" s="1692">
        <f t="shared" ref="D114:K114" si="13">SUM(D33,D74,D75,D102,D112,D113)</f>
        <v>3057465</v>
      </c>
      <c r="E114" s="1692">
        <f t="shared" si="13"/>
        <v>1482589</v>
      </c>
      <c r="F114" s="1692">
        <f t="shared" si="13"/>
        <v>1007679</v>
      </c>
      <c r="G114" s="1692">
        <f t="shared" si="13"/>
        <v>38879</v>
      </c>
      <c r="H114" s="1692">
        <f>SUM(H33,H74,H75,H102,H112,H113)</f>
        <v>1460924</v>
      </c>
      <c r="I114" s="1692">
        <f t="shared" si="13"/>
        <v>72577</v>
      </c>
      <c r="J114" s="1692">
        <f t="shared" si="13"/>
        <v>0</v>
      </c>
      <c r="K114" s="1692">
        <f t="shared" si="13"/>
        <v>18642486</v>
      </c>
      <c r="L114" s="1692">
        <f>SUM(L33,L74,L75,L102,L112,L113)</f>
        <v>19124948</v>
      </c>
    </row>
    <row r="115" spans="1:14" ht="13.5" thickTop="1" x14ac:dyDescent="0.2">
      <c r="A115" s="2173" t="s">
        <v>1053</v>
      </c>
      <c r="B115" s="2174"/>
      <c r="C115" s="619"/>
      <c r="D115" s="619"/>
      <c r="E115" s="619"/>
      <c r="F115" s="619"/>
      <c r="G115" s="619"/>
      <c r="H115" s="619"/>
      <c r="I115" s="619"/>
      <c r="J115" s="619"/>
      <c r="K115" s="1706">
        <f>'Revenues 9-14'!C275-'Expenditures 15-22'!K114</f>
        <v>1477306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1070174</v>
      </c>
      <c r="D124" s="466">
        <v>198627</v>
      </c>
      <c r="E124" s="466">
        <v>323268</v>
      </c>
      <c r="F124" s="466">
        <v>502859</v>
      </c>
      <c r="G124" s="466">
        <v>819755</v>
      </c>
      <c r="H124" s="466"/>
      <c r="I124" s="467">
        <v>35308</v>
      </c>
      <c r="J124" s="467"/>
      <c r="K124" s="1692">
        <f>SUM(C124:J124)</f>
        <v>2949991</v>
      </c>
      <c r="L124" s="466">
        <v>2968358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1070174</v>
      </c>
      <c r="D127" s="1692">
        <f t="shared" ref="D127:L127" si="14">SUM(D122:D126)</f>
        <v>198627</v>
      </c>
      <c r="E127" s="1692">
        <f t="shared" si="14"/>
        <v>323268</v>
      </c>
      <c r="F127" s="1692">
        <f t="shared" si="14"/>
        <v>502859</v>
      </c>
      <c r="G127" s="1692">
        <f t="shared" si="14"/>
        <v>819755</v>
      </c>
      <c r="H127" s="1692">
        <f t="shared" si="14"/>
        <v>0</v>
      </c>
      <c r="I127" s="1692">
        <f t="shared" si="14"/>
        <v>35308</v>
      </c>
      <c r="J127" s="1692">
        <f t="shared" si="14"/>
        <v>0</v>
      </c>
      <c r="K127" s="1692">
        <f t="shared" si="14"/>
        <v>2949991</v>
      </c>
      <c r="L127" s="1692">
        <f t="shared" si="14"/>
        <v>2968358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1070174</v>
      </c>
      <c r="D129" s="1699">
        <f t="shared" ref="D129:L129" si="15">SUM(D120,D127,D128)</f>
        <v>198627</v>
      </c>
      <c r="E129" s="1699">
        <f t="shared" si="15"/>
        <v>323268</v>
      </c>
      <c r="F129" s="1699">
        <f t="shared" si="15"/>
        <v>502859</v>
      </c>
      <c r="G129" s="1699">
        <f t="shared" si="15"/>
        <v>819755</v>
      </c>
      <c r="H129" s="1699">
        <f t="shared" si="15"/>
        <v>0</v>
      </c>
      <c r="I129" s="1699">
        <f t="shared" si="15"/>
        <v>35308</v>
      </c>
      <c r="J129" s="1699">
        <f t="shared" si="15"/>
        <v>0</v>
      </c>
      <c r="K129" s="1699">
        <f t="shared" si="15"/>
        <v>2949991</v>
      </c>
      <c r="L129" s="1699">
        <f t="shared" si="15"/>
        <v>2968358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v>28638</v>
      </c>
      <c r="I135" s="477"/>
      <c r="J135" s="617"/>
      <c r="K135" s="1694">
        <f>SUM(E135,H135)</f>
        <v>28638</v>
      </c>
      <c r="L135" s="466">
        <v>28638</v>
      </c>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28638</v>
      </c>
      <c r="I137" s="477"/>
      <c r="J137" s="617"/>
      <c r="K137" s="1692">
        <f>SUM(K133:K136)</f>
        <v>28638</v>
      </c>
      <c r="L137" s="1692">
        <f>SUM(L133:L136)</f>
        <v>28638</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28638</v>
      </c>
      <c r="I139" s="477"/>
      <c r="J139" s="617"/>
      <c r="K139" s="1694">
        <f>SUM(K137,K138)</f>
        <v>28638</v>
      </c>
      <c r="L139" s="1701">
        <f>SUM(L137,L138)</f>
        <v>28638</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1070174</v>
      </c>
      <c r="D151" s="1692">
        <f t="shared" ref="D151:K151" si="16">SUM(D129,D130,D139,D149,D150)</f>
        <v>198627</v>
      </c>
      <c r="E151" s="1692">
        <f t="shared" si="16"/>
        <v>323268</v>
      </c>
      <c r="F151" s="1692">
        <f t="shared" si="16"/>
        <v>502859</v>
      </c>
      <c r="G151" s="1692">
        <f t="shared" si="16"/>
        <v>819755</v>
      </c>
      <c r="H151" s="1692">
        <f t="shared" si="16"/>
        <v>28638</v>
      </c>
      <c r="I151" s="1692">
        <f t="shared" si="16"/>
        <v>35308</v>
      </c>
      <c r="J151" s="1692">
        <f t="shared" si="16"/>
        <v>0</v>
      </c>
      <c r="K151" s="1692">
        <f t="shared" si="16"/>
        <v>2978629</v>
      </c>
      <c r="L151" s="1692">
        <f>SUM(L129,L130,L139,L149,L150)</f>
        <v>2996996</v>
      </c>
    </row>
    <row r="152" spans="1:14" ht="12.75" customHeight="1" thickTop="1" x14ac:dyDescent="0.2">
      <c r="A152" s="2193" t="s">
        <v>1240</v>
      </c>
      <c r="B152" s="2194"/>
      <c r="C152" s="619"/>
      <c r="D152" s="619"/>
      <c r="E152" s="619"/>
      <c r="F152" s="619"/>
      <c r="G152" s="619"/>
      <c r="H152" s="619"/>
      <c r="I152" s="619"/>
      <c r="J152" s="617"/>
      <c r="K152" s="1706">
        <f>'Revenues 9-14'!D275-'Expenditures 15-22'!K151</f>
        <v>-484649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1349961</v>
      </c>
      <c r="I169" s="617"/>
      <c r="J169" s="617"/>
      <c r="K169" s="1693">
        <f>SUM(C169:H169)</f>
        <v>1349961</v>
      </c>
      <c r="L169" s="657">
        <v>1344342</v>
      </c>
    </row>
    <row r="170" spans="1:14" ht="33.75" customHeight="1" x14ac:dyDescent="0.2">
      <c r="A170" s="670" t="s">
        <v>1769</v>
      </c>
      <c r="B170" s="672" t="s">
        <v>31</v>
      </c>
      <c r="C170" s="617"/>
      <c r="D170" s="617"/>
      <c r="E170" s="617"/>
      <c r="F170" s="617"/>
      <c r="G170" s="617"/>
      <c r="H170" s="569">
        <v>2673773</v>
      </c>
      <c r="I170" s="617"/>
      <c r="J170" s="617"/>
      <c r="K170" s="1693">
        <f>SUM(C170:J170)</f>
        <v>2673773</v>
      </c>
      <c r="L170" s="569">
        <v>2685735</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4023734</v>
      </c>
      <c r="I172" s="639"/>
      <c r="J172" s="617"/>
      <c r="K172" s="1699">
        <f>SUM(K168,K169,K170,K171)</f>
        <v>4023734</v>
      </c>
      <c r="L172" s="1699">
        <f>SUM(L168,L169,L170,L171)</f>
        <v>4030077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4023734</v>
      </c>
      <c r="I174" s="639"/>
      <c r="J174" s="617"/>
      <c r="K174" s="1699">
        <f>SUM(K160,K172,K173)</f>
        <v>4023734</v>
      </c>
      <c r="L174" s="1699">
        <f>SUM(L160,L172,L173)</f>
        <v>4030077</v>
      </c>
    </row>
    <row r="175" spans="1:14" ht="13.5" thickTop="1" x14ac:dyDescent="0.2">
      <c r="A175" s="2173" t="s">
        <v>1053</v>
      </c>
      <c r="B175" s="2174"/>
      <c r="C175" s="617"/>
      <c r="D175" s="617"/>
      <c r="E175" s="617"/>
      <c r="F175" s="617"/>
      <c r="G175" s="617"/>
      <c r="H175" s="619"/>
      <c r="I175" s="617"/>
      <c r="J175" s="617"/>
      <c r="K175" s="1706">
        <f>'Revenues 9-14'!E275-'Expenditures 15-22'!K174</f>
        <v>157387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1025030</v>
      </c>
      <c r="F182" s="466">
        <v>81685</v>
      </c>
      <c r="G182" s="466"/>
      <c r="H182" s="466">
        <v>490</v>
      </c>
      <c r="I182" s="467"/>
      <c r="J182" s="467"/>
      <c r="K182" s="1693">
        <f>SUM(C182:J182)</f>
        <v>1107205</v>
      </c>
      <c r="L182" s="466">
        <v>1123928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1025030</v>
      </c>
      <c r="F184" s="1699">
        <f t="shared" si="17"/>
        <v>81685</v>
      </c>
      <c r="G184" s="1699">
        <f t="shared" si="17"/>
        <v>0</v>
      </c>
      <c r="H184" s="1699">
        <f t="shared" si="17"/>
        <v>490</v>
      </c>
      <c r="I184" s="1699">
        <f t="shared" si="17"/>
        <v>0</v>
      </c>
      <c r="J184" s="1699">
        <f t="shared" si="17"/>
        <v>0</v>
      </c>
      <c r="K184" s="1699">
        <f>SUM(K180,K182,K183)</f>
        <v>1107205</v>
      </c>
      <c r="L184" s="1699">
        <f>SUM(L180, L182:L183)</f>
        <v>1123928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1025030</v>
      </c>
      <c r="F210" s="1692">
        <f>SUM(F184,F185)</f>
        <v>81685</v>
      </c>
      <c r="G210" s="1692">
        <f>SUM(G184,G185)</f>
        <v>0</v>
      </c>
      <c r="H210" s="1692">
        <f>SUM(H184,H185,H196,H208,H209)</f>
        <v>490</v>
      </c>
      <c r="I210" s="1692">
        <f>SUM(I184,I185)</f>
        <v>0</v>
      </c>
      <c r="J210" s="1692">
        <f>SUM(J184,J185)</f>
        <v>0</v>
      </c>
      <c r="K210" s="1693">
        <f>SUM(K184,K185,K196,K208,K209)</f>
        <v>1107205</v>
      </c>
      <c r="L210" s="1692">
        <f>SUM(L184,L185,L196,L208,L209)</f>
        <v>1123928</v>
      </c>
    </row>
    <row r="211" spans="1:14" ht="13.5" thickTop="1" x14ac:dyDescent="0.2">
      <c r="A211" s="2173" t="s">
        <v>1053</v>
      </c>
      <c r="B211" s="2174"/>
      <c r="C211" s="619"/>
      <c r="D211" s="619"/>
      <c r="E211" s="619"/>
      <c r="F211" s="619"/>
      <c r="G211" s="619"/>
      <c r="H211" s="619"/>
      <c r="I211" s="617"/>
      <c r="J211" s="617"/>
      <c r="K211" s="1706">
        <f>'Revenues 9-14'!F275-'Expenditures 15-22'!K210</f>
        <v>256175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v>116814</v>
      </c>
      <c r="E216" s="617"/>
      <c r="F216" s="617"/>
      <c r="G216" s="617"/>
      <c r="H216" s="617"/>
      <c r="I216" s="617"/>
      <c r="J216" s="617"/>
      <c r="K216" s="1693">
        <f t="shared" ref="K216:K228" si="19">D216</f>
        <v>116814</v>
      </c>
      <c r="L216" s="466">
        <v>114695</v>
      </c>
    </row>
    <row r="217" spans="1:14" x14ac:dyDescent="0.2">
      <c r="A217" s="1526" t="s">
        <v>166</v>
      </c>
      <c r="B217" s="615">
        <v>1200</v>
      </c>
      <c r="C217" s="617"/>
      <c r="D217" s="466">
        <v>76752</v>
      </c>
      <c r="E217" s="617"/>
      <c r="F217" s="617"/>
      <c r="G217" s="617"/>
      <c r="H217" s="617"/>
      <c r="I217" s="617"/>
      <c r="J217" s="617"/>
      <c r="K217" s="1693">
        <f t="shared" si="19"/>
        <v>76752</v>
      </c>
      <c r="L217" s="466">
        <v>72912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8833</v>
      </c>
      <c r="E222" s="617"/>
      <c r="F222" s="617"/>
      <c r="G222" s="617"/>
      <c r="H222" s="617"/>
      <c r="I222" s="617"/>
      <c r="J222" s="617"/>
      <c r="K222" s="1693">
        <f t="shared" si="19"/>
        <v>8833</v>
      </c>
      <c r="L222" s="466">
        <v>9159</v>
      </c>
    </row>
    <row r="223" spans="1:14" x14ac:dyDescent="0.2">
      <c r="A223" s="1526" t="s">
        <v>1020</v>
      </c>
      <c r="B223" s="615">
        <v>1500</v>
      </c>
      <c r="C223" s="617"/>
      <c r="D223" s="466">
        <v>37644</v>
      </c>
      <c r="E223" s="617"/>
      <c r="F223" s="617"/>
      <c r="G223" s="617"/>
      <c r="H223" s="617"/>
      <c r="I223" s="617"/>
      <c r="J223" s="617"/>
      <c r="K223" s="1693">
        <f t="shared" si="19"/>
        <v>37644</v>
      </c>
      <c r="L223" s="466">
        <v>33464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1540</v>
      </c>
      <c r="E226" s="617"/>
      <c r="F226" s="617"/>
      <c r="G226" s="617"/>
      <c r="H226" s="617"/>
      <c r="I226" s="617"/>
      <c r="J226" s="617"/>
      <c r="K226" s="1693">
        <f t="shared" si="19"/>
        <v>1540</v>
      </c>
      <c r="L226" s="466">
        <v>1403</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241583</v>
      </c>
      <c r="E229" s="617"/>
      <c r="F229" s="617"/>
      <c r="G229" s="617"/>
      <c r="H229" s="617"/>
      <c r="I229" s="617"/>
      <c r="J229" s="617"/>
      <c r="K229" s="1692">
        <f>SUM(K215:K228)</f>
        <v>241583</v>
      </c>
      <c r="L229" s="1692">
        <f>SUM(L215:L228)</f>
        <v>231633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14498</v>
      </c>
      <c r="E232" s="617"/>
      <c r="F232" s="617"/>
      <c r="G232" s="617"/>
      <c r="H232" s="617"/>
      <c r="I232" s="617"/>
      <c r="J232" s="617"/>
      <c r="K232" s="1693">
        <f t="shared" ref="K232:K237" si="20">D232</f>
        <v>14498</v>
      </c>
      <c r="L232" s="466">
        <v>14488</v>
      </c>
    </row>
    <row r="233" spans="1:12" x14ac:dyDescent="0.2">
      <c r="A233" s="1526" t="s">
        <v>1151</v>
      </c>
      <c r="B233" s="615">
        <v>2120</v>
      </c>
      <c r="C233" s="617"/>
      <c r="D233" s="466">
        <v>11633</v>
      </c>
      <c r="E233" s="617"/>
      <c r="F233" s="617"/>
      <c r="G233" s="617"/>
      <c r="H233" s="617"/>
      <c r="I233" s="617"/>
      <c r="J233" s="617"/>
      <c r="K233" s="1693">
        <f t="shared" si="20"/>
        <v>11633</v>
      </c>
      <c r="L233" s="466">
        <v>11707</v>
      </c>
    </row>
    <row r="234" spans="1:12" x14ac:dyDescent="0.2">
      <c r="A234" s="1526" t="s">
        <v>207</v>
      </c>
      <c r="B234" s="615">
        <v>2130</v>
      </c>
      <c r="C234" s="617"/>
      <c r="D234" s="466">
        <v>786</v>
      </c>
      <c r="E234" s="617"/>
      <c r="F234" s="617"/>
      <c r="G234" s="617"/>
      <c r="H234" s="617"/>
      <c r="I234" s="617"/>
      <c r="J234" s="617"/>
      <c r="K234" s="1693">
        <f t="shared" si="20"/>
        <v>786</v>
      </c>
      <c r="L234" s="466">
        <v>778</v>
      </c>
    </row>
    <row r="235" spans="1:12" x14ac:dyDescent="0.2">
      <c r="A235" s="1526" t="s">
        <v>208</v>
      </c>
      <c r="B235" s="615">
        <v>2140</v>
      </c>
      <c r="C235" s="617"/>
      <c r="D235" s="466">
        <v>1299</v>
      </c>
      <c r="E235" s="617"/>
      <c r="F235" s="617"/>
      <c r="G235" s="617"/>
      <c r="H235" s="617"/>
      <c r="I235" s="617"/>
      <c r="J235" s="617"/>
      <c r="K235" s="1693">
        <f t="shared" si="20"/>
        <v>1299</v>
      </c>
      <c r="L235" s="466">
        <v>1275</v>
      </c>
    </row>
    <row r="236" spans="1:12" x14ac:dyDescent="0.2">
      <c r="A236" s="1526" t="s">
        <v>209</v>
      </c>
      <c r="B236" s="615">
        <v>2150</v>
      </c>
      <c r="C236" s="617"/>
      <c r="D236" s="466">
        <v>887</v>
      </c>
      <c r="E236" s="617"/>
      <c r="F236" s="617"/>
      <c r="G236" s="617"/>
      <c r="H236" s="617"/>
      <c r="I236" s="617"/>
      <c r="J236" s="617"/>
      <c r="K236" s="1693">
        <f t="shared" si="20"/>
        <v>887</v>
      </c>
      <c r="L236" s="466">
        <v>875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29103</v>
      </c>
      <c r="E238" s="617"/>
      <c r="F238" s="617"/>
      <c r="G238" s="617"/>
      <c r="H238" s="617"/>
      <c r="I238" s="617"/>
      <c r="J238" s="617"/>
      <c r="K238" s="1692">
        <f>SUM(K232:K237)</f>
        <v>29103</v>
      </c>
      <c r="L238" s="1692">
        <f>SUM(L232:L237)</f>
        <v>29123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30705</v>
      </c>
      <c r="E240" s="617"/>
      <c r="F240" s="617"/>
      <c r="G240" s="617"/>
      <c r="H240" s="617"/>
      <c r="I240" s="617"/>
      <c r="J240" s="617"/>
      <c r="K240" s="1694">
        <f>D240</f>
        <v>30705</v>
      </c>
      <c r="L240" s="481">
        <v>32463</v>
      </c>
    </row>
    <row r="241" spans="1:12" x14ac:dyDescent="0.2">
      <c r="A241" s="1526" t="s">
        <v>869</v>
      </c>
      <c r="B241" s="615">
        <v>2220</v>
      </c>
      <c r="C241" s="617"/>
      <c r="D241" s="466">
        <v>5036</v>
      </c>
      <c r="E241" s="617"/>
      <c r="F241" s="617"/>
      <c r="G241" s="617"/>
      <c r="H241" s="617"/>
      <c r="I241" s="617"/>
      <c r="J241" s="617"/>
      <c r="K241" s="1694">
        <f>D241</f>
        <v>5036</v>
      </c>
      <c r="L241" s="466">
        <v>4432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35741</v>
      </c>
      <c r="E243" s="617"/>
      <c r="F243" s="617"/>
      <c r="G243" s="617"/>
      <c r="H243" s="617"/>
      <c r="I243" s="617"/>
      <c r="J243" s="617"/>
      <c r="K243" s="1692">
        <f>SUM(K240:K242)</f>
        <v>35741</v>
      </c>
      <c r="L243" s="1692">
        <f>SUM(L240:L242)</f>
        <v>36895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769</v>
      </c>
      <c r="E245" s="617"/>
      <c r="F245" s="617"/>
      <c r="G245" s="617"/>
      <c r="H245" s="617"/>
      <c r="I245" s="617"/>
      <c r="J245" s="617"/>
      <c r="K245" s="1694">
        <f>D245</f>
        <v>769</v>
      </c>
      <c r="L245" s="481">
        <v>750</v>
      </c>
    </row>
    <row r="246" spans="1:12" x14ac:dyDescent="0.2">
      <c r="A246" s="1526" t="s">
        <v>872</v>
      </c>
      <c r="B246" s="615">
        <v>2320</v>
      </c>
      <c r="C246" s="617"/>
      <c r="D246" s="466">
        <v>14934</v>
      </c>
      <c r="E246" s="617"/>
      <c r="F246" s="617"/>
      <c r="G246" s="617"/>
      <c r="H246" s="617"/>
      <c r="I246" s="617"/>
      <c r="J246" s="617"/>
      <c r="K246" s="1694">
        <f t="shared" ref="K246:K256" si="21">D246</f>
        <v>14934</v>
      </c>
      <c r="L246" s="466">
        <v>14660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21597</v>
      </c>
      <c r="E254" s="617"/>
      <c r="F254" s="617"/>
      <c r="G254" s="617"/>
      <c r="H254" s="617"/>
      <c r="I254" s="617"/>
      <c r="J254" s="617"/>
      <c r="K254" s="1694">
        <f t="shared" si="21"/>
        <v>21597</v>
      </c>
      <c r="L254" s="466">
        <v>21476</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37300</v>
      </c>
      <c r="E257" s="617"/>
      <c r="F257" s="617"/>
      <c r="G257" s="617"/>
      <c r="H257" s="617"/>
      <c r="I257" s="617"/>
      <c r="J257" s="617"/>
      <c r="K257" s="1692">
        <f>SUM(K245:K256)</f>
        <v>37300</v>
      </c>
      <c r="L257" s="1692">
        <f>SUM(L245:L256)</f>
        <v>36886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38068</v>
      </c>
      <c r="E259" s="617"/>
      <c r="F259" s="617"/>
      <c r="G259" s="617"/>
      <c r="H259" s="617"/>
      <c r="I259" s="617"/>
      <c r="J259" s="617"/>
      <c r="K259" s="1694">
        <f>D259</f>
        <v>38068</v>
      </c>
      <c r="L259" s="481">
        <v>37672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38068</v>
      </c>
      <c r="E261" s="617"/>
      <c r="F261" s="617"/>
      <c r="G261" s="617"/>
      <c r="H261" s="617"/>
      <c r="I261" s="617"/>
      <c r="J261" s="617"/>
      <c r="K261" s="1692">
        <f>SUM(K259:K260)</f>
        <v>38068</v>
      </c>
      <c r="L261" s="1692">
        <f>SUM(L259:L260)</f>
        <v>37672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43787</v>
      </c>
      <c r="E264" s="617"/>
      <c r="F264" s="617"/>
      <c r="G264" s="617"/>
      <c r="H264" s="617"/>
      <c r="I264" s="617"/>
      <c r="J264" s="617"/>
      <c r="K264" s="1694">
        <f t="shared" ref="K264:K269" si="22">D264</f>
        <v>43787</v>
      </c>
      <c r="L264" s="466">
        <v>43288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209245</v>
      </c>
      <c r="E266" s="617"/>
      <c r="F266" s="617"/>
      <c r="G266" s="617"/>
      <c r="H266" s="617"/>
      <c r="I266" s="617"/>
      <c r="J266" s="617"/>
      <c r="K266" s="1694">
        <f t="shared" si="22"/>
        <v>209245</v>
      </c>
      <c r="L266" s="466">
        <v>206349</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48418</v>
      </c>
      <c r="E268" s="617"/>
      <c r="F268" s="617"/>
      <c r="G268" s="617"/>
      <c r="H268" s="617"/>
      <c r="I268" s="617"/>
      <c r="J268" s="617"/>
      <c r="K268" s="1694">
        <f t="shared" si="22"/>
        <v>48418</v>
      </c>
      <c r="L268" s="466">
        <v>48792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301450</v>
      </c>
      <c r="E270" s="617"/>
      <c r="F270" s="617"/>
      <c r="G270" s="617"/>
      <c r="H270" s="617"/>
      <c r="I270" s="617"/>
      <c r="J270" s="617"/>
      <c r="K270" s="1692">
        <f>SUM(K263:K269)</f>
        <v>301450</v>
      </c>
      <c r="L270" s="1692">
        <f>SUM(L263:L269)</f>
        <v>298429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10218</v>
      </c>
      <c r="E276" s="617"/>
      <c r="F276" s="617"/>
      <c r="G276" s="617"/>
      <c r="H276" s="617"/>
      <c r="I276" s="617"/>
      <c r="J276" s="617"/>
      <c r="K276" s="1694">
        <f>D276</f>
        <v>10218</v>
      </c>
      <c r="L276" s="466">
        <v>10172</v>
      </c>
    </row>
    <row r="277" spans="1:12" ht="12.75" customHeight="1" thickBot="1" x14ac:dyDescent="0.25">
      <c r="A277" s="1713" t="s">
        <v>37</v>
      </c>
      <c r="B277" s="1691" t="s">
        <v>36</v>
      </c>
      <c r="C277" s="617"/>
      <c r="D277" s="1692">
        <f>SUM(D272:D276)</f>
        <v>10218</v>
      </c>
      <c r="E277" s="617"/>
      <c r="F277" s="617"/>
      <c r="G277" s="617"/>
      <c r="H277" s="617"/>
      <c r="I277" s="617"/>
      <c r="J277" s="617"/>
      <c r="K277" s="1692">
        <f>SUM(K272:K276)</f>
        <v>10218</v>
      </c>
      <c r="L277" s="1692">
        <f>SUM(L272:L276)</f>
        <v>10172</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451880</v>
      </c>
      <c r="E279" s="617"/>
      <c r="F279" s="617"/>
      <c r="G279" s="617"/>
      <c r="H279" s="617"/>
      <c r="I279" s="617"/>
      <c r="J279" s="617"/>
      <c r="K279" s="1699">
        <f>SUM(K238,K243,K257,K261,K270,K277,K278)</f>
        <v>451880</v>
      </c>
      <c r="L279" s="1699">
        <f>SUM(L238,L243,L257,L261,L270,L277,L278)</f>
        <v>449177</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693463</v>
      </c>
      <c r="E295" s="617"/>
      <c r="F295" s="617"/>
      <c r="G295" s="617"/>
      <c r="H295" s="1692">
        <f>H293</f>
        <v>0</v>
      </c>
      <c r="I295" s="617"/>
      <c r="J295" s="617"/>
      <c r="K295" s="1692">
        <f>SUM(K229,K279,K280,K285,K293,K294)</f>
        <v>693463</v>
      </c>
      <c r="L295" s="1692">
        <f>SUM(L229,L279,L280,L285,L293,L294)</f>
        <v>680810</v>
      </c>
    </row>
    <row r="296" spans="1:14" ht="13.5" thickTop="1" x14ac:dyDescent="0.2">
      <c r="A296" s="2173" t="s">
        <v>1053</v>
      </c>
      <c r="B296" s="2174"/>
      <c r="C296" s="617"/>
      <c r="D296" s="619"/>
      <c r="E296" s="617"/>
      <c r="F296" s="617"/>
      <c r="G296" s="617"/>
      <c r="H296" s="688"/>
      <c r="I296" s="617"/>
      <c r="J296" s="617"/>
      <c r="K296" s="1706">
        <f>'Revenues 9-14'!G275-'Expenditures 15-22'!K295</f>
        <v>14199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64687</v>
      </c>
      <c r="F321" s="467"/>
      <c r="G321" s="467"/>
      <c r="H321" s="467"/>
      <c r="I321" s="467"/>
      <c r="J321" s="467"/>
      <c r="K321" s="1693">
        <f t="shared" si="24"/>
        <v>64687</v>
      </c>
      <c r="L321" s="467">
        <v>66511</v>
      </c>
      <c r="M321" s="666"/>
      <c r="N321" s="666"/>
    </row>
    <row r="322" spans="1:14" s="675" customFormat="1" x14ac:dyDescent="0.2">
      <c r="A322" s="1541" t="s">
        <v>256</v>
      </c>
      <c r="B322" s="698" t="s">
        <v>302</v>
      </c>
      <c r="C322" s="467"/>
      <c r="D322" s="467"/>
      <c r="E322" s="467">
        <v>16757</v>
      </c>
      <c r="F322" s="467"/>
      <c r="G322" s="467"/>
      <c r="H322" s="467"/>
      <c r="I322" s="467"/>
      <c r="J322" s="467"/>
      <c r="K322" s="1693">
        <f t="shared" si="24"/>
        <v>16757</v>
      </c>
      <c r="L322" s="467">
        <v>16500</v>
      </c>
      <c r="M322" s="666"/>
      <c r="N322" s="666"/>
    </row>
    <row r="323" spans="1:14" s="675" customFormat="1" x14ac:dyDescent="0.2">
      <c r="A323" s="1541" t="s">
        <v>726</v>
      </c>
      <c r="B323" s="698" t="s">
        <v>303</v>
      </c>
      <c r="C323" s="467"/>
      <c r="D323" s="467"/>
      <c r="E323" s="467">
        <v>28541</v>
      </c>
      <c r="F323" s="467"/>
      <c r="G323" s="467"/>
      <c r="H323" s="467"/>
      <c r="I323" s="467"/>
      <c r="J323" s="467"/>
      <c r="K323" s="1693">
        <f t="shared" si="24"/>
        <v>28541</v>
      </c>
      <c r="L323" s="467">
        <v>28500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109048</v>
      </c>
      <c r="D325" s="467"/>
      <c r="E325" s="467">
        <v>89171</v>
      </c>
      <c r="F325" s="467"/>
      <c r="G325" s="467"/>
      <c r="H325" s="467"/>
      <c r="I325" s="467"/>
      <c r="J325" s="467"/>
      <c r="K325" s="1693">
        <f t="shared" si="24"/>
        <v>198219</v>
      </c>
      <c r="L325" s="467">
        <v>160438</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68820</v>
      </c>
      <c r="F328" s="474"/>
      <c r="G328" s="474"/>
      <c r="H328" s="474"/>
      <c r="I328" s="474"/>
      <c r="J328" s="474"/>
      <c r="K328" s="1721">
        <f>SUM(C328:J328)</f>
        <v>68820</v>
      </c>
      <c r="L328" s="474">
        <v>68750</v>
      </c>
      <c r="M328" s="666"/>
      <c r="N328" s="666"/>
    </row>
    <row r="329" spans="1:14" s="675" customFormat="1" x14ac:dyDescent="0.2">
      <c r="A329" s="1542" t="s">
        <v>1195</v>
      </c>
      <c r="B329" s="691" t="s">
        <v>1196</v>
      </c>
      <c r="C329" s="474"/>
      <c r="D329" s="474"/>
      <c r="E329" s="474">
        <v>6517</v>
      </c>
      <c r="F329" s="474"/>
      <c r="G329" s="474"/>
      <c r="H329" s="474"/>
      <c r="I329" s="474"/>
      <c r="J329" s="474"/>
      <c r="K329" s="1721">
        <f>SUM(C329:J329)</f>
        <v>6517</v>
      </c>
      <c r="L329" s="474">
        <v>6550</v>
      </c>
      <c r="M329" s="666"/>
      <c r="N329" s="666"/>
    </row>
    <row r="330" spans="1:14" s="675" customFormat="1" ht="12.75" customHeight="1" thickBot="1" x14ac:dyDescent="0.25">
      <c r="A330" s="1722" t="s">
        <v>741</v>
      </c>
      <c r="B330" s="1691" t="s">
        <v>590</v>
      </c>
      <c r="C330" s="1692">
        <f>SUM(C319:C329)</f>
        <v>109048</v>
      </c>
      <c r="D330" s="1692">
        <f t="shared" ref="D330:J330" si="25">SUM(D319:D329)</f>
        <v>0</v>
      </c>
      <c r="E330" s="1692">
        <f t="shared" si="25"/>
        <v>274493</v>
      </c>
      <c r="F330" s="1692">
        <f t="shared" si="25"/>
        <v>0</v>
      </c>
      <c r="G330" s="1692">
        <f t="shared" si="25"/>
        <v>0</v>
      </c>
      <c r="H330" s="1692">
        <f t="shared" si="25"/>
        <v>0</v>
      </c>
      <c r="I330" s="1692">
        <f t="shared" si="25"/>
        <v>0</v>
      </c>
      <c r="J330" s="1692">
        <f t="shared" si="25"/>
        <v>0</v>
      </c>
      <c r="K330" s="1692">
        <f>SUM(K319:K329)</f>
        <v>383541</v>
      </c>
      <c r="L330" s="1692">
        <f>SUM(L319:L329)</f>
        <v>347249</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109048</v>
      </c>
      <c r="D342" s="1692">
        <f>SUM(D330)</f>
        <v>0</v>
      </c>
      <c r="E342" s="1692">
        <f>SUM(E330)</f>
        <v>274493</v>
      </c>
      <c r="F342" s="1692">
        <f>SUM(F330)</f>
        <v>0</v>
      </c>
      <c r="G342" s="1692">
        <f>SUM(G330)</f>
        <v>0</v>
      </c>
      <c r="H342" s="1692">
        <f>SUM(H330,H334,H340)</f>
        <v>0</v>
      </c>
      <c r="I342" s="1692">
        <f>SUM(I330)</f>
        <v>0</v>
      </c>
      <c r="J342" s="1692">
        <f>SUM(J330)</f>
        <v>0</v>
      </c>
      <c r="K342" s="1692">
        <f>SUM(K330,K334,K340)</f>
        <v>383541</v>
      </c>
      <c r="L342" s="1699">
        <f>SUM(L330,L340,L341)</f>
        <v>347249</v>
      </c>
    </row>
    <row r="343" spans="1:14" ht="12.75" customHeight="1" thickTop="1" x14ac:dyDescent="0.2">
      <c r="A343" s="2186" t="s">
        <v>1053</v>
      </c>
      <c r="B343" s="2187"/>
      <c r="C343" s="617"/>
      <c r="D343" s="617"/>
      <c r="E343" s="617"/>
      <c r="F343" s="617"/>
      <c r="G343" s="617"/>
      <c r="H343" s="617"/>
      <c r="I343" s="617"/>
      <c r="J343" s="617"/>
      <c r="K343" s="1706">
        <f>'Revenues 9-14'!J275-'Expenditures 15-22'!K342</f>
        <v>-35581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1053</v>
      </c>
      <c r="B368" s="217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infopath/2007/PartnerControls"/>
    <ds:schemaRef ds:uri="http://schemas.microsoft.com/sharepoint/v3"/>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2018-12-17T20:13:06Z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