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1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1)" sheetId="184" r:id="rId32"/>
    <sheet name="SF&amp;QC Sec-2 (2)" sheetId="185" r:id="rId33"/>
    <sheet name="SF&amp;QC Sec-2 (3)" sheetId="186" r:id="rId34"/>
    <sheet name="SF&amp;QC Sec-3" sheetId="176" r:id="rId35"/>
    <sheet name="SSPAF" sheetId="177" r:id="rId36"/>
    <sheet name="CAP" sheetId="193" r:id="rId37"/>
  </sheets>
  <definedNames>
    <definedName name="_xlnm.Print_Area" localSheetId="28">' SEFA'!$B$1:$M$101</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81029"/>
</workbook>
</file>

<file path=xl/calcChain.xml><?xml version="1.0" encoding="utf-8"?>
<calcChain xmlns="http://schemas.openxmlformats.org/spreadsheetml/2006/main">
  <c r="C194" i="5" l="1"/>
  <c r="F12" i="179"/>
  <c r="C4" i="3" l="1"/>
  <c r="E32" i="3" l="1"/>
  <c r="B4" i="186" l="1"/>
  <c r="B4" i="185"/>
  <c r="B4" i="184"/>
  <c r="E245" i="5" l="1"/>
  <c r="G124" i="29" l="1"/>
  <c r="D280" i="29"/>
  <c r="D275" i="29"/>
  <c r="D268" i="29"/>
  <c r="D267" i="29"/>
  <c r="D266" i="29"/>
  <c r="D264" i="29"/>
  <c r="D263" i="29"/>
  <c r="D259" i="29"/>
  <c r="D254" i="29"/>
  <c r="D247" i="29"/>
  <c r="D246" i="29"/>
  <c r="D245" i="29"/>
  <c r="D241" i="29"/>
  <c r="D240" i="29"/>
  <c r="D234" i="29"/>
  <c r="D227" i="29"/>
  <c r="D219" i="29"/>
  <c r="D217" i="29"/>
  <c r="D215" i="29"/>
  <c r="I80" i="179" l="1"/>
  <c r="I79" i="179"/>
  <c r="G80" i="179"/>
  <c r="G79" i="179"/>
  <c r="G81" i="179" s="1"/>
  <c r="F80" i="179"/>
  <c r="F79" i="179"/>
  <c r="E80" i="179"/>
  <c r="E79" i="179"/>
  <c r="I75" i="179"/>
  <c r="I74" i="179"/>
  <c r="G75" i="179"/>
  <c r="G74" i="179"/>
  <c r="F75" i="179"/>
  <c r="F74" i="179"/>
  <c r="E75" i="179"/>
  <c r="E74" i="179"/>
  <c r="I68" i="179"/>
  <c r="G68" i="179"/>
  <c r="F68" i="179"/>
  <c r="E68" i="179"/>
  <c r="L67" i="179"/>
  <c r="L66" i="179"/>
  <c r="M61" i="179"/>
  <c r="I61" i="179"/>
  <c r="G61" i="179"/>
  <c r="F61" i="179"/>
  <c r="E61" i="179"/>
  <c r="L60" i="179"/>
  <c r="L59" i="179"/>
  <c r="M57" i="179"/>
  <c r="I57" i="179"/>
  <c r="G57" i="179"/>
  <c r="F57" i="179"/>
  <c r="E57" i="179"/>
  <c r="L56" i="179"/>
  <c r="L55" i="179"/>
  <c r="I52" i="179"/>
  <c r="G52" i="179"/>
  <c r="F52" i="179"/>
  <c r="E52" i="179"/>
  <c r="L51" i="179"/>
  <c r="L50" i="179"/>
  <c r="L45" i="179"/>
  <c r="I39" i="179"/>
  <c r="G39" i="179"/>
  <c r="F39" i="179"/>
  <c r="E39" i="179"/>
  <c r="L38" i="179"/>
  <c r="L37" i="179"/>
  <c r="L68" i="179" l="1"/>
  <c r="F76" i="179"/>
  <c r="L52" i="179"/>
  <c r="I76" i="179"/>
  <c r="E81" i="179"/>
  <c r="I63" i="179"/>
  <c r="L39" i="179"/>
  <c r="G76" i="179"/>
  <c r="E76" i="179"/>
  <c r="I81" i="179"/>
  <c r="L80" i="179"/>
  <c r="L79" i="179"/>
  <c r="L61" i="179"/>
  <c r="E63" i="179"/>
  <c r="F81" i="179"/>
  <c r="F63" i="179"/>
  <c r="G63" i="179"/>
  <c r="L81" i="179"/>
  <c r="L57" i="179"/>
  <c r="L63" i="179" s="1"/>
  <c r="I35" i="179"/>
  <c r="G35" i="179"/>
  <c r="F35" i="179"/>
  <c r="E35" i="179"/>
  <c r="L34" i="179"/>
  <c r="L33" i="179"/>
  <c r="I31" i="179"/>
  <c r="G31" i="179"/>
  <c r="F31" i="179"/>
  <c r="E31" i="179"/>
  <c r="L30" i="179"/>
  <c r="L29" i="179"/>
  <c r="M22" i="179"/>
  <c r="I22" i="179"/>
  <c r="G22" i="179"/>
  <c r="F22" i="179"/>
  <c r="E22" i="179"/>
  <c r="M18" i="179"/>
  <c r="I18" i="179"/>
  <c r="G18" i="179"/>
  <c r="F18" i="179"/>
  <c r="E18" i="179"/>
  <c r="M14" i="179"/>
  <c r="I14" i="179"/>
  <c r="G14" i="179"/>
  <c r="F14" i="179"/>
  <c r="E14" i="179"/>
  <c r="I41" i="179" l="1"/>
  <c r="G41" i="179"/>
  <c r="F41" i="179"/>
  <c r="L35" i="179"/>
  <c r="L74" i="179"/>
  <c r="L75" i="179"/>
  <c r="E41" i="179"/>
  <c r="M26" i="179"/>
  <c r="I26" i="179"/>
  <c r="I47" i="179" s="1"/>
  <c r="I70" i="179" s="1"/>
  <c r="F26" i="179"/>
  <c r="F47" i="179" s="1"/>
  <c r="F70" i="179" s="1"/>
  <c r="D35" i="171" s="1"/>
  <c r="G26" i="179"/>
  <c r="G47" i="179" s="1"/>
  <c r="G70" i="179" s="1"/>
  <c r="L31" i="179"/>
  <c r="L41" i="179" s="1"/>
  <c r="E26" i="179"/>
  <c r="E10" i="108"/>
  <c r="I13" i="11"/>
  <c r="H13" i="11"/>
  <c r="D13" i="11"/>
  <c r="C13" i="11"/>
  <c r="E47" i="179" l="1"/>
  <c r="E70" i="179" s="1"/>
  <c r="L76" i="179"/>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4" i="179" l="1"/>
  <c r="L21" i="179"/>
  <c r="L20" i="179"/>
  <c r="L17" i="179"/>
  <c r="L16" i="179"/>
  <c r="L13" i="179"/>
  <c r="L12" i="179"/>
  <c r="L11" i="179"/>
  <c r="L22" i="179" l="1"/>
  <c r="L18" i="179"/>
  <c r="L14" i="179"/>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2" i="179"/>
  <c r="B2" i="186"/>
  <c r="B2" i="185"/>
  <c r="B2" i="184"/>
  <c r="L26" i="179"/>
  <c r="L47" i="179" s="1"/>
  <c r="L70" i="179" s="1"/>
  <c r="A2" i="173"/>
  <c r="B2" i="174"/>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D7734" i="106" s="1"/>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9" i="127"/>
  <c r="B70" i="127"/>
  <c r="E26" i="108"/>
  <c r="G26" i="108"/>
  <c r="E27" i="108"/>
  <c r="F27" i="108"/>
  <c r="G27" i="108"/>
  <c r="G28" i="108"/>
  <c r="E30" i="108"/>
  <c r="G30" i="108"/>
  <c r="D31" i="108"/>
  <c r="E31" i="108"/>
  <c r="G31" i="108"/>
  <c r="E33" i="108"/>
  <c r="G33"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B7047" i="106" l="1"/>
  <c r="D7047" i="106" s="1"/>
  <c r="F37" i="108"/>
  <c r="F38" i="34"/>
  <c r="K24" i="12"/>
  <c r="L22" i="37"/>
  <c r="D22" i="37"/>
  <c r="B131" i="106"/>
  <c r="D131" i="106" s="1"/>
  <c r="E39" i="3"/>
  <c r="B140" i="106" s="1"/>
  <c r="D140" i="106" s="1"/>
  <c r="H28" i="118"/>
  <c r="K28" i="118" s="1"/>
  <c r="O27" i="118" s="1"/>
  <c r="O29" i="118" s="1"/>
  <c r="G14" i="4"/>
  <c r="B2609" i="106" s="1"/>
  <c r="D2609" i="106" s="1"/>
  <c r="G34" i="108"/>
  <c r="B7074" i="106"/>
  <c r="D7074" i="106" s="1"/>
  <c r="F69" i="34"/>
  <c r="B6289" i="106"/>
  <c r="D6289" i="106" s="1"/>
  <c r="F68" i="34"/>
  <c r="F72" i="34"/>
  <c r="B2724" i="106"/>
  <c r="D2724" i="106" s="1"/>
  <c r="B1126" i="106"/>
  <c r="D1126" i="106" s="1"/>
  <c r="D36" i="108"/>
  <c r="F36" i="108"/>
  <c r="D9" i="7"/>
  <c r="B1767" i="106" s="1"/>
  <c r="D1767" i="106" s="1"/>
  <c r="F172" i="5"/>
  <c r="B5644" i="106" s="1"/>
  <c r="D5644" i="106" s="1"/>
  <c r="D69" i="36"/>
  <c r="D68" i="36"/>
  <c r="K285" i="29"/>
  <c r="B3724" i="106" s="1"/>
  <c r="D3724" i="106" s="1"/>
  <c r="G38" i="108"/>
  <c r="D54" i="36"/>
  <c r="F36" i="34"/>
  <c r="F71" i="34"/>
  <c r="F70" i="34"/>
  <c r="J22" i="37"/>
  <c r="H33" i="118"/>
  <c r="F28" i="108"/>
  <c r="E28" i="108"/>
  <c r="L342" i="29"/>
  <c r="D5" i="4"/>
  <c r="B3406" i="106" s="1"/>
  <c r="D3406" i="106" s="1"/>
  <c r="J274" i="5"/>
  <c r="B7054" i="106" s="1"/>
  <c r="D7054" i="106" s="1"/>
  <c r="G352" i="29"/>
  <c r="G367" i="29" s="1"/>
  <c r="B3650" i="106" s="1"/>
  <c r="D3650" i="106" s="1"/>
  <c r="F37" i="34"/>
  <c r="E38" i="108"/>
  <c r="H342" i="29"/>
  <c r="B7221" i="106" s="1"/>
  <c r="D7221" i="106" s="1"/>
  <c r="K184" i="29"/>
  <c r="F13" i="4" s="1"/>
  <c r="B2596" i="106" s="1"/>
  <c r="D2596" i="106" s="1"/>
  <c r="B3619" i="106"/>
  <c r="D3619" i="106" s="1"/>
  <c r="F128" i="34"/>
  <c r="F106" i="34"/>
  <c r="F127" i="34"/>
  <c r="B7231" i="106"/>
  <c r="D7231" i="106" s="1"/>
  <c r="F130" i="34"/>
  <c r="D4" i="7"/>
  <c r="B1760" i="106" s="1"/>
  <c r="D1760" i="106" s="1"/>
  <c r="K350" i="29"/>
  <c r="B3670" i="106" s="1"/>
  <c r="D3670" i="106" s="1"/>
  <c r="L5" i="11"/>
  <c r="B2056" i="106" s="1"/>
  <c r="D2056" i="106" s="1"/>
  <c r="L312" i="29"/>
  <c r="F44" i="34"/>
  <c r="I342" i="29"/>
  <c r="B7222" i="106" s="1"/>
  <c r="D7222" i="106" s="1"/>
  <c r="K274" i="5"/>
  <c r="K7" i="4" s="1"/>
  <c r="B3718" i="106" s="1"/>
  <c r="D3718" i="106" s="1"/>
  <c r="C342" i="29"/>
  <c r="B7216" i="106" s="1"/>
  <c r="D7216" i="106" s="1"/>
  <c r="F131" i="34"/>
  <c r="I173" i="5"/>
  <c r="B4216" i="106" s="1"/>
  <c r="D4216" i="106" s="1"/>
  <c r="F41" i="34"/>
  <c r="H365" i="29"/>
  <c r="B7242" i="106" s="1"/>
  <c r="D7242" i="106" s="1"/>
  <c r="J77" i="4"/>
  <c r="B6262" i="106" s="1"/>
  <c r="D6262" i="106" s="1"/>
  <c r="H76" i="4"/>
  <c r="B3298" i="106" s="1"/>
  <c r="D3298" i="106" s="1"/>
  <c r="H109" i="5"/>
  <c r="B6025" i="106" s="1"/>
  <c r="D6025" i="106" s="1"/>
  <c r="J210" i="29"/>
  <c r="B7072" i="106" s="1"/>
  <c r="D7072" i="106" s="1"/>
  <c r="I210" i="29"/>
  <c r="B7071" i="106" s="1"/>
  <c r="D7071" i="106" s="1"/>
  <c r="G172" i="5"/>
  <c r="G173" i="5" s="1"/>
  <c r="B5778" i="106" s="1"/>
  <c r="D5778" i="106" s="1"/>
  <c r="K41" i="3"/>
  <c r="B3568" i="106" s="1"/>
  <c r="D3568" i="106" s="1"/>
  <c r="B5161" i="106"/>
  <c r="D5161" i="106" s="1"/>
  <c r="L15" i="11"/>
  <c r="B3459" i="106" s="1"/>
  <c r="D3459" i="106" s="1"/>
  <c r="B1746" i="106"/>
  <c r="D1746" i="106" s="1"/>
  <c r="F34" i="34"/>
  <c r="J367" i="29"/>
  <c r="B7245" i="106" s="1"/>
  <c r="D7245" i="106" s="1"/>
  <c r="B7235" i="106"/>
  <c r="D7235" i="106" s="1"/>
  <c r="F50" i="34"/>
  <c r="K173" i="5"/>
  <c r="K6" i="4" s="1"/>
  <c r="B3570" i="106" s="1"/>
  <c r="D3570" i="106" s="1"/>
  <c r="E35" i="108"/>
  <c r="F111" i="34"/>
  <c r="D6103" i="106"/>
  <c r="L367" i="29"/>
  <c r="G5" i="4"/>
  <c r="B3409" i="106" s="1"/>
  <c r="D3409" i="106" s="1"/>
  <c r="B4087" i="106"/>
  <c r="D4087" i="106" s="1"/>
  <c r="D11" i="37"/>
  <c r="I274" i="5"/>
  <c r="B4435" i="106" s="1"/>
  <c r="D4435" i="106" s="1"/>
  <c r="J129" i="29"/>
  <c r="B7038" i="106" s="1"/>
  <c r="D7038" i="106" s="1"/>
  <c r="E109" i="5"/>
  <c r="E4" i="4" s="1"/>
  <c r="B2630" i="106" s="1"/>
  <c r="D2630" i="106" s="1"/>
  <c r="F46" i="34"/>
  <c r="D31" i="36"/>
  <c r="I129" i="29"/>
  <c r="B7037" i="106" s="1"/>
  <c r="D7037" i="106" s="1"/>
  <c r="I24" i="12"/>
  <c r="C129" i="29"/>
  <c r="C151" i="29" s="1"/>
  <c r="B1226" i="106" s="1"/>
  <c r="D1226" i="106" s="1"/>
  <c r="F136" i="34"/>
  <c r="B7041" i="106"/>
  <c r="D7041" i="106" s="1"/>
  <c r="F45" i="34"/>
  <c r="B4268" i="106"/>
  <c r="D4268" i="106" s="1"/>
  <c r="B1329" i="106"/>
  <c r="D1329" i="106" s="1"/>
  <c r="F61" i="34"/>
  <c r="K76" i="4"/>
  <c r="B3586" i="106" s="1"/>
  <c r="D3586" i="106" s="1"/>
  <c r="G210" i="29"/>
  <c r="D24" i="37"/>
  <c r="B4270" i="106" s="1"/>
  <c r="D4270" i="106" s="1"/>
  <c r="F19" i="7"/>
  <c r="B1807" i="106" s="1"/>
  <c r="D1807" i="106" s="1"/>
  <c r="B3621" i="106"/>
  <c r="D3621" i="106" s="1"/>
  <c r="C367" i="29"/>
  <c r="B3622" i="106" s="1"/>
  <c r="D3622" i="106" s="1"/>
  <c r="L13" i="11"/>
  <c r="B2060" i="106" s="1"/>
  <c r="D2060" i="106" s="1"/>
  <c r="F42" i="34"/>
  <c r="B3723" i="106"/>
  <c r="D3723" i="106" s="1"/>
  <c r="D15" i="7"/>
  <c r="B1772" i="106" s="1"/>
  <c r="D1772" i="106" s="1"/>
  <c r="H112" i="29"/>
  <c r="B7018" i="106" s="1"/>
  <c r="D7018" i="106" s="1"/>
  <c r="D12" i="7"/>
  <c r="B1769" i="106" s="1"/>
  <c r="D1769" i="106" s="1"/>
  <c r="F77" i="4"/>
  <c r="B3255" i="106" s="1"/>
  <c r="D3255" i="106" s="1"/>
  <c r="D17" i="7"/>
  <c r="B4104" i="106" s="1"/>
  <c r="D4104" i="106" s="1"/>
  <c r="E174" i="29"/>
  <c r="B1309" i="106" s="1"/>
  <c r="D1309" i="106" s="1"/>
  <c r="H173" i="5"/>
  <c r="F21" i="8"/>
  <c r="N22" i="3"/>
  <c r="B283" i="106" s="1"/>
  <c r="D283" i="106" s="1"/>
  <c r="F49" i="34"/>
  <c r="G35" i="108"/>
  <c r="D11" i="7"/>
  <c r="B1768" i="106" s="1"/>
  <c r="D1768" i="106" s="1"/>
  <c r="G109" i="5"/>
  <c r="D7" i="7"/>
  <c r="B1763" i="106" s="1"/>
  <c r="D1763" i="106" s="1"/>
  <c r="D109" i="5"/>
  <c r="D13" i="7"/>
  <c r="B3726" i="106" s="1"/>
  <c r="D3726" i="106" s="1"/>
  <c r="D5" i="7"/>
  <c r="B1761" i="106" s="1"/>
  <c r="D1761" i="106" s="1"/>
  <c r="C172" i="5"/>
  <c r="B5096" i="106"/>
  <c r="D5096" i="106" s="1"/>
  <c r="C109" i="5"/>
  <c r="B5121" i="106" s="1"/>
  <c r="D5121" i="106" s="1"/>
  <c r="D37" i="108"/>
  <c r="F26" i="108"/>
  <c r="D26" i="108"/>
  <c r="B1410" i="106"/>
  <c r="D1410" i="106" s="1"/>
  <c r="G29" i="108"/>
  <c r="E29" i="108"/>
  <c r="F35" i="34"/>
  <c r="J41" i="3"/>
  <c r="B6216" i="106" s="1"/>
  <c r="D6216"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F173" i="5" l="1"/>
  <c r="F6" i="4" s="1"/>
  <c r="B2593" i="106" s="1"/>
  <c r="D2593" i="106" s="1"/>
  <c r="B7733" i="106"/>
  <c r="D7733" i="106" s="1"/>
  <c r="K26" i="12"/>
  <c r="B7743" i="106" s="1"/>
  <c r="D7743" i="106" s="1"/>
  <c r="B6022" i="106"/>
  <c r="D6022" i="106" s="1"/>
  <c r="B1225" i="106"/>
  <c r="D1225" i="106" s="1"/>
  <c r="D41" i="108"/>
  <c r="E43" i="108" s="1"/>
  <c r="G6" i="4"/>
  <c r="B2604" i="106" s="1"/>
  <c r="D2604" i="106" s="1"/>
  <c r="B1381" i="106"/>
  <c r="D1381" i="106" s="1"/>
  <c r="B3649" i="106"/>
  <c r="D3649" i="106" s="1"/>
  <c r="J7" i="4"/>
  <c r="F41" i="108"/>
  <c r="G43" i="108" s="1"/>
  <c r="L16" i="11"/>
  <c r="B2061" i="106" s="1"/>
  <c r="D2061" i="106" s="1"/>
  <c r="B6014" i="106"/>
  <c r="D6014" i="106" s="1"/>
  <c r="H367" i="29"/>
  <c r="B3660" i="106" s="1"/>
  <c r="D3660" i="106" s="1"/>
  <c r="D51" i="36"/>
  <c r="B1317" i="106"/>
  <c r="D1317" i="106" s="1"/>
  <c r="K342" i="29"/>
  <c r="F13" i="34" s="1"/>
  <c r="K352" i="29"/>
  <c r="K13" i="4" s="1"/>
  <c r="B3572" i="106" s="1"/>
  <c r="D3572" i="106" s="1"/>
  <c r="F73" i="34"/>
  <c r="G15" i="4"/>
  <c r="B6032" i="106" s="1"/>
  <c r="D6032" i="106" s="1"/>
  <c r="H151" i="29"/>
  <c r="B1273" i="106" s="1"/>
  <c r="D1273" i="106" s="1"/>
  <c r="H77" i="4"/>
  <c r="B3299" i="106" s="1"/>
  <c r="D3299" i="106" s="1"/>
  <c r="I7" i="4"/>
  <c r="B4444" i="106" s="1"/>
  <c r="D4444" i="106" s="1"/>
  <c r="B5527" i="106"/>
  <c r="D5527" i="106" s="1"/>
  <c r="J151" i="29"/>
  <c r="B7052" i="106" s="1"/>
  <c r="D7052" i="106" s="1"/>
  <c r="I6" i="4"/>
  <c r="B5011" i="106" s="1"/>
  <c r="D5011" i="106" s="1"/>
  <c r="F66" i="34"/>
  <c r="B5914" i="106"/>
  <c r="D5914" i="106" s="1"/>
  <c r="I151" i="29"/>
  <c r="F59" i="34" s="1"/>
  <c r="H4" i="4"/>
  <c r="B2655" i="106" s="1"/>
  <c r="D2655" i="106" s="1"/>
  <c r="K77" i="4"/>
  <c r="B3587" i="106" s="1"/>
  <c r="D3587" i="106" s="1"/>
  <c r="H275" i="5"/>
  <c r="B5915" i="106" s="1"/>
  <c r="D5915" i="106" s="1"/>
  <c r="B5770" i="106"/>
  <c r="D5770" i="106" s="1"/>
  <c r="J16" i="4"/>
  <c r="B6226" i="106" s="1"/>
  <c r="D6226" i="106" s="1"/>
  <c r="D52" i="36"/>
  <c r="K365" i="29"/>
  <c r="B3628" i="106"/>
  <c r="D3628" i="106" s="1"/>
  <c r="D274" i="5"/>
  <c r="B5507" i="106" s="1"/>
  <c r="D5507" i="106" s="1"/>
  <c r="B1365" i="106"/>
  <c r="D1365" i="106" s="1"/>
  <c r="F65" i="34"/>
  <c r="D7250" i="106"/>
  <c r="D7252" i="106"/>
  <c r="D7253" i="106"/>
  <c r="B1996" i="106"/>
  <c r="D1996" i="106" s="1"/>
  <c r="I26" i="12"/>
  <c r="B7741" i="106" s="1"/>
  <c r="D7741" i="106" s="1"/>
  <c r="L114" i="29"/>
  <c r="B1879" i="106"/>
  <c r="D1879" i="106" s="1"/>
  <c r="H22" i="37"/>
  <c r="B5906" i="106"/>
  <c r="D5906" i="106" s="1"/>
  <c r="H6" i="4"/>
  <c r="D7251" i="106"/>
  <c r="B5653" i="106"/>
  <c r="D5653" i="106" s="1"/>
  <c r="D7254" i="106"/>
  <c r="D7256" i="106"/>
  <c r="F274" i="5"/>
  <c r="F7" i="4" s="1"/>
  <c r="B2594" i="106" s="1"/>
  <c r="D2594" i="106" s="1"/>
  <c r="D7255" i="106"/>
  <c r="N23" i="3"/>
  <c r="B284" i="106" s="1"/>
  <c r="D284" i="106" s="1"/>
  <c r="B6024" i="106"/>
  <c r="D6024" i="106" s="1"/>
  <c r="G4" i="4"/>
  <c r="B2603" i="106" s="1"/>
  <c r="D2603" i="106" s="1"/>
  <c r="B5356" i="106"/>
  <c r="D5356" i="106" s="1"/>
  <c r="D4" i="4"/>
  <c r="B2564" i="106" s="1"/>
  <c r="D2564" i="106" s="1"/>
  <c r="B5214" i="106"/>
  <c r="D5214" i="106" s="1"/>
  <c r="C173" i="5"/>
  <c r="C4" i="4"/>
  <c r="B2551" i="106" s="1"/>
  <c r="D2551" i="106" s="1"/>
  <c r="D19" i="7"/>
  <c r="B1775" i="106" s="1"/>
  <c r="D1775" i="106" s="1"/>
  <c r="B7215" i="106"/>
  <c r="D7215" i="106" s="1"/>
  <c r="B1328" i="106"/>
  <c r="D1328"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3672" i="106" l="1"/>
  <c r="D3672" i="106" s="1"/>
  <c r="K367" i="29"/>
  <c r="B7051" i="106"/>
  <c r="D7051" i="106" s="1"/>
  <c r="D7" i="4"/>
  <c r="F24" i="37"/>
  <c r="B7243" i="106"/>
  <c r="D7243" i="106" s="1"/>
  <c r="D275" i="5"/>
  <c r="K16" i="4"/>
  <c r="B1145" i="106"/>
  <c r="D1145" i="106" s="1"/>
  <c r="F275" i="5"/>
  <c r="B5720" i="106" s="1"/>
  <c r="D5720" i="106" s="1"/>
  <c r="B5719" i="106"/>
  <c r="D5719" i="106" s="1"/>
  <c r="B2656" i="106"/>
  <c r="D2656" i="106" s="1"/>
  <c r="H8" i="4"/>
  <c r="J17" i="4"/>
  <c r="B6227" i="106" s="1"/>
  <c r="D6227" i="106" s="1"/>
  <c r="J8" i="4"/>
  <c r="B6223" i="106" s="1"/>
  <c r="D6223" i="106" s="1"/>
  <c r="F8" i="4"/>
  <c r="D8" i="146" s="1"/>
  <c r="B5223" i="106"/>
  <c r="D5223" i="106" s="1"/>
  <c r="C6" i="4"/>
  <c r="B2553" i="106" s="1"/>
  <c r="D2553"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0" i="4" l="1"/>
  <c r="B6225" i="106" s="1"/>
  <c r="D6225" i="106" s="1"/>
  <c r="J20" i="4"/>
  <c r="B2595" i="106"/>
  <c r="D2595" i="106" s="1"/>
  <c r="F10" i="4"/>
  <c r="B4125" i="106" s="1"/>
  <c r="D4125" i="106" s="1"/>
  <c r="D8" i="4"/>
  <c r="H10" i="4"/>
  <c r="B4127" i="106" s="1"/>
  <c r="D4127" i="106" s="1"/>
  <c r="B2658" i="106"/>
  <c r="D2658"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20" i="4" l="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<sst xmlns="http://schemas.openxmlformats.org/spreadsheetml/2006/main" count="5403" uniqueCount="2292">
  <si>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</si>
  <si>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</si>
  <si>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</si>
  <si>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</si>
  <si>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</si>
  <si>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</si>
  <si>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</si>
  <si>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</si>
  <si>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</si>
  <si>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</si>
  <si>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</si>
  <si>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</si>
  <si>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</si>
  <si>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</si>
  <si>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</si>
  <si>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</si>
  <si>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</si>
  <si>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</si>
  <si>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</si>
  <si>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</si>
  <si>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</si>
  <si>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</si>
  <si>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</si>
  <si>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</si>
  <si>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</si>
  <si>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</si>
  <si>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</si>
  <si>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</si>
  <si>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</si>
  <si>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</si>
  <si>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</si>
  <si>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</si>
  <si>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</si>
  <si>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</si>
  <si>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</si>
  <si>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</si>
  <si>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</si>
  <si>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</si>
  <si>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</si>
  <si>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</si>
  <si>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</si>
  <si>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</si>
  <si>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</si>
  <si>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</si>
  <si>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</si>
  <si>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</si>
  <si>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</si>
  <si>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</si>
  <si>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</si>
  <si>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</si>
  <si>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</si>
  <si>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</si>
  <si>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</si>
  <si>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</si>
  <si>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</si>
  <si>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</si>
  <si>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</si>
  <si>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</si>
  <si>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</si>
  <si>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</si>
  <si>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</si>
  <si>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</si>
  <si>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</si>
  <si>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</si>
  <si>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</si>
  <si>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</si>
  <si>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</si>
  <si>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</si>
  <si>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</si>
  <si>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</si>
  <si>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</si>
  <si>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</si>
  <si>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</si>
  <si>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</si>
  <si>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</si>
  <si>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</si>
  <si>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</si>
  <si>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</si>
  <si>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</si>
  <si>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</si>
  <si>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</si>
  <si>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</si>
  <si>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</si>
  <si>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</si>
  <si>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</si>
  <si>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</si>
  <si>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</si>
  <si>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</si>
  <si>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</si>
  <si>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</si>
  <si>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</si>
  <si>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</si>
  <si>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</si>
  <si>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</si>
  <si>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</si>
  <si>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</si>
  <si>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</si>
  <si>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</si>
  <si>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</si>
  <si>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</si>
  <si>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</si>
  <si>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</si>
  <si>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</si>
  <si>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</si>
  <si>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</si>
  <si>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</si>
  <si>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</si>
  <si>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</si>
  <si>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</si>
  <si>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</si>
  <si>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</si>
  <si>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</si>
  <si>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</si>
  <si>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</si>
  <si>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</si>
  <si>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</si>
  <si>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</si>
  <si>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</si>
  <si>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</si>
  <si>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</si>
  <si>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</si>
  <si>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</si>
  <si>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</si>
  <si>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</si>
  <si>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</si>
  <si>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</si>
  <si>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</si>
  <si>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</si>
  <si>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</si>
  <si>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</si>
  <si>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</si>
  <si>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</si>
  <si>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</si>
  <si>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</si>
  <si>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</si>
  <si>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</si>
  <si>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</si>
  <si>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</si>
  <si>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</si>
  <si>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</si>
  <si>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</si>
  <si>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</si>
  <si>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</si>
  <si>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</si>
  <si>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</si>
  <si>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</si>
  <si>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</si>
  <si>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</si>
  <si>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</si>
  <si>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</si>
  <si>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</si>
  <si>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</si>
  <si>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</si>
  <si>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</si>
  <si>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</si>
  <si>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</si>
  <si>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</si>
  <si>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</si>
  <si>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</si>
  <si>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</si>
  <si>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</si>
  <si>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</si>
  <si>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</si>
  <si>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</si>
  <si>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</si>
  <si>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</si>
  <si>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</si>
  <si>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</si>
  <si>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</si>
  <si>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</si>
  <si>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</si>
  <si>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</si>
  <si>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</si>
  <si>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</si>
  <si>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</si>
  <si>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</si>
  <si>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</si>
  <si>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</si>
  <si>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</si>
  <si>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</si>
  <si>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</si>
  <si>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</si>
  <si>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</si>
  <si>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</si>
  <si>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</si>
  <si>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</si>
  <si>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</si>
  <si>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</si>
  <si>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</si>
  <si>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</si>
  <si>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</si>
  <si>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</si>
  <si>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</si>
  <si>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</si>
  <si>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</si>
  <si>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</si>
  <si>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</si>
  <si>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</si>
  <si>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</si>
  <si>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</si>
  <si>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</si>
  <si>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</si>
  <si>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</si>
  <si>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</si>
  <si>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</si>
  <si>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</si>
  <si>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</si>
  <si>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</si>
  <si>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</si>
  <si>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</si>
  <si>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</si>
  <si>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</si>
  <si>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</si>
  <si>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</si>
  <si>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</si>
  <si>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</si>
  <si>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</si>
  <si>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</si>
  <si>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</si>
  <si>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</si>
  <si>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</si>
  <si>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</si>
  <si>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</si>
  <si>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</si>
  <si>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</si>
  <si>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</si>
  <si>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</si>
  <si>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</si>
  <si>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</si>
  <si>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</si>
  <si>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</si>
  <si>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</si>
  <si>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</si>
  <si>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</si>
  <si>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</si>
  <si>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</si>
  <si>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</si>
  <si>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</si>
  <si>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</si>
  <si>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</si>
  <si>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</si>
  <si>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</si>
  <si>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</si>
  <si>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</si>
  <si>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</si>
  <si>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</si>
  <si>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</si>
  <si>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</si>
  <si>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</si>
  <si>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</si>
  <si>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</si>
  <si>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</si>
  <si>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</si>
  <si>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</si>
  <si>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</si>
  <si>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</si>
  <si>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</si>
  <si>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</si>
  <si>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</si>
  <si>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</si>
  <si>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</si>
  <si>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</si>
  <si>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</si>
  <si>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</si>
  <si>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</si>
  <si>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</si>
  <si>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</si>
  <si>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</si>
  <si>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</si>
  <si>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</si>
  <si>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</si>
  <si>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</si>
  <si>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</si>
  <si>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</si>
  <si>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</si>
  <si>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</si>
  <si>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</si>
  <si>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</si>
  <si>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</si>
  <si>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</si>
  <si>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</si>
  <si>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</si>
  <si>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</si>
  <si>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</si>
  <si>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</si>
  <si>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</si>
  <si>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</si>
  <si>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</si>
  <si>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</si>
  <si>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</si>
  <si>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</si>
  <si>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</si>
  <si>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</si>
  <si>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</si>
  <si>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</si>
  <si>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</si>
  <si>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</si>
  <si>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</si>
  <si>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</si>
  <si>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</si>
  <si>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</si>
  <si>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</si>
  <si>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</si>
  <si>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</si>
  <si>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</si>
  <si>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</si>
  <si>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</si>
  <si>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</si>
  <si>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</si>
  <si>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</si>
  <si>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</si>
  <si>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</si>
  <si>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</si>
  <si>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</si>
  <si>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</si>
  <si>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</si>
  <si>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</si>
  <si>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</si>
  <si>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</si>
  <si>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</si>
  <si>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</si>
  <si>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</si>
  <si>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</si>
  <si>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</si>
  <si>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</si>
  <si>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</si>
  <si>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</si>
  <si>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</si>
  <si>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</si>
  <si>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</si>
  <si>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</si>
  <si>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</si>
  <si>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</si>
  <si>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</si>
  <si>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</si>
  <si>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</si>
  <si>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</si>
  <si>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</si>
  <si>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</si>
  <si>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</si>
  <si>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</si>
  <si>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</si>
  <si>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</si>
  <si>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</si>
  <si>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</si>
  <si>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</si>
  <si>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</si>
  <si>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</si>
  <si>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</si>
  <si>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</si>
  <si>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</si>
  <si>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</si>
  <si>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</si>
  <si>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</si>
  <si>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</si>
  <si>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</si>
  <si>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</si>
  <si>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</si>
  <si>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</si>
  <si>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</si>
  <si>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</si>
  <si>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</si>
  <si>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</si>
  <si>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</si>
  <si>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</si>
  <si>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</si>
  <si>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</si>
  <si>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</si>
  <si>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</si>
  <si>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</si>
  <si>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</si>
  <si>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</si>
  <si>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</si>
  <si>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</si>
  <si>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</si>
  <si>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</si>
  <si>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</si>
  <si>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</si>
  <si>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</si>
  <si>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</si>
  <si>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</si>
  <si>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</si>
  <si>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</si>
  <si>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</si>
  <si>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</si>
  <si>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</si>
  <si>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</si>
  <si>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</si>
  <si>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</si>
  <si>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</si>
  <si>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</si>
  <si>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</si>
  <si>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</si>
  <si>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</si>
  <si>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</si>
  <si>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</si>
  <si>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</si>
  <si>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</si>
  <si>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</si>
  <si>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</si>
  <si>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</si>
  <si>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</si>
  <si>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</si>
  <si>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</si>
  <si>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</si>
  <si>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</si>
  <si>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</si>
  <si>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</si>
  <si>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</si>
  <si>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</si>
  <si>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</si>
  <si>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</si>
  <si>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</si>
  <si>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</si>
  <si>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</si>
  <si>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</si>
  <si>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</si>
  <si>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</si>
  <si>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</si>
  <si>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</si>
  <si>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</si>
  <si>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</si>
  <si>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</si>
  <si>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</si>
  <si>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</si>
  <si>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</si>
  <si>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</si>
  <si>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</si>
  <si>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</si>
  <si>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</si>
  <si>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</si>
  <si>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</si>
  <si>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</si>
  <si>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</si>
  <si>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</si>
  <si>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</si>
  <si>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</si>
  <si>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</si>
  <si>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</si>
  <si>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</si>
  <si>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</si>
  <si>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</si>
  <si>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</si>
  <si>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</si>
  <si>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</si>
  <si>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</si>
  <si>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</si>
  <si>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</si>
  <si>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</si>
  <si>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</si>
  <si>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</si>
  <si>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</si>
  <si>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</si>
  <si>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</si>
  <si>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</si>
  <si>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</si>
  <si>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</si>
  <si>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</si>
  <si>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</si>
  <si>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</si>
  <si>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</si>
  <si>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</si>
  <si>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</si>
  <si>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</si>
  <si>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</si>
  <si>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</si>
  <si>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</si>
  <si>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</si>
  <si>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</si>
  <si>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</si>
  <si>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</si>
  <si>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</si>
  <si>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</si>
  <si>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</si>
  <si>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</si>
  <si>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</si>
  <si>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</si>
  <si>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</si>
  <si>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</si>
  <si>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</si>
  <si>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</si>
  <si>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</si>
  <si>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</si>
  <si>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</si>
  <si>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</si>
  <si>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</si>
  <si>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</si>
  <si>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</si>
  <si>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</si>
  <si>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</si>
  <si>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</si>
  <si>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</si>
  <si>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</si>
  <si>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</si>
  <si>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</si>
  <si>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</si>
  <si>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</si>
  <si>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</si>
  <si>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</si>
  <si>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</si>
  <si>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</si>
  <si>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</si>
  <si>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</si>
  <si>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</si>
  <si>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</si>
  <si>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</si>
  <si>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</si>
  <si>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</si>
  <si>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</si>
  <si>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</si>
  <si>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</si>
  <si>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</si>
  <si>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</si>
  <si>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</si>
  <si>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</si>
  <si>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</si>
  <si>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</si>
  <si>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</si>
  <si>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</si>
  <si>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</si>
  <si>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</si>
  <si>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</si>
  <si>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</si>
  <si>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</si>
  <si>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</si>
  <si>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</si>
  <si>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</si>
  <si>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</si>
  <si>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</si>
  <si>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</si>
  <si>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</si>
  <si>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</si>
  <si>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</si>
  <si>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</si>
  <si>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</si>
  <si>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</si>
  <si>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</si>
  <si>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</si>
  <si>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</si>
  <si>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</si>
  <si>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</si>
  <si>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</si>
  <si>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</si>
  <si>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</si>
  <si>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</si>
  <si>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</si>
  <si>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</si>
  <si>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</si>
  <si>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</si>
  <si>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</si>
  <si>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</si>
  <si>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</si>
  <si>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</si>
  <si>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</si>
  <si>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</si>
  <si>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</si>
  <si>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</si>
  <si>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</si>
  <si>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</si>
  <si>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</si>
  <si>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</si>
  <si>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</si>
  <si>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</si>
  <si>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</si>
  <si>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</si>
  <si>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</si>
  <si>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</si>
  <si>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</si>
  <si>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</si>
  <si>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</si>
  <si>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</si>
  <si>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</si>
  <si>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</si>
  <si>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</si>
  <si>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</si>
  <si>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</si>
  <si>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</si>
  <si>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</si>
  <si>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</si>
  <si>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</si>
  <si>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</si>
  <si>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</si>
  <si>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</si>
  <si>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</si>
  <si>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</si>
  <si>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</si>
  <si>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</si>
  <si>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</si>
  <si>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</si>
  <si>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</si>
  <si>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</si>
  <si>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</si>
  <si>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</si>
  <si>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</si>
  <si>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</si>
  <si>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</si>
  <si>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</si>
  <si>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</si>
  <si>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</si>
  <si>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</si>
  <si>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</si>
  <si>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</si>
  <si>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</si>
  <si>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</si>
  <si>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</si>
  <si>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</si>
  <si>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</si>
  <si>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</si>
  <si>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</si>
  <si>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</si>
  <si>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</si>
  <si>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</si>
  <si>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</si>
  <si>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</si>
  <si>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</si>
  <si>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</si>
  <si>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</si>
  <si>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</si>
  <si>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</si>
  <si>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</si>
  <si>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</si>
  <si>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</si>
  <si>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</si>
  <si>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</si>
  <si>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</si>
  <si>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</si>
  <si>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</si>
  <si>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</si>
  <si>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</si>
  <si>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</si>
  <si>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</si>
  <si>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</si>
  <si>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</si>
  <si>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</si>
  <si>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</si>
  <si>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</si>
  <si>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</si>
  <si>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</si>
  <si>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</si>
  <si>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</si>
  <si>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</si>
  <si>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</si>
  <si>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</si>
  <si>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</si>
  <si>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</si>
  <si>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</si>
  <si>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</si>
  <si>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</si>
  <si>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</si>
  <si>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</si>
  <si>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</si>
  <si>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</si>
  <si>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</si>
  <si>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</si>
  <si>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</si>
  <si>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</si>
  <si>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</si>
  <si>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</si>
  <si>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</si>
  <si>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</si>
  <si>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</si>
  <si>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</si>
  <si>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</si>
  <si>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</si>
  <si>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</si>
  <si>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</si>
  <si>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</si>
  <si>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</si>
  <si>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</si>
  <si>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</si>
  <si>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</si>
  <si>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</si>
  <si>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</si>
  <si>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</si>
  <si>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</si>
  <si>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</si>
  <si>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</si>
  <si>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</si>
  <si>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</si>
  <si>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</si>
  <si>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</si>
  <si>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</si>
  <si>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</si>
  <si>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</si>
  <si>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</si>
  <si>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</si>
  <si>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</si>
  <si>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</si>
  <si>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</si>
  <si>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</si>
  <si>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</si>
  <si>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</si>
  <si>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</si>
  <si>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</si>
  <si>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</si>
  <si>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</si>
  <si>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</si>
  <si>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</si>
  <si>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</si>
  <si>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</si>
  <si>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</si>
  <si>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</si>
  <si>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</si>
  <si>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</si>
  <si>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</si>
  <si>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</si>
  <si>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</si>
  <si>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</si>
  <si>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</si>
  <si>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</si>
  <si>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</si>
  <si>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</si>
  <si>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</si>
  <si>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</si>
  <si>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</si>
  <si>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</si>
  <si>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</si>
  <si>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</si>
  <si>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</si>
  <si>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</si>
  <si>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</si>
  <si>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</si>
  <si>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</si>
  <si>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</si>
  <si>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</si>
  <si>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</si>
  <si>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</si>
  <si>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</si>
  <si>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</si>
  <si>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</si>
  <si>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</si>
  <si>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</si>
  <si>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</si>
  <si>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</si>
  <si>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</si>
  <si>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</si>
  <si>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</si>
  <si>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</si>
  <si>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</si>
  <si>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</si>
  <si>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</si>
  <si>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</si>
  <si>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</si>
  <si>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</si>
  <si>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</si>
  <si>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</si>
  <si>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</si>
  <si>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</si>
  <si>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</si>
  <si>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</si>
  <si>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</si>
  <si>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</si>
  <si>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</si>
  <si>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</si>
  <si>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</si>
  <si>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</si>
  <si>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</si>
  <si>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</si>
  <si>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</si>
  <si>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</si>
  <si>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</si>
  <si>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</si>
  <si>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</si>
  <si>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</si>
  <si>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</si>
  <si>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</si>
  <si>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</si>
  <si>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</si>
  <si>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</si>
  <si>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</si>
  <si>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</si>
  <si>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</si>
  <si>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</si>
  <si>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</si>
  <si>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</si>
  <si>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</si>
  <si>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</si>
  <si>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</si>
  <si>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</si>
  <si>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</si>
  <si>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</si>
  <si>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</si>
  <si>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</si>
  <si>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</si>
  <si>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</si>
  <si>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</si>
  <si>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</si>
  <si>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</si>
  <si>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</si>
  <si>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</si>
  <si>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</si>
  <si>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</si>
  <si>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</si>
  <si>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</si>
  <si>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</si>
  <si>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</si>
  <si>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</si>
  <si>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</si>
  <si>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</si>
  <si>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</si>
  <si>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</si>
  <si>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</si>
  <si>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</si>
  <si>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</si>
  <si>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</si>
  <si>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</si>
  <si>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</si>
  <si>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</si>
  <si>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</si>
  <si>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</si>
  <si>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</si>
  <si>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</si>
  <si>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</si>
  <si>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</si>
  <si>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</si>
  <si>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</si>
  <si>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</si>
  <si>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</si>
  <si>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</si>
  <si>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</si>
  <si>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</si>
  <si>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</si>
  <si>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</si>
  <si>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</si>
  <si>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</si>
  <si>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</si>
  <si>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</si>
  <si>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</si>
  <si>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</si>
  <si>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</si>
  <si>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</si>
  <si>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</si>
  <si>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</si>
  <si>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</si>
  <si>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</si>
  <si>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</si>
  <si>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</si>
  <si>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</si>
  <si>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</si>
  <si>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</si>
  <si>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</si>
  <si>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</si>
  <si>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</si>
  <si>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</si>
  <si>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</si>
  <si>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</si>
  <si>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</si>
  <si>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</si>
  <si>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</si>
  <si>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</si>
  <si>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</si>
  <si>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</si>
  <si>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</si>
  <si>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</si>
  <si>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</si>
  <si>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</si>
  <si>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</si>
  <si>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</si>
  <si>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</si>
  <si>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</si>
  <si>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</si>
  <si>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</si>
  <si>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</si>
  <si>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</si>
  <si>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</si>
  <si>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</si>
  <si>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</si>
  <si>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</si>
  <si>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</si>
  <si>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</si>
  <si>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</si>
  <si>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</si>
  <si>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</si>
  <si>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</si>
  <si>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</si>
  <si>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</si>
  <si>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</si>
  <si>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</si>
  <si>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</si>
  <si>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</si>
  <si>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</si>
  <si>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</si>
  <si>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</si>
  <si>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</si>
  <si>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</si>
  <si>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</si>
  <si>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</si>
  <si>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</si>
  <si>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</si>
  <si>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</si>
  <si>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</si>
  <si>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</si>
  <si>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</si>
  <si>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</si>
  <si>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</si>
  <si>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</si>
  <si>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</si>
  <si>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</si>
  <si>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</si>
  <si>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</si>
  <si>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</si>
  <si>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</si>
  <si>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</si>
  <si>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</si>
  <si>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</si>
  <si>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</si>
  <si>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</si>
  <si>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</si>
  <si>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</si>
  <si>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</si>
  <si>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</si>
  <si>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</si>
  <si>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</si>
  <si>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</si>
  <si>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</si>
  <si>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</si>
  <si>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</si>
  <si>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</si>
  <si>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</si>
  <si>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</si>
  <si>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</si>
  <si>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</si>
  <si>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</si>
  <si>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</si>
  <si>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</si>
  <si>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</si>
  <si>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</si>
  <si>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</si>
  <si>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</si>
  <si>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</si>
  <si>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</si>
  <si>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</si>
  <si>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</si>
  <si>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</si>
  <si>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</si>
  <si>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</si>
  <si>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</si>
  <si>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</si>
  <si>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</si>
  <si>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</si>
  <si>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</si>
  <si>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</si>
  <si>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</si>
  <si>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</si>
  <si>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</si>
  <si>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</si>
  <si>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</si>
  <si>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</si>
  <si>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</si>
  <si>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</si>
  <si>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</si>
  <si>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</si>
  <si>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</si>
  <si>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</si>
  <si>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</si>
  <si>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</si>
  <si>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</si>
  <si>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</si>
  <si>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</si>
  <si>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</si>
  <si>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</si>
  <si>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</si>
  <si>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</si>
  <si>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</si>
  <si>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</si>
  <si>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</si>
  <si>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</si>
  <si>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</si>
  <si>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</si>
  <si>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</si>
  <si>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</si>
  <si>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</si>
  <si>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</si>
  <si>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</si>
  <si>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</si>
  <si>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</si>
  <si>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</si>
  <si>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</si>
  <si>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</si>
  <si>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</si>
  <si>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</si>
  <si>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</si>
  <si>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</si>
  <si>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</si>
  <si>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</si>
  <si>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</si>
  <si>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</si>
  <si>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</si>
  <si>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</si>
  <si>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</si>
  <si>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</si>
  <si>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</si>
  <si>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</si>
  <si>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</si>
  <si>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</si>
  <si>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</si>
  <si>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</si>
  <si>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</si>
  <si>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</si>
  <si>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</si>
  <si>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</si>
  <si>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</si>
  <si>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</si>
  <si>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</si>
  <si>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</si>
  <si>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</si>
  <si>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</si>
  <si>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</si>
  <si>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</si>
  <si>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</si>
  <si>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</si>
  <si>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</si>
  <si>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</si>
  <si>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</si>
  <si>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</si>
  <si>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</si>
  <si>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</si>
  <si>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</si>
  <si>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</si>
  <si>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</si>
  <si>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</si>
  <si>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</si>
  <si>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</si>
  <si>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</si>
  <si>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</si>
  <si>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</si>
  <si>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</si>
  <si>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</si>
  <si>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</si>
  <si>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</si>
  <si>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</si>
  <si>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</si>
  <si>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</si>
  <si>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</si>
  <si>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</si>
  <si>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</si>
  <si>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</si>
  <si>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</si>
  <si>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</si>
  <si>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</si>
  <si>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</si>
  <si>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</si>
  <si>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</si>
  <si>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</si>
  <si>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</si>
  <si>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</si>
  <si>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</si>
  <si>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</si>
  <si>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</si>
  <si>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</si>
  <si>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</si>
  <si>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</si>
  <si>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</si>
  <si>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</si>
  <si>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</si>
  <si>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</si>
  <si>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</si>
  <si>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</si>
  <si>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</si>
  <si>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</si>
  <si>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</si>
  <si>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</si>
  <si>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</si>
  <si>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</si>
  <si>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</si>
  <si>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</si>
  <si>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</si>
  <si>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</si>
  <si>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</si>
  <si>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</si>
  <si>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</si>
  <si>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</si>
  <si>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</si>
  <si>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</si>
  <si>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</si>
  <si>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</si>
  <si>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</si>
  <si>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</si>
  <si>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</si>
  <si>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</si>
  <si>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</si>
  <si>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</si>
  <si>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</si>
  <si>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</si>
  <si>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</si>
  <si>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</si>
  <si>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</si>
  <si>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</si>
  <si>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</si>
  <si>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</si>
  <si>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</si>
  <si>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</si>
  <si>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</si>
  <si>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</si>
  <si>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</si>
  <si>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</si>
  <si>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</si>
  <si>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</si>
  <si>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</si>
  <si>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</si>
  <si>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</si>
  <si>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</si>
  <si>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</si>
  <si>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</si>
  <si>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</si>
  <si>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</si>
  <si>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</si>
  <si>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</si>
  <si>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</si>
  <si>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</si>
  <si>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</si>
  <si>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</si>
  <si>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</si>
  <si>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</si>
  <si>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</si>
  <si>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</si>
  <si>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</si>
  <si>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</si>
  <si>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</si>
  <si>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</si>
  <si>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</si>
  <si>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</si>
  <si>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</si>
  <si>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</si>
  <si>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</si>
  <si>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</si>
  <si>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</si>
  <si>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</si>
  <si>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</si>
  <si>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</si>
  <si>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</si>
  <si>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</si>
  <si>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</si>
  <si>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</si>
  <si>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</si>
  <si>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</si>
  <si>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</si>
  <si>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</si>
  <si>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</si>
  <si>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</si>
  <si>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</si>
  <si>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</si>
  <si>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</si>
  <si>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</si>
  <si>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</si>
  <si>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</si>
  <si>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</si>
  <si>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</si>
  <si>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</si>
  <si>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</si>
  <si>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</si>
  <si>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</si>
  <si>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</si>
  <si>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</si>
  <si>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</si>
  <si>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</si>
  <si>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</si>
  <si>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</si>
  <si>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</si>
  <si>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</si>
  <si>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</si>
  <si>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</si>
  <si>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</si>
  <si>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</si>
  <si>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</si>
  <si>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</si>
  <si>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</si>
  <si>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</si>
  <si>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</si>
  <si>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</si>
  <si>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</si>
  <si>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</si>
  <si>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</si>
  <si>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</si>
  <si>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</si>
  <si>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</si>
  <si>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</si>
  <si>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</si>
  <si>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</si>
  <si>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</si>
  <si>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</si>
  <si>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</si>
  <si>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</si>
  <si>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</si>
  <si>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</si>
  <si>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</si>
  <si>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</si>
  <si>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</si>
  <si>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</si>
  <si>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</si>
  <si>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</si>
  <si>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</si>
  <si>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</si>
  <si>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</si>
  <si>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</si>
  <si>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</si>
  <si>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</si>
  <si>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</si>
  <si>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</si>
  <si>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</si>
  <si>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</si>
  <si>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</si>
  <si>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</si>
  <si>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</si>
  <si>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</si>
  <si>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</si>
  <si>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</si>
  <si>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</si>
  <si>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</si>
  <si>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</si>
  <si>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</si>
  <si>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</si>
  <si>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</si>
  <si>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</si>
  <si>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</si>
  <si>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</si>
  <si>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</si>
  <si>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</si>
  <si>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</si>
  <si>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</si>
  <si>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</si>
  <si>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</si>
  <si>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</si>
  <si>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</si>
  <si>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</si>
  <si>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</si>
  <si>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</si>
  <si>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</si>
  <si>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</si>
  <si>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</si>
  <si>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</si>
  <si>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</si>
  <si>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</si>
  <si>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</si>
  <si>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</si>
  <si>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</si>
  <si>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</si>
  <si>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</si>
  <si>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</si>
  <si>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</si>
  <si>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</si>
  <si>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</si>
  <si>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</si>
  <si>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</si>
  <si>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</si>
  <si>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</si>
  <si>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</si>
  <si>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</si>
  <si>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</si>
  <si>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</si>
  <si>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</si>
  <si>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</si>
  <si>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</si>
  <si>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</si>
  <si>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</si>
  <si>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</si>
  <si>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</si>
  <si>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</si>
  <si>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</si>
  <si>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</si>
  <si>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</si>
  <si>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</si>
  <si>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</si>
  <si>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</si>
  <si>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</si>
  <si>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</si>
  <si>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</si>
  <si>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</si>
  <si>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</si>
  <si>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</si>
  <si>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</si>
  <si>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</si>
  <si>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</si>
  <si>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</si>
  <si>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</si>
  <si>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</si>
  <si>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</si>
  <si>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</si>
  <si>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</si>
  <si>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</si>
  <si>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</si>
  <si>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</si>
  <si>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</si>
  <si>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</si>
  <si>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</si>
  <si>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</si>
  <si>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</si>
  <si>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</si>
  <si>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</si>
  <si>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</si>
  <si>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</si>
  <si>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</si>
  <si>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</si>
  <si>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</si>
  <si>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</si>
  <si>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</si>
  <si>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</si>
  <si>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</si>
  <si>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</si>
  <si>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</si>
  <si>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</si>
  <si>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</si>
  <si>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</si>
  <si>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</si>
  <si>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</si>
  <si>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</si>
  <si>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</si>
  <si>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</si>
  <si>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</si>
  <si>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</si>
  <si>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</si>
  <si>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</si>
  <si>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</si>
  <si>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</si>
  <si>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</si>
  <si>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</si>
  <si>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</si>
  <si>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</si>
  <si>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</si>
  <si>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</si>
  <si>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</si>
  <si>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</si>
  <si>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</si>
  <si>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</si>
  <si>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</si>
  <si>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</si>
  <si>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</si>
  <si>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</si>
  <si>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</si>
  <si>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</si>
  <si>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</si>
  <si>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</si>
  <si>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</si>
  <si>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</si>
  <si>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</si>
  <si>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</si>
  <si>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</si>
  <si>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</si>
  <si>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</si>
  <si>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</si>
  <si>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</si>
  <si>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</si>
  <si>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</si>
  <si>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</si>
  <si>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</si>
  <si>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</si>
  <si>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</si>
  <si>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</si>
  <si>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</si>
  <si>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</si>
  <si>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</si>
  <si>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</si>
  <si>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</si>
  <si>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</si>
  <si>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</si>
  <si>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</si>
  <si>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</si>
  <si>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</si>
  <si>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</si>
  <si>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</si>
  <si>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</si>
  <si>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</si>
  <si>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</si>
  <si>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</si>
  <si>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</si>
  <si>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</si>
  <si>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</si>
  <si>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</si>
  <si>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</si>
  <si>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</si>
  <si>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</si>
  <si>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</si>
  <si>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</si>
  <si>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</si>
  <si>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</si>
  <si>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</si>
  <si>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</si>
  <si>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</si>
  <si>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</si>
  <si>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</si>
  <si>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</si>
  <si>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</si>
  <si>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</si>
  <si>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</si>
  <si>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</si>
  <si>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</si>
  <si>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</si>
  <si>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</si>
  <si>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</si>
  <si>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</si>
  <si>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</si>
  <si>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</si>
  <si>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</si>
  <si>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</si>
  <si>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</si>
  <si>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</si>
  <si>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</si>
  <si>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</si>
  <si>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</si>
  <si>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</si>
  <si>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</si>
  <si>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</si>
  <si>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</si>
  <si>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</si>
  <si>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</si>
  <si>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</si>
  <si>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</si>
  <si>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</si>
  <si>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</si>
  <si>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</si>
  <si>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</si>
  <si>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</si>
  <si>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</si>
  <si>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</si>
  <si>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</si>
  <si>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</si>
  <si>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</si>
  <si>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</si>
  <si>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</si>
  <si>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</si>
  <si>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</si>
  <si>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</si>
  <si>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</si>
  <si>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</si>
  <si>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</si>
  <si>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</si>
  <si>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</si>
  <si>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</si>
  <si>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</si>
  <si>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</si>
  <si>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</si>
  <si>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</si>
  <si>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</si>
  <si>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</si>
  <si>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</si>
  <si>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</si>
  <si>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</si>
  <si>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</si>
  <si>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</si>
  <si>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</si>
  <si>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</si>
  <si>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</si>
  <si>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</si>
  <si>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</si>
  <si>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</si>
  <si>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</si>
  <si>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</si>
  <si>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</si>
  <si>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</si>
  <si>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</si>
  <si>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</si>
  <si>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</si>
  <si>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</si>
  <si>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</si>
  <si>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</si>
  <si>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</si>
  <si>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</si>
  <si>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</si>
  <si>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</si>
  <si>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</si>
  <si>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</si>
  <si>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</si>
  <si>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</si>
  <si>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</si>
  <si>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</si>
  <si>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</si>
  <si>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</si>
  <si>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</si>
  <si>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</si>
  <si>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</si>
  <si>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</si>
  <si>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</si>
  <si>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</si>
  <si>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</si>
  <si>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</si>
  <si>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</si>
  <si>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</si>
  <si>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</si>
  <si>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</si>
  <si>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</si>
  <si>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</si>
  <si>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</si>
  <si>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</si>
  <si>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</si>
  <si>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</si>
  <si>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</si>
  <si>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</si>
  <si>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</si>
  <si>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</si>
  <si>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</si>
  <si>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</si>
  <si>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</si>
  <si>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</si>
  <si>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</si>
  <si>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</si>
  <si>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</si>
  <si>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</si>
  <si>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</si>
  <si>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</si>
  <si>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</si>
  <si>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</si>
  <si>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</si>
  <si>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</si>
  <si>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</si>
  <si>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</si>
  <si>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</si>
  <si>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</si>
  <si>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</si>
  <si>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</si>
  <si>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</si>
  <si>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</si>
  <si>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</si>
  <si>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</si>
  <si>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</si>
  <si>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</si>
  <si>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</si>
  <si>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</si>
  <si>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</si>
  <si>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</si>
  <si>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</si>
  <si>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</si>
  <si>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</si>
  <si>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</si>
  <si>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</si>
  <si>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</si>
  <si>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</si>
  <si>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</si>
  <si>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</si>
  <si>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</si>
  <si>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</si>
  <si>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</si>
  <si>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</si>
  <si>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</si>
  <si>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</si>
  <si>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</si>
  <si>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</si>
  <si>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</si>
  <si>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</si>
  <si>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</si>
  <si>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</si>
  <si>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</si>
  <si>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</si>
  <si>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</si>
  <si>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</si>
  <si>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</si>
  <si>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</si>
  <si>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</si>
  <si>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</si>
  <si>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</si>
  <si>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</si>
  <si>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</si>
  <si>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</si>
  <si>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</si>
  <si>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</si>
  <si>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</si>
  <si>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</si>
  <si>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</si>
  <si>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</si>
  <si>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</si>
  <si>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</si>
  <si>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</si>
  <si>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</si>
  <si>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</si>
  <si>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</si>
  <si>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</si>
  <si>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</si>
  <si>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</si>
  <si>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</si>
  <si>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</si>
  <si>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</si>
  <si>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</si>
  <si>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</si>
  <si>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</si>
  <si>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</si>
  <si>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</si>
  <si>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</si>
  <si>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</si>
  <si>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</si>
  <si>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</si>
  <si>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</si>
  <si>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</si>
  <si>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</si>
  <si>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</si>
  <si>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</si>
  <si>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</si>
  <si>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</si>
  <si>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</si>
  <si>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</si>
  <si>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</si>
  <si>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</si>
  <si>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</si>
  <si>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</si>
  <si>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</si>
  <si>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</si>
  <si>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</si>
  <si>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</si>
  <si>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</si>
  <si>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</si>
  <si>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</si>
  <si>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</si>
  <si>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</si>
  <si>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</si>
  <si>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</si>
  <si>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</si>
  <si>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</si>
  <si>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</si>
  <si>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</si>
  <si>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</si>
  <si>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</si>
  <si>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</si>
  <si>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</si>
  <si>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</si>
  <si>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</si>
  <si>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</si>
  <si>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</si>
  <si>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</si>
  <si>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</si>
  <si>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</si>
  <si>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</si>
  <si>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</si>
  <si>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</si>
  <si>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</si>
  <si>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</si>
  <si>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</si>
  <si>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</si>
  <si>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</si>
  <si>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</si>
  <si>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</si>
  <si>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</si>
  <si>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</si>
  <si>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</si>
  <si>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</si>
  <si>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</si>
  <si>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</si>
  <si>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</si>
  <si>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</si>
  <si>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</si>
  <si>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</si>
  <si>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</si>
  <si>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</si>
  <si>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</si>
  <si>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</si>
  <si>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</si>
  <si>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</si>
  <si>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</si>
  <si>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</si>
  <si>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</si>
  <si>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</si>
  <si>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</si>
  <si>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</si>
  <si>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</si>
  <si>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</si>
  <si>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</si>
  <si>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</si>
  <si>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</si>
  <si>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</si>
  <si>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</si>
  <si>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</si>
  <si>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</si>
  <si>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</si>
  <si>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</si>
  <si>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</si>
  <si>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</si>
  <si>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</si>
  <si>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</si>
  <si>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</si>
  <si>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</si>
  <si>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</si>
  <si>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</si>
  <si>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</si>
  <si>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</si>
  <si>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</si>
  <si>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</si>
  <si>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</si>
  <si>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</si>
  <si>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</si>
  <si>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</si>
  <si>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</si>
  <si>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</si>
  <si>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</si>
  <si>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</si>
  <si>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</si>
  <si>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</si>
  <si>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</si>
  <si>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</si>
  <si>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</si>
  <si>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</si>
  <si>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</si>
  <si>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</si>
  <si>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</si>
  <si>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</si>
  <si>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</si>
  <si>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</si>
  <si>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</si>
  <si>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</si>
  <si>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</si>
  <si>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</si>
  <si>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</si>
  <si>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</si>
  <si>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</si>
  <si>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</si>
  <si>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</si>
  <si>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</si>
  <si>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</si>
  <si>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</si>
  <si>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</si>
  <si>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</si>
  <si>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</si>
  <si>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</si>
  <si>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</si>
  <si>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</si>
  <si>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</si>
  <si>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</si>
  <si>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</si>
  <si>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</si>
  <si>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</si>
  <si>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</si>
  <si>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</si>
  <si>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</si>
  <si>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</si>
  <si>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</si>
  <si>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</si>
  <si>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</si>
  <si>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</si>
  <si>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</si>
  <si>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</si>
  <si>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</si>
  <si>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</si>
  <si>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</si>
  <si>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</si>
  <si>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</si>
  <si>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</si>
  <si>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</si>
  <si>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</si>
  <si>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</si>
  <si>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</si>
  <si>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</si>
  <si>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</si>
  <si>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</si>
  <si>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</si>
  <si>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</si>
  <si>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</si>
  <si>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</si>
  <si>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</si>
  <si>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</si>
  <si>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</si>
  <si>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</si>
  <si>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</si>
  <si>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</si>
  <si>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</si>
  <si>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</si>
  <si>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</si>
  <si>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</si>
  <si>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</si>
  <si>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</si>
  <si>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</si>
  <si>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</si>
  <si>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</si>
  <si>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</si>
  <si>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</si>
  <si>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</si>
  <si>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</si>
  <si>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</si>
  <si>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</si>
  <si>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</si>
  <si>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</si>
  <si>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</si>
  <si>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</si>
  <si>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</si>
  <si>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</si>
  <si>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</si>
  <si>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</si>
  <si>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</si>
  <si>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</si>
  <si>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</si>
  <si>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</si>
  <si>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</si>
  <si>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</si>
  <si>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</si>
  <si>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</si>
  <si>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</si>
  <si>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</si>
  <si>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</si>
  <si>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</si>
  <si>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</si>
  <si>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</si>
  <si>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</si>
  <si>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</si>
  <si>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</si>
  <si>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</si>
  <si>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</si>
  <si>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</si>
  <si>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</si>
  <si>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</si>
  <si>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</si>
  <si>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</si>
  <si>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</si>
  <si>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</si>
  <si>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</si>
  <si>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</si>
  <si>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</si>
  <si>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</si>
  <si>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</si>
  <si>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</si>
  <si>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</si>
  <si>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</si>
  <si>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</si>
  <si>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</si>
  <si>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</si>
  <si>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</si>
  <si>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</si>
  <si>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</si>
  <si>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</si>
  <si>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</si>
  <si>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</si>
  <si>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</si>
  <si>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</si>
  <si>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</si>
  <si>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</si>
  <si>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</si>
  <si>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</si>
  <si>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</si>
  <si>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</si>
  <si>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</si>
  <si>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</si>
  <si>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</si>
  <si>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</si>
  <si>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</si>
  <si>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</si>
  <si>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</si>
  <si>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</si>
  <si>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</si>
  <si>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</si>
  <si>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</si>
  <si>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</si>
  <si>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</si>
  <si>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</si>
  <si>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</si>
  <si>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</si>
  <si>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</si>
  <si>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</si>
  <si>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</si>
  <si>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</si>
  <si>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</si>
  <si>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</si>
  <si>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</si>
  <si>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</si>
  <si>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</si>
  <si>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</si>
  <si>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</si>
  <si>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</si>
  <si>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</si>
  <si>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</si>
  <si>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</si>
  <si>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</si>
  <si>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</si>
  <si>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</si>
  <si>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</si>
  <si>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</si>
  <si>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</si>
  <si>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</si>
  <si>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</si>
  <si>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</si>
  <si>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</si>
  <si>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</si>
  <si>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</si>
  <si>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</si>
  <si>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</si>
  <si>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</si>
  <si>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</si>
  <si>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</si>
  <si>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</si>
  <si>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</si>
  <si>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</si>
  <si>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</si>
  <si>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</si>
  <si>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</si>
  <si>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</si>
  <si>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</si>
  <si>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</si>
  <si>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</si>
  <si>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</si>
  <si>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</si>
  <si>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</si>
  <si>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</si>
  <si>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</si>
  <si>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</si>
  <si>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</si>
  <si>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</si>
  <si>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</si>
  <si>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</si>
  <si>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</si>
  <si>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</si>
  <si>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</si>
  <si>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</si>
  <si>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</si>
  <si>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</si>
  <si>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</si>
  <si>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</si>
  <si>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</si>
  <si>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</si>
  <si>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</si>
  <si>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</si>
  <si>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</si>
  <si>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</si>
  <si>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</si>
  <si>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</si>
  <si>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</si>
  <si>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</si>
  <si>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</si>
  <si>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</si>
  <si>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</si>
  <si>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</si>
  <si>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</si>
  <si>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</si>
  <si>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</si>
  <si>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</si>
  <si>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</si>
  <si>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</si>
  <si>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</si>
  <si>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</si>
  <si>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</si>
  <si>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</si>
  <si>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</si>
  <si>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</si>
  <si>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</si>
  <si>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</si>
  <si>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</si>
  <si>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</si>
  <si>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</si>
  <si>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</si>
  <si>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</si>
  <si>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</si>
  <si>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</si>
  <si>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</si>
  <si>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</si>
  <si>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</si>
  <si>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</si>
  <si>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</si>
  <si>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</si>
  <si>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</si>
  <si>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</si>
  <si>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</si>
  <si>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</si>
  <si>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</si>
  <si>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</si>
  <si>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</si>
  <si>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</si>
  <si>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</si>
  <si>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</si>
  <si>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</si>
  <si>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</si>
  <si>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</si>
  <si>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</si>
  <si>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</si>
  <si>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</si>
  <si>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</si>
  <si>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</si>
  <si>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</si>
  <si>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</si>
  <si>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</si>
  <si>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</si>
  <si>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</si>
  <si>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</si>
  <si>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</si>
  <si>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</si>
  <si>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</si>
  <si>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</si>
  <si>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</si>
  <si>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</si>
  <si>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</si>
  <si>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</si>
  <si>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</si>
  <si>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</si>
  <si>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</si>
  <si>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</si>
  <si>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</si>
  <si>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</si>
  <si>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</si>
  <si>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</si>
  <si>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</si>
  <si>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</si>
  <si>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</si>
  <si>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</si>
  <si>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</si>
  <si>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</si>
  <si>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</si>
  <si>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</si>
  <si>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</si>
  <si>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</si>
  <si>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</si>
  <si>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</si>
  <si>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</si>
  <si>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</si>
  <si>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</si>
  <si>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</si>
  <si>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</si>
  <si>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</si>
  <si>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</si>
  <si>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</si>
  <si>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</si>
  <si>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</si>
  <si>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</si>
  <si>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</si>
  <si>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</si>
  <si>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</si>
  <si>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</si>
  <si>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</si>
  <si>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</si>
  <si>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</si>
  <si>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</si>
  <si>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</si>
  <si>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</si>
  <si>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</si>
  <si>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</si>
  <si>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</si>
  <si>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</si>
  <si>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</si>
  <si>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</si>
  <si>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</si>
  <si>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</si>
  <si>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</si>
  <si>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</si>
  <si>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</si>
  <si>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</si>
  <si>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</si>
  <si>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</si>
  <si>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</si>
  <si>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</si>
  <si>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</si>
  <si>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</si>
  <si>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</si>
  <si>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</si>
  <si>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</si>
  <si>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</si>
  <si>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</si>
  <si>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</si>
  <si>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</si>
  <si>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</si>
  <si>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</si>
  <si>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</si>
  <si>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</si>
  <si>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</si>
  <si>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</si>
  <si>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</si>
  <si>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</si>
  <si>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</si>
  <si>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</si>
  <si>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</si>
  <si>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</si>
  <si>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</si>
  <si>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</si>
  <si>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</si>
  <si>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</si>
  <si>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</si>
  <si>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</si>
  <si>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</si>
  <si>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</si>
  <si>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</si>
  <si>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</si>
  <si>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</si>
  <si>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</si>
  <si>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</si>
  <si>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</si>
  <si>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</si>
  <si>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</si>
  <si>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</si>
  <si>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</si>
  <si>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</si>
  <si>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</si>
  <si>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</si>
  <si>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</si>
  <si>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</si>
  <si>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</si>
  <si>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</si>
  <si>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Chicago Heights School District 170</t>
  </si>
  <si>
    <t>Cook</t>
  </si>
  <si>
    <t>General Obligation Lease Certificates, Series 2017A</t>
  </si>
  <si>
    <t>Debt Certificates, Series 2017B</t>
  </si>
  <si>
    <t>Series 2017C</t>
  </si>
  <si>
    <t>Series 2017D</t>
  </si>
  <si>
    <t>2017 Working Cash Fund Bonds</t>
  </si>
  <si>
    <t>GO Lease Certificates</t>
  </si>
  <si>
    <t>Debt Certificates</t>
  </si>
  <si>
    <t>Bloom Township School Treasurer</t>
  </si>
  <si>
    <t>Illinois Counties Risk Management Trust</t>
  </si>
  <si>
    <t>SPEED SEJA No. 802, ECHO</t>
  </si>
  <si>
    <t>South Suburban Purchasing Co-op</t>
  </si>
  <si>
    <t>GW &amp; Associates, P.C.</t>
  </si>
  <si>
    <t>John Wysocki, CPA</t>
  </si>
  <si>
    <t>4415 West Harrison Street</t>
  </si>
  <si>
    <t>Hillside</t>
  </si>
  <si>
    <t>IL</t>
  </si>
  <si>
    <t>(708)755-8182</t>
  </si>
  <si>
    <t>(708)755-8326</t>
  </si>
  <si>
    <t>30 W 16th Street</t>
  </si>
  <si>
    <t xml:space="preserve">Chicago Heights, IL </t>
  </si>
  <si>
    <t>Thomas Amadio</t>
  </si>
  <si>
    <t>708-756-4170</t>
  </si>
  <si>
    <t>708-756-4164</t>
  </si>
  <si>
    <t>Dr. Robert G. Grossi</t>
  </si>
  <si>
    <t>rgrossi@bloomtts.org</t>
  </si>
  <si>
    <t>708-754-3677</t>
  </si>
  <si>
    <t>708-754-0208</t>
  </si>
  <si>
    <t>Dr. Vanessa Kinder (ISC#4)</t>
  </si>
  <si>
    <t>vkinder@s-cook.org</t>
  </si>
  <si>
    <t>708-754-6600</t>
  </si>
  <si>
    <t>708-754-8687</t>
  </si>
  <si>
    <t>john.wysocki@cpagwa.com</t>
  </si>
  <si>
    <t>Office of Elementary and Secondary Education, US Department of Education/ISBE</t>
  </si>
  <si>
    <t>18-4300-00</t>
  </si>
  <si>
    <t>17-4300-00</t>
  </si>
  <si>
    <t xml:space="preserve">Title I - Low Income </t>
  </si>
  <si>
    <t xml:space="preserve">Total Title I - Low </t>
  </si>
  <si>
    <t>Title III - English Language Acquisition</t>
  </si>
  <si>
    <t>18-4909-00</t>
  </si>
  <si>
    <t>17-4909-00</t>
  </si>
  <si>
    <t>Total Title III - English Language Acquisition</t>
  </si>
  <si>
    <t xml:space="preserve">Title II - Teacher Qualtity </t>
  </si>
  <si>
    <t>18-4932-00</t>
  </si>
  <si>
    <t>17-4932-00</t>
  </si>
  <si>
    <t>Total Title II - Teacher Quality</t>
  </si>
  <si>
    <t>Title IVA - Student Support and Academic Enrichment</t>
  </si>
  <si>
    <t>18-4400-00</t>
  </si>
  <si>
    <t>Total Office of Elementary and Secondary Education, US Department of Education/ISBE</t>
  </si>
  <si>
    <t>Food and Nutrition Service, Department of Agriculture/ISBE</t>
  </si>
  <si>
    <t>18-4210-00</t>
  </si>
  <si>
    <t>17-4210-00</t>
  </si>
  <si>
    <t>N/A</t>
  </si>
  <si>
    <t>National School Lunch Program (Child Nutrition Cluster) (M)</t>
  </si>
  <si>
    <t xml:space="preserve">Total National School Lunch Program </t>
  </si>
  <si>
    <t>School Breakfast Program (Child Nutrition Cluster) (M)</t>
  </si>
  <si>
    <t>18-4220-00</t>
  </si>
  <si>
    <t>17-4220-00</t>
  </si>
  <si>
    <t>Total School Breakfast Program (M)</t>
  </si>
  <si>
    <t>National School Lunch Program - Commodities (Child Nutrition Cluster)</t>
  </si>
  <si>
    <t>Total National School Lunch Program - Commodities</t>
  </si>
  <si>
    <t>18-4299-00</t>
  </si>
  <si>
    <t>17-4299-00</t>
  </si>
  <si>
    <t>Total Food and Nutrition Service, Department of Agriculture/ISBE</t>
  </si>
  <si>
    <t>Office of Special Education and Rehabilitative Services, US Department of Education, ISBE</t>
  </si>
  <si>
    <t>IDEA - Room &amp; Board (Special Education Cluster)</t>
  </si>
  <si>
    <t>17-4625-00</t>
  </si>
  <si>
    <t>Total ISBE Funding</t>
  </si>
  <si>
    <t>Food and Nutrition Service, Department of Agriculture/Department of Defense</t>
  </si>
  <si>
    <t>Commodities (Child Nutrition Cluster)</t>
  </si>
  <si>
    <t>Total Food and Nutrition Service, Department of Agriculture/Department of Defense</t>
  </si>
  <si>
    <t>Office of Special Education and Rehabilitative Services, US Department of Education, ISBE/SPEED</t>
  </si>
  <si>
    <t>Total Office of Special Education and Rehabilitative Services, US Department of Education/ISBE/SPEED</t>
  </si>
  <si>
    <t>US Department of Health and Human Services/IL Department of Healthcare and Family Services</t>
  </si>
  <si>
    <t>Medicaid Matching Funds - Admin Outreach  FY 2018</t>
  </si>
  <si>
    <t xml:space="preserve">                                                                        FY 2017</t>
  </si>
  <si>
    <t>Total US Department of Health and Human Services/IL Department of Healthcare and Family Services</t>
  </si>
  <si>
    <t>Total Federal Assistance</t>
  </si>
  <si>
    <t>Cluster Totals:</t>
  </si>
  <si>
    <t>Child Nutrition Cluster</t>
  </si>
  <si>
    <t>FY 2018</t>
  </si>
  <si>
    <t>FY 2017</t>
  </si>
  <si>
    <t>Total Child Nutrition Cluster</t>
  </si>
  <si>
    <t>Special Education Cluster</t>
  </si>
  <si>
    <t>Total Special Education Cluster</t>
  </si>
  <si>
    <t>18-4620-00</t>
  </si>
  <si>
    <t>17-4620-00</t>
  </si>
  <si>
    <t>17-4600-00</t>
  </si>
  <si>
    <t xml:space="preserve">Total IDEA Part B Flow Through </t>
  </si>
  <si>
    <t xml:space="preserve">Total IDEA Preschool Flow Through </t>
  </si>
  <si>
    <t>IDEA Part B Flow Through (Special Education Cluster) (M)</t>
  </si>
  <si>
    <t>IDEA Preschool Flow Through (Special Education Cluster) (M)</t>
  </si>
  <si>
    <t>18-4600-00</t>
  </si>
  <si>
    <t>None</t>
  </si>
  <si>
    <r>
      <t xml:space="preserve">Reason of Discrepancy of Debt Issued: </t>
    </r>
    <r>
      <rPr>
        <sz val="10"/>
        <rFont val="Calibri"/>
        <family val="2"/>
        <scheme val="minor"/>
      </rPr>
      <t xml:space="preserve">At previous year-end, the $1,500,000 was presented as a receivable in the Education Fund and a payable in the working cash fund.  </t>
    </r>
  </si>
  <si>
    <t>In December 2017, the Education Fund was replenished for the cash used to purchase the debt.  The bond proceeds where then recognized as revenue in the Working Cash Fund.</t>
  </si>
  <si>
    <t>Revenues-Account 1999-Ed Fund</t>
  </si>
  <si>
    <t xml:space="preserve">Retiree Medical Cost Reimbursements                            </t>
  </si>
  <si>
    <t>Miscellaneous Revenue</t>
  </si>
  <si>
    <t>Unmodified</t>
  </si>
  <si>
    <t>Less: Commodities (Already posted to NSLP line item)</t>
  </si>
  <si>
    <t>Less: Qualified School Construction Bonds</t>
  </si>
  <si>
    <t>2017-001</t>
  </si>
  <si>
    <t>When select District management personnel fully understand the District's financial statements and related footnotes, they do not necessarily stay current with all the new accounting pronouncements that could impact the District's financial reporting.</t>
  </si>
  <si>
    <t>Select District personnel fully understand the District's financial statements and related footnotes, they do not necessarily stay current with all the new accounting pronouncements that could impact the District's financial statement reporting.  This finding is repeated as 2018-001.</t>
  </si>
  <si>
    <t>2017-002</t>
  </si>
  <si>
    <t>While the District properly accounts for federal revenues and associated expenditures in separate, identifiable accounts, the District did not prepare a SEFA.</t>
  </si>
  <si>
    <t>As recommended, the District will evaluate the situation and consider preparing the SEFA to ensure accurate financial reporting associated with the Federal expenditures related to grants.  This finding is repeated as 2018-002.</t>
  </si>
  <si>
    <t>2017-003</t>
  </si>
  <si>
    <t xml:space="preserve">There was an instance of an activity account purchase being shipped to an employee's home.  </t>
  </si>
  <si>
    <t>There was once again an instance of an activity account purchase being shipped to an employee's home in 2018.  The School District will continue to reiterate that its current policy requires all school related shipments to be shipped to a physical location of the School District.  This finding is repeated as 2018-003.</t>
  </si>
  <si>
    <t>2017-004</t>
  </si>
  <si>
    <t>During testing of check and credit card disbursement controls, several instances of either missing or incomplete purchase orders were noted.  For check disbursement control testing covering 40 transactions, 1 did not have a purchase order, 4 did not have a purchased order with two approving signatures (prinicipal or business manager), and 1 expense was coded to the incorrect account.  For credit card disbursements covering an additional 25 transactions, 3 purchases did not have a purchase order attached and 1 purchase had a purchase order with only one signature.</t>
  </si>
  <si>
    <t>There were once again missing P.O.'s and P.O.'s withouth signatures.  This finding is repeated as 2018-004.</t>
  </si>
  <si>
    <t>2017-005</t>
  </si>
  <si>
    <t>The District did not have documentation related to 1 of the 20 employees being paid with Title 1 funds that supported their standing as highly qualified.  Additionally, the job description for tutors, which was the position of employment for the employee that was the exception in the sample, only had a high school diploma as the qualification for the position instead of the qualifications listed at Section 1119 (C) and (D) per Title 1.</t>
  </si>
  <si>
    <t>The Title 1 employee from the previous year is no longer employed by the School District.  There is now one employee in charge of processing paraprofessional employees.  All transcripts of employees are kept in a file.  The School District also checks for licenses through ISBE.  There were no employees noted in 2018 who were not qualified to be paid with grant funding.  This finding is not repeated.</t>
  </si>
  <si>
    <t>The potential effect of this control deficiency is that a misstatement or omission in the financial statements would not be prevented, detected or corrected on a timely basis.</t>
  </si>
  <si>
    <t>Select District personnel fully understand the District's financial statements and related footnotes.  They do not necessarily stay current with all the new accounting pronouncements that could impact the District's financial statement reporting.  The District will re-evaluate the situation.</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</si>
  <si>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</si>
  <si>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the new accounting pronouncements that could impact the District's financial statement reporting.  Additionally, proper reporting of transactions in the general ledger is essential to the financial reporting process.</t>
  </si>
  <si>
    <t>GWA made entries to adjust balances as of year-end to be reported in the financial statements.  Entries included the determination of TRS/THIS on-behalf payments, food commodities received by the District, reclass of Medicaid Administrative Outreach revenues, and the proper classification of capital purchases between codes 500 and 700, among others.</t>
  </si>
  <si>
    <t>.</t>
  </si>
  <si>
    <t>We recommend that management evaluate the situation. Management should consider the cost in time and hard dollars of requiring employees with financial statement responsibility to remain current with all applicable accounting pronouncements.  Additionally, management should implement controls surrounding the proper reporting of items that have been historically recorded through adjusting journal entries proposed by the auditors.</t>
  </si>
  <si>
    <t>The Uniform Guidance indicates that management is responsible for preparing the Schedule of Expenditures of Federal Awards ("SEFA") to detail all federal revenues received and associated expenses paid during the fiscal year. The inability to do so would be considered a control deficiency.</t>
  </si>
  <si>
    <t>Since the auditors prepare the SEFA on behalf of the District rather than District personnel responsible for the federal programs, the risk is higher that a program could be omitted from  the schedule or amounts associated with various progams could be misstated.</t>
  </si>
  <si>
    <t>We recommend the District evaluate the situation and consider preparing the SEFA to ensure accurate financial reporting associated with the Federal expenditures related to grants.</t>
  </si>
  <si>
    <t>As recommended, the District will evaluate the situation and consider preparing the SEFA to ensure accurate financial reporting associated with the Federal expenditures related to grants.</t>
  </si>
  <si>
    <t>Business/classroom items purchased with activity account or imprest account funds should not be sent to an employee's personal address but to an andress of a School District facility.</t>
  </si>
  <si>
    <t>In the current year there was an instance of an activity account purchase being shipped to an employee's home. Discussions with management in prior years indicated that these expenditures were reasonable uses of District funds.</t>
  </si>
  <si>
    <t>The practice of allowing employees to have business/classroom related items sent to personal addresses creates the opportunities for employees to potentially use such items for personal uses.</t>
  </si>
  <si>
    <t xml:space="preserve">Items shipped to personal addresses have been reimbursed to employees without any known ramifications.  </t>
  </si>
  <si>
    <t>The District should consider creating a policy where all school related shipments of products are shipped to the location of the employee ordering such items.  The policy should also state that reimbursements may not be provided if the shipments are sent to non-District addresses unless prior consent has been provided and such practice is deemed allowable.</t>
  </si>
  <si>
    <t>The current policy requires all school related shipments to be shipped to a physical location of the School District.  The policy and procedures will be reiterated to all District employees and enforced.</t>
  </si>
  <si>
    <t>In the prior year, within the activity account, it was noted that there was one instance of reimbursed items being shipped to an employee's home.</t>
  </si>
  <si>
    <t xml:space="preserve">Controls implemented to approve and support purchases made by the District are to be applied consistently, whether such purchases are ultimately made by check or credit card.  </t>
  </si>
  <si>
    <t>The lack of required purchase orders and inconsistency in approving such purchase orders could potentially lead to a misappropriation of funds.</t>
  </si>
  <si>
    <t>District controls are not adhered to on a consistent basis.</t>
  </si>
  <si>
    <t>Prior to disbursement, a designated employee should be reviewing supporting documentation and purchase orders for appropriate signatures.  Any instances where a purchase order is either not included with the invoice or is missing signatures should be sent back to responsible parties to complete and include the purchase orders as directed.</t>
  </si>
  <si>
    <t>During testing of check and credit card disbursement controls, several instance of either missing or incomplete purchase orders were noted.  For check disbursement control testing, there were multiple purchase orders without signatures, multiple sampled items missing purchase orders, and sampled item charged to the wrong account.  For credit card disbursement control testing, three sampled items did not have purchase orders and one of the items sampled did not have two signatures on the purchase order.</t>
  </si>
  <si>
    <t>Per internal control questionnaires, purchase orders are to be signed by at least two employees.  For individual school purchases, the business manager and principals are to sign the purchase order.  For District purchases, the business manager and superintendent both need to sign the purchase order.</t>
  </si>
  <si>
    <t>The current policy requires two signatures on each purchase order.  One of the two signatures must be the business manager and/or the superintendent and a District administrator.  The policy and procedures will be reiterated to all District employees and enforced in Fiscal Year 2019.</t>
  </si>
  <si>
    <t>IDEA Part B Flow Through</t>
  </si>
  <si>
    <t>17-4620-00/18-4620-00</t>
  </si>
  <si>
    <t>Office of Special Education and Rehabilitative Services</t>
  </si>
  <si>
    <t>US Department of Education</t>
  </si>
  <si>
    <t>Equipment purchased with IDEA Grant Funds must be tagged in equipment inventory records so as to be appropriately safeguarded and maintained.</t>
  </si>
  <si>
    <t>The Optect 5000 Vision tester purchased by the School District was not listed in the inventory records of equipment purchased with grant funds.</t>
  </si>
  <si>
    <t>Equipment purchased with grant funds but not listed in inventory records may be inappropriately disposed of in violation of the grants.</t>
  </si>
  <si>
    <t>The School District did not appear to have controls in place to ensure that all equipment purchased with grant funds are recorded in grant equipment inventory records.</t>
  </si>
  <si>
    <t xml:space="preserve">The School District should establish policies were equipment purchased with grant funds must be recorded in inventory records before it can be placed into use.  </t>
  </si>
  <si>
    <t>It appears that computer equipment purchased with grant funds are properly entered into grant inventory records.  However, the Optect 5000 Vision tester is not computer equipment.</t>
  </si>
  <si>
    <t>10-1000-300</t>
  </si>
  <si>
    <t>ED-Instruction-Purchased Services</t>
  </si>
  <si>
    <t>US Bancorp Equipment Finance Inc</t>
  </si>
  <si>
    <t>Leaf Commercial Capital, Inc</t>
  </si>
  <si>
    <t>Canon Financial Services Inc</t>
  </si>
  <si>
    <t>De Lage Landen Public Finance</t>
  </si>
  <si>
    <t>Expenditures-Function 2900 - ED Fund</t>
  </si>
  <si>
    <t xml:space="preserve">Title 1 Homeless - Social Needs </t>
  </si>
  <si>
    <t>Maxim Staffing Solutions</t>
  </si>
  <si>
    <t>American Home Health Corp</t>
  </si>
  <si>
    <t>Encore Rehabilitation Services</t>
  </si>
  <si>
    <t>BNM Professional Consulting Services Inc</t>
  </si>
  <si>
    <t>ED-General Admin-Purchased Services</t>
  </si>
  <si>
    <t>10-2300-300</t>
  </si>
  <si>
    <t>Briargate Insurance Services</t>
  </si>
  <si>
    <t>GW &amp; Associaties, PC</t>
  </si>
  <si>
    <t>Del Galdo Law Group, LLC</t>
  </si>
  <si>
    <t>10-2540-300</t>
  </si>
  <si>
    <t>Republic Services #721, Inc.</t>
  </si>
  <si>
    <t>Alpha Pest Control, Inc.</t>
  </si>
  <si>
    <t>Digitron Security Systems, Inc.</t>
  </si>
  <si>
    <t>First Security Systems, Inc.</t>
  </si>
  <si>
    <t>AT&amp;T</t>
  </si>
  <si>
    <t>ED-Oper.&amp;Maint Plant Services-Purchased Services</t>
  </si>
  <si>
    <t>ED-Oper.&amp;Maint-Plant Services-Purchased Services</t>
  </si>
  <si>
    <t>ED-Oper.&amp;Maint-Plant Services - Supplies &amp; Materials</t>
  </si>
  <si>
    <t>10-2540-400</t>
  </si>
  <si>
    <t>Nicor Gas</t>
  </si>
  <si>
    <t>Constellation Energy Services</t>
  </si>
  <si>
    <t>Direct Energy Business</t>
  </si>
  <si>
    <t>Comed</t>
  </si>
  <si>
    <t>ED-Food Services - Purchased Services</t>
  </si>
  <si>
    <t>10-2560-300</t>
  </si>
  <si>
    <t>ED-Food Services - Supplies &amp; Materials</t>
  </si>
  <si>
    <t>10-2560-400</t>
  </si>
  <si>
    <t>Cozzini Brothers</t>
  </si>
  <si>
    <t>Wilkens Food Service</t>
  </si>
  <si>
    <t>Fox River Foods, Inc.</t>
  </si>
  <si>
    <t>Gordon Food Service</t>
  </si>
  <si>
    <t>Cloverleaf Farms</t>
  </si>
  <si>
    <t>Alpha Baking</t>
  </si>
  <si>
    <t>National Food Group, Inc.</t>
  </si>
  <si>
    <t>Performance Food Service - Chicago</t>
  </si>
  <si>
    <t>O&amp;M-Operations &amp; Maintenance-Purchased Services</t>
  </si>
  <si>
    <t>20-2540-300</t>
  </si>
  <si>
    <t>Stanley Convergent Security Solution, Inc.</t>
  </si>
  <si>
    <t>Transportation-Pupil Transportation-Purchased Services</t>
  </si>
  <si>
    <t>40-2550-300</t>
  </si>
  <si>
    <t>DLM Bus Line, Inc.</t>
  </si>
  <si>
    <t>Abundant Living Christian Center Inc</t>
  </si>
  <si>
    <t>Illinois School Bus</t>
  </si>
  <si>
    <t>Transportation-Pupil Transportation-Other Objects</t>
  </si>
  <si>
    <t>40-2550-600</t>
  </si>
  <si>
    <t>Santander Leasing LLC</t>
  </si>
  <si>
    <t>10.553, 10.555</t>
  </si>
  <si>
    <t>84.027, 84.173</t>
  </si>
  <si>
    <t>23.  Auditor's Report expressed a qualified opinion on the Regulatory Basis of reporting required by ISBE because of the ommission of GASB 75 disclosures.</t>
  </si>
  <si>
    <t>Expenditures-Function 5400 - Debt Service Fund</t>
  </si>
  <si>
    <t>Debt Services Other - Cost of issuing debt</t>
  </si>
  <si>
    <t>The accompanying Schedule of Expenditures of Federal Awards includes the federal grant activity of Chicago Heights School District 170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</si>
  <si>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Chicago Heights School District 170 and are included in the Schedule of Expenditures of Federal Awards:</t>
  </si>
  <si>
    <t>Of the federal expenditures presented in the schedule, Chicago Heights School District 170 provided federal awards to subrecipients as follows:</t>
  </si>
  <si>
    <t>The School District will establish a policy that requires all equipment purchased with grant funds to be recorded in inventory prior to use.</t>
  </si>
  <si>
    <t>PDF in Opinion-Notes 35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</si>
</sst>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6" fillId="0" borderId="0"/>
    <xf numFmtId="0" fontId="5" fillId="0" borderId="0"/>
    <xf numFmtId="44" fontId="141" fillId="0" borderId="0" applyFont="0" applyFill="0" applyBorder="0" applyAlignment="0" applyProtection="0"/>
    <xf numFmtId="0" fontId="4" fillId="0" borderId="0"/>
    <xf numFmtId="0" fontId="3" fillId="0" borderId="0"/>
    <xf numFmtId="0" fontId="3" fillId="0" borderId="0"/>
  </cellStyleXfs>
  <cellXfs count="2662">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6"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7" fillId="0" borderId="129" xfId="12" applyFont="1" applyBorder="1" applyAlignment="1" applyProtection="1">
      <alignment vertical="center"/>
    </xf>
    <xf numFmtId="0" fontId="17" fillId="0" borderId="127" xfId="12" applyFont="1" applyBorder="1" applyAlignment="1" applyProtection="1">
      <alignment vertical="center"/>
    </xf>
    <xf numFmtId="1" fontId="13" fillId="0" borderId="0" xfId="0" applyNumberFormat="1" applyFont="1" applyAlignment="1">
      <alignment horizontal="center" vertical="center"/>
    </xf>
    <xf numFmtId="0" fontId="14" fillId="0" borderId="136"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10" borderId="101" xfId="0" applyFont="1" applyFill="1" applyBorder="1" applyAlignment="1">
      <alignment horizontal="center" vertical="center"/>
    </xf>
    <xf numFmtId="0" fontId="79" fillId="10" borderId="102" xfId="0" applyFont="1" applyFill="1" applyBorder="1" applyAlignment="1">
      <alignment horizontal="center" vertical="center"/>
    </xf>
    <xf numFmtId="0" fontId="57" fillId="18" borderId="122" xfId="0" applyFont="1" applyFill="1" applyBorder="1" applyAlignment="1" applyProtection="1">
      <alignment horizontal="left" vertical="center"/>
    </xf>
    <xf numFmtId="164" fontId="57" fillId="18" borderId="122" xfId="0" applyNumberFormat="1" applyFont="1" applyFill="1" applyBorder="1" applyAlignment="1" applyProtection="1">
      <alignment horizontal="center" vertical="center"/>
    </xf>
    <xf numFmtId="164" fontId="67" fillId="18" borderId="122" xfId="0" applyNumberFormat="1" applyFont="1" applyFill="1" applyBorder="1" applyAlignment="1" applyProtection="1">
      <alignment vertical="center"/>
    </xf>
    <xf numFmtId="0" fontId="80" fillId="11" borderId="123" xfId="0" applyFont="1" applyFill="1" applyBorder="1" applyAlignment="1">
      <alignment horizontal="left" vertical="center"/>
    </xf>
    <xf numFmtId="38" fontId="52" fillId="11" borderId="103" xfId="0" applyNumberFormat="1" applyFont="1" applyFill="1" applyBorder="1" applyAlignment="1">
      <alignment horizontal="right"/>
    </xf>
    <xf numFmtId="38" fontId="52" fillId="11" borderId="110" xfId="0" applyNumberFormat="1" applyFont="1" applyFill="1" applyBorder="1" applyAlignment="1">
      <alignment horizontal="right"/>
    </xf>
    <xf numFmtId="0" fontId="81" fillId="12" borderId="103" xfId="0" applyFont="1" applyFill="1" applyBorder="1" applyAlignment="1">
      <alignment vertical="center"/>
    </xf>
    <xf numFmtId="164" fontId="57" fillId="14" borderId="118" xfId="0" applyNumberFormat="1" applyFont="1" applyFill="1" applyBorder="1" applyAlignment="1" applyProtection="1">
      <alignment horizontal="center" vertical="center"/>
    </xf>
    <xf numFmtId="164" fontId="67" fillId="14" borderId="110" xfId="0" applyNumberFormat="1" applyFont="1" applyFill="1" applyBorder="1" applyAlignment="1" applyProtection="1">
      <alignment vertical="center"/>
    </xf>
    <xf numFmtId="0" fontId="60" fillId="14" borderId="103" xfId="0" applyFont="1" applyFill="1" applyBorder="1" applyAlignment="1" applyProtection="1">
      <alignment vertical="center"/>
    </xf>
    <xf numFmtId="38" fontId="52" fillId="12" borderId="121" xfId="0" applyNumberFormat="1" applyFont="1" applyFill="1" applyBorder="1" applyAlignment="1" applyProtection="1">
      <alignment horizontal="right"/>
      <protection locked="0"/>
    </xf>
    <xf numFmtId="38" fontId="52" fillId="12" borderId="103" xfId="0" applyNumberFormat="1" applyFont="1" applyFill="1" applyBorder="1" applyAlignment="1" applyProtection="1">
      <alignment horizontal="right"/>
      <protection locked="0"/>
    </xf>
    <xf numFmtId="38" fontId="52" fillId="12" borderId="110" xfId="0" applyNumberFormat="1" applyFont="1" applyFill="1" applyBorder="1" applyAlignment="1" applyProtection="1">
      <alignment horizontal="right"/>
      <protection locked="0"/>
    </xf>
    <xf numFmtId="0" fontId="57" fillId="18" borderId="110" xfId="0" applyFont="1" applyFill="1" applyBorder="1" applyAlignment="1" applyProtection="1">
      <alignment horizontal="center" vertical="center"/>
    </xf>
    <xf numFmtId="164" fontId="57" fillId="18" borderId="110" xfId="0" applyNumberFormat="1" applyFont="1" applyFill="1" applyBorder="1" applyAlignment="1" applyProtection="1">
      <alignment horizontal="center" vertical="center"/>
    </xf>
    <xf numFmtId="164" fontId="67" fillId="18"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7" fillId="18" borderId="0" xfId="0" applyFont="1" applyFill="1" applyBorder="1" applyAlignment="1" applyProtection="1">
      <alignment horizontal="left" vertical="center"/>
    </xf>
    <xf numFmtId="164" fontId="57" fillId="18" borderId="0" xfId="0" applyNumberFormat="1" applyFont="1" applyFill="1" applyBorder="1" applyAlignment="1" applyProtection="1">
      <alignment horizontal="center" vertical="center"/>
    </xf>
    <xf numFmtId="164" fontId="67" fillId="18" borderId="0" xfId="0" applyNumberFormat="1" applyFont="1" applyFill="1" applyBorder="1" applyAlignment="1" applyProtection="1">
      <alignment vertical="center"/>
    </xf>
    <xf numFmtId="0" fontId="65" fillId="14" borderId="118" xfId="0" applyFont="1" applyFill="1" applyBorder="1" applyAlignment="1" applyProtection="1">
      <alignment horizontal="left" vertical="center"/>
    </xf>
    <xf numFmtId="164" fontId="57" fillId="14" borderId="110"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81" fillId="12" borderId="103" xfId="0" applyFont="1" applyFill="1" applyBorder="1" applyAlignment="1">
      <alignment horizontal="left" vertical="center"/>
    </xf>
    <xf numFmtId="0" fontId="57" fillId="14" borderId="119" xfId="0" applyFont="1" applyFill="1" applyBorder="1" applyAlignment="1" applyProtection="1">
      <alignment horizontal="center" vertical="center"/>
    </xf>
    <xf numFmtId="164" fontId="57" fillId="14" borderId="120" xfId="0" applyNumberFormat="1" applyFont="1" applyFill="1" applyBorder="1" applyAlignment="1" applyProtection="1">
      <alignment horizontal="center" vertical="center"/>
    </xf>
    <xf numFmtId="164" fontId="67" fillId="14" borderId="120" xfId="0" applyNumberFormat="1" applyFont="1" applyFill="1" applyBorder="1" applyAlignment="1" applyProtection="1">
      <alignment vertical="center"/>
    </xf>
    <xf numFmtId="38" fontId="52" fillId="12" borderId="110" xfId="0" applyNumberFormat="1" applyFont="1" applyFill="1" applyBorder="1" applyAlignment="1">
      <alignment horizontal="right"/>
    </xf>
    <xf numFmtId="0" fontId="80" fillId="11" borderId="104" xfId="0" applyFont="1" applyFill="1" applyBorder="1" applyAlignment="1">
      <alignment horizontal="left" vertical="center"/>
    </xf>
    <xf numFmtId="38" fontId="52" fillId="11" borderId="104" xfId="0" applyNumberFormat="1" applyFont="1" applyFill="1" applyBorder="1" applyAlignment="1">
      <alignment horizontal="right"/>
    </xf>
    <xf numFmtId="38" fontId="52" fillId="11"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0" borderId="14" xfId="0" applyNumberFormat="1" applyFont="1" applyFill="1" applyBorder="1" applyAlignment="1" applyProtection="1">
      <alignment horizontal="right"/>
      <protection locked="0"/>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38" fontId="58" fillId="0" borderId="0" xfId="0" applyNumberFormat="1" applyFont="1" applyAlignment="1" applyProtection="1">
      <alignment horizontal="right"/>
      <protection locked="0"/>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8" xfId="0" applyNumberFormat="1" applyFont="1" applyBorder="1" applyAlignment="1" applyProtection="1">
      <alignment horizontal="center" vertical="center"/>
    </xf>
    <xf numFmtId="38" fontId="58" fillId="0" borderId="128" xfId="0" applyNumberFormat="1" applyFont="1" applyBorder="1" applyAlignment="1" applyProtection="1">
      <alignment horizontal="right"/>
      <protection locked="0"/>
    </xf>
    <xf numFmtId="38" fontId="58" fillId="3" borderId="128"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1" xfId="0" applyFont="1" applyFill="1" applyBorder="1" applyAlignment="1" applyProtection="1">
      <alignment horizontal="center" vertical="center"/>
    </xf>
    <xf numFmtId="38" fontId="58" fillId="0" borderId="125"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24" xfId="0" applyNumberFormat="1" applyFont="1" applyFill="1" applyBorder="1" applyAlignment="1" applyProtection="1">
      <alignment horizontal="right"/>
      <protection locked="0"/>
    </xf>
    <xf numFmtId="38" fontId="58" fillId="0" borderId="112" xfId="0" applyNumberFormat="1" applyFont="1" applyFill="1" applyBorder="1" applyAlignment="1" applyProtection="1">
      <alignment horizontal="right"/>
      <protection locked="0"/>
    </xf>
    <xf numFmtId="38" fontId="58" fillId="0" borderId="55"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8"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8"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6"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8" xfId="0" applyFont="1" applyFill="1" applyBorder="1" applyAlignment="1">
      <alignment horizontal="center" vertical="center"/>
    </xf>
    <xf numFmtId="38" fontId="58" fillId="0" borderId="128" xfId="0" applyNumberFormat="1" applyFont="1" applyFill="1" applyBorder="1" applyAlignment="1" applyProtection="1">
      <alignment horizontal="right"/>
      <protection locked="0"/>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6"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7" xfId="0" applyNumberFormat="1" applyFont="1" applyFill="1" applyBorder="1" applyAlignment="1">
      <alignment horizontal="center" vertical="center"/>
    </xf>
    <xf numFmtId="49" fontId="65" fillId="0" borderId="128"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8"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6"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20"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6"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6"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4" xfId="3" applyNumberFormat="1" applyFont="1" applyBorder="1" applyAlignment="1">
      <alignment horizontal="center" vertical="center"/>
    </xf>
    <xf numFmtId="0" fontId="60" fillId="0" borderId="134"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4"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3" xfId="0" applyFont="1" applyBorder="1"/>
    <xf numFmtId="0" fontId="58" fillId="0" borderId="13" xfId="0" applyFont="1" applyBorder="1"/>
    <xf numFmtId="0" fontId="58" fillId="0" borderId="126" xfId="0" applyFont="1" applyBorder="1" applyAlignment="1">
      <alignment horizontal="left" vertical="top"/>
    </xf>
    <xf numFmtId="164" fontId="116" fillId="0" borderId="129" xfId="0" applyNumberFormat="1" applyFont="1" applyBorder="1" applyAlignment="1">
      <alignment horizontal="right" vertical="top"/>
    </xf>
    <xf numFmtId="0" fontId="58" fillId="0" borderId="129" xfId="0" applyNumberFormat="1" applyFont="1" applyBorder="1" applyAlignment="1">
      <alignment horizontal="left" vertical="center" wrapText="1" indent="1"/>
    </xf>
    <xf numFmtId="0" fontId="88" fillId="0" borderId="128" xfId="0" applyFont="1" applyBorder="1" applyAlignment="1">
      <alignment horizontal="left" vertical="center" wrapText="1"/>
    </xf>
    <xf numFmtId="0" fontId="58" fillId="0" borderId="129" xfId="0" applyFont="1" applyBorder="1" applyAlignment="1">
      <alignment horizontal="left" vertical="top"/>
    </xf>
    <xf numFmtId="0" fontId="58" fillId="0" borderId="0" xfId="0" applyFont="1" applyBorder="1" applyAlignment="1">
      <alignment vertical="top"/>
    </xf>
    <xf numFmtId="0" fontId="118" fillId="0" borderId="129" xfId="0" applyNumberFormat="1" applyFont="1" applyBorder="1" applyAlignment="1">
      <alignment horizontal="left" vertical="center"/>
    </xf>
    <xf numFmtId="0" fontId="116" fillId="0" borderId="129" xfId="0" applyFont="1" applyBorder="1" applyAlignment="1">
      <alignment vertical="top"/>
    </xf>
    <xf numFmtId="0" fontId="116" fillId="0" borderId="129" xfId="0" applyFont="1" applyBorder="1" applyAlignment="1">
      <alignment horizontal="left" vertical="top"/>
    </xf>
    <xf numFmtId="0" fontId="58" fillId="0" borderId="126" xfId="0" applyFont="1" applyBorder="1" applyAlignment="1"/>
    <xf numFmtId="164" fontId="116" fillId="0" borderId="129" xfId="0" applyNumberFormat="1" applyFont="1" applyBorder="1" applyAlignment="1"/>
    <xf numFmtId="0" fontId="58" fillId="0" borderId="129" xfId="0" applyFont="1" applyBorder="1" applyAlignment="1"/>
    <xf numFmtId="0" fontId="65" fillId="0" borderId="127"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5"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6" xfId="0" applyFont="1" applyFill="1" applyBorder="1" applyAlignment="1"/>
    <xf numFmtId="0" fontId="57" fillId="0" borderId="129" xfId="0" applyFont="1" applyFill="1" applyBorder="1" applyAlignment="1">
      <alignment horizontal="left" vertical="top"/>
    </xf>
    <xf numFmtId="0" fontId="57" fillId="0" borderId="127"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7"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4" xfId="3" quotePrefix="1" applyNumberFormat="1" applyFont="1" applyBorder="1" applyAlignment="1" applyProtection="1">
      <alignment horizontal="left"/>
    </xf>
    <xf numFmtId="0" fontId="65" fillId="0" borderId="145" xfId="3" applyNumberFormat="1" applyFont="1" applyBorder="1" applyAlignment="1" applyProtection="1">
      <alignment horizontal="center"/>
    </xf>
    <xf numFmtId="0" fontId="65" fillId="0" borderId="145" xfId="3" applyNumberFormat="1" applyFont="1" applyBorder="1" applyProtection="1"/>
    <xf numFmtId="0" fontId="58" fillId="0" borderId="144" xfId="3" applyNumberFormat="1" applyFont="1" applyBorder="1" applyAlignment="1" applyProtection="1"/>
    <xf numFmtId="0" fontId="65" fillId="0" borderId="146" xfId="3" applyNumberFormat="1" applyFont="1" applyBorder="1" applyAlignment="1" applyProtection="1">
      <alignment horizontal="centerContinuous"/>
    </xf>
    <xf numFmtId="0" fontId="58" fillId="0" borderId="144" xfId="3" applyNumberFormat="1" applyFont="1" applyBorder="1" applyAlignment="1" applyProtection="1">
      <alignment horizontal="left"/>
    </xf>
    <xf numFmtId="0" fontId="65" fillId="0" borderId="146" xfId="3" applyNumberFormat="1" applyFont="1" applyBorder="1" applyProtection="1"/>
    <xf numFmtId="0" fontId="65" fillId="0" borderId="145"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4"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60" fillId="0" borderId="77" xfId="3" applyNumberFormat="1" applyFont="1" applyBorder="1" applyAlignment="1" applyProtection="1">
      <alignment horizontal="center"/>
    </xf>
    <xf numFmtId="0" fontId="58" fillId="0" borderId="0" xfId="3" applyNumberFormat="1" applyFont="1" applyProtection="1"/>
    <xf numFmtId="0" fontId="65" fillId="0" borderId="0" xfId="3" quotePrefix="1" applyNumberFormat="1" applyFont="1" applyAlignment="1" applyProtection="1">
      <alignment horizontal="left"/>
    </xf>
    <xf numFmtId="0" fontId="57" fillId="0" borderId="0" xfId="3" applyNumberFormat="1" applyFont="1" applyProtection="1"/>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8"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5"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9"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7" xfId="3" applyFont="1" applyBorder="1" applyProtection="1"/>
    <xf numFmtId="0" fontId="58" fillId="0" borderId="148" xfId="3" applyFont="1" applyBorder="1" applyProtection="1">
      <protection locked="0"/>
    </xf>
    <xf numFmtId="0" fontId="58" fillId="0" borderId="147"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6" xfId="3" applyNumberFormat="1" applyFont="1" applyBorder="1" applyAlignment="1" applyProtection="1">
      <alignment horizontal="center"/>
    </xf>
    <xf numFmtId="0" fontId="67" fillId="0" borderId="145" xfId="3" applyFont="1" applyBorder="1" applyAlignment="1" applyProtection="1">
      <alignment horizontal="centerContinuous"/>
    </xf>
    <xf numFmtId="0" fontId="67" fillId="0" borderId="146"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6"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1" borderId="72" xfId="3" applyFont="1" applyFill="1" applyBorder="1" applyAlignment="1" applyProtection="1">
      <alignment horizontal="center"/>
    </xf>
    <xf numFmtId="0" fontId="67" fillId="22"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1"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2"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1" borderId="0" xfId="3" applyFont="1" applyFill="1" applyProtection="1"/>
    <xf numFmtId="169" fontId="60" fillId="21" borderId="0" xfId="3" applyNumberFormat="1" applyFont="1" applyFill="1" applyProtection="1"/>
    <xf numFmtId="1" fontId="60" fillId="21" borderId="0" xfId="3" applyNumberFormat="1" applyFont="1" applyFill="1" applyProtection="1"/>
    <xf numFmtId="0" fontId="60" fillId="21"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5" xfId="3" applyFont="1" applyBorder="1" applyProtection="1"/>
    <xf numFmtId="0" fontId="60" fillId="0" borderId="145" xfId="3" applyFont="1" applyBorder="1" applyProtection="1"/>
    <xf numFmtId="0" fontId="60" fillId="0" borderId="145"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5" xfId="3" quotePrefix="1"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5" xfId="3" applyFont="1" applyBorder="1" applyProtection="1"/>
    <xf numFmtId="0" fontId="60" fillId="0" borderId="0" xfId="3" applyFont="1" applyBorder="1" applyAlignment="1" applyProtection="1">
      <alignment horizontal="left"/>
    </xf>
    <xf numFmtId="0" fontId="67" fillId="0" borderId="145" xfId="3" applyFont="1" applyBorder="1" applyAlignment="1" applyProtection="1">
      <alignment horizontal="left"/>
    </xf>
    <xf numFmtId="0" fontId="60" fillId="9" borderId="145" xfId="3" applyFont="1" applyFill="1" applyBorder="1" applyProtection="1"/>
    <xf numFmtId="0" fontId="60" fillId="9" borderId="145" xfId="3" applyFont="1" applyFill="1" applyBorder="1" applyAlignment="1" applyProtection="1">
      <alignment horizontal="center"/>
    </xf>
    <xf numFmtId="0" fontId="60" fillId="9" borderId="146" xfId="3" applyFont="1" applyFill="1" applyBorder="1" applyProtection="1"/>
    <xf numFmtId="0" fontId="65" fillId="9" borderId="5" xfId="3" applyFont="1" applyFill="1" applyBorder="1" applyProtection="1"/>
    <xf numFmtId="0" fontId="65" fillId="9" borderId="111" xfId="3" applyFont="1" applyFill="1" applyBorder="1" applyProtection="1"/>
    <xf numFmtId="14" fontId="60" fillId="9" borderId="0" xfId="3" applyNumberFormat="1" applyFont="1" applyFill="1" applyBorder="1" applyProtection="1"/>
    <xf numFmtId="0" fontId="60" fillId="9" borderId="0" xfId="3" applyFont="1" applyFill="1" applyBorder="1" applyProtection="1"/>
    <xf numFmtId="0" fontId="60" fillId="9" borderId="0" xfId="3" applyFont="1" applyFill="1" applyBorder="1" applyAlignment="1" applyProtection="1">
      <alignment horizontal="center"/>
    </xf>
    <xf numFmtId="0" fontId="60" fillId="9" borderId="9" xfId="3" applyFont="1" applyFill="1" applyBorder="1" applyProtection="1"/>
    <xf numFmtId="0" fontId="65" fillId="9" borderId="0" xfId="3" applyFont="1" applyFill="1" applyBorder="1" applyProtection="1"/>
    <xf numFmtId="0" fontId="60" fillId="9" borderId="50" xfId="3" applyFont="1" applyFill="1" applyBorder="1" applyProtection="1"/>
    <xf numFmtId="0" fontId="60" fillId="9" borderId="9" xfId="3" applyFont="1" applyFill="1" applyBorder="1" applyAlignment="1" applyProtection="1">
      <alignment horizontal="center"/>
    </xf>
    <xf numFmtId="0" fontId="60" fillId="9" borderId="59" xfId="3" applyFont="1" applyFill="1" applyBorder="1" applyProtection="1"/>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5"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50"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67" fillId="9" borderId="144" xfId="3" applyFont="1" applyFill="1" applyBorder="1" applyProtection="1"/>
    <xf numFmtId="0" fontId="67" fillId="9" borderId="145" xfId="3" applyFont="1" applyFill="1" applyBorder="1" applyProtection="1"/>
    <xf numFmtId="0" fontId="60" fillId="0" borderId="5" xfId="3" applyFont="1" applyFill="1" applyBorder="1" applyProtection="1"/>
    <xf numFmtId="14" fontId="60" fillId="9" borderId="74" xfId="3" applyNumberFormat="1" applyFont="1" applyFill="1" applyBorder="1" applyAlignment="1" applyProtection="1">
      <alignment horizontal="center"/>
    </xf>
    <xf numFmtId="0" fontId="60" fillId="9" borderId="74" xfId="3" applyFont="1" applyFill="1" applyBorder="1" applyAlignment="1" applyProtection="1">
      <alignment horizontal="center"/>
    </xf>
    <xf numFmtId="0" fontId="60" fillId="9" borderId="40" xfId="3" applyFont="1" applyFill="1" applyBorder="1" applyProtection="1"/>
    <xf numFmtId="0" fontId="75" fillId="0" borderId="152" xfId="3" applyFont="1" applyBorder="1" applyAlignment="1" applyProtection="1">
      <alignment horizontal="left"/>
    </xf>
    <xf numFmtId="0" fontId="60" fillId="0" borderId="152" xfId="3" applyFont="1" applyBorder="1" applyProtection="1"/>
    <xf numFmtId="0" fontId="60" fillId="0" borderId="152"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9"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30"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8" xfId="0" applyNumberFormat="1" applyFont="1" applyBorder="1" applyAlignment="1">
      <alignment horizontal="left" vertical="center" wrapText="1" indent="1"/>
    </xf>
    <xf numFmtId="3" fontId="65" fillId="0" borderId="126"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8"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8" xfId="0" applyNumberFormat="1" applyFont="1" applyFill="1" applyBorder="1" applyAlignment="1" applyProtection="1">
      <alignment horizontal="right" vertical="center"/>
      <protection locked="0"/>
    </xf>
    <xf numFmtId="38" fontId="57" fillId="6" borderId="156" xfId="0" applyNumberFormat="1" applyFont="1" applyFill="1" applyBorder="1" applyAlignment="1">
      <alignment horizontal="center" vertical="center" wrapText="1"/>
    </xf>
    <xf numFmtId="38" fontId="57" fillId="6" borderId="156" xfId="0" applyNumberFormat="1" applyFont="1" applyFill="1" applyBorder="1" applyAlignment="1">
      <alignment horizontal="center" vertical="top" wrapText="1"/>
    </xf>
    <xf numFmtId="38" fontId="67" fillId="6" borderId="156"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1" xfId="17" applyFont="1" applyBorder="1" applyAlignment="1">
      <alignment horizontal="left" vertical="top"/>
    </xf>
    <xf numFmtId="0" fontId="129" fillId="0" borderId="142" xfId="17" applyFont="1" applyBorder="1" applyAlignment="1">
      <alignment horizontal="center" vertical="top"/>
    </xf>
    <xf numFmtId="0" fontId="129" fillId="0" borderId="143"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3" borderId="158" xfId="17" applyNumberFormat="1" applyFill="1" applyBorder="1" applyAlignment="1">
      <alignment horizontal="right" vertical="top"/>
    </xf>
    <xf numFmtId="38" fontId="10" fillId="23" borderId="159"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4" borderId="157" xfId="17" applyFont="1" applyFill="1" applyBorder="1" applyAlignment="1">
      <alignment horizontal="center" vertical="center" wrapText="1"/>
    </xf>
    <xf numFmtId="38" fontId="128" fillId="24" borderId="157" xfId="17" applyNumberFormat="1" applyFont="1" applyFill="1" applyBorder="1" applyAlignment="1">
      <alignment horizontal="center" vertical="center" wrapText="1"/>
    </xf>
    <xf numFmtId="3" fontId="58" fillId="24" borderId="132" xfId="0" applyNumberFormat="1" applyFont="1" applyFill="1" applyBorder="1" applyAlignment="1">
      <alignment horizontal="center"/>
    </xf>
    <xf numFmtId="3" fontId="58" fillId="24" borderId="132" xfId="0" applyNumberFormat="1" applyFont="1" applyFill="1" applyBorder="1" applyAlignment="1">
      <alignment horizontal="right"/>
    </xf>
    <xf numFmtId="3" fontId="58" fillId="24" borderId="133" xfId="0" applyNumberFormat="1" applyFont="1" applyFill="1" applyBorder="1" applyAlignment="1">
      <alignment horizontal="center"/>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3" fontId="68" fillId="24" borderId="126" xfId="0" applyNumberFormat="1" applyFont="1" applyFill="1" applyBorder="1" applyAlignment="1">
      <alignment horizontal="center" vertical="center" wrapText="1"/>
    </xf>
    <xf numFmtId="49" fontId="65" fillId="24" borderId="11" xfId="0" applyNumberFormat="1" applyFont="1" applyFill="1" applyBorder="1" applyAlignment="1">
      <alignment horizontal="center" vertical="center"/>
    </xf>
    <xf numFmtId="38" fontId="58" fillId="24" borderId="13" xfId="0" applyNumberFormat="1" applyFont="1" applyFill="1" applyBorder="1" applyAlignment="1">
      <alignment horizontal="right"/>
    </xf>
    <xf numFmtId="38" fontId="58" fillId="24" borderId="21" xfId="0" applyNumberFormat="1" applyFont="1" applyFill="1" applyBorder="1" applyAlignment="1">
      <alignment horizontal="right"/>
    </xf>
    <xf numFmtId="38" fontId="58" fillId="24" borderId="14" xfId="0" applyNumberFormat="1" applyFont="1" applyFill="1" applyBorder="1" applyAlignment="1">
      <alignment horizontal="right"/>
    </xf>
    <xf numFmtId="38" fontId="57" fillId="24" borderId="13"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21" xfId="1"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38" fontId="58" fillId="24" borderId="19" xfId="0" applyNumberFormat="1" applyFont="1" applyFill="1" applyBorder="1" applyAlignment="1" applyProtection="1">
      <alignment horizontal="right"/>
    </xf>
    <xf numFmtId="38" fontId="58" fillId="24" borderId="20" xfId="0" applyNumberFormat="1" applyFont="1" applyFill="1" applyBorder="1" applyAlignment="1" applyProtection="1">
      <alignment horizontal="right"/>
    </xf>
    <xf numFmtId="38" fontId="58" fillId="24" borderId="21" xfId="0" applyNumberFormat="1" applyFont="1" applyFill="1" applyBorder="1" applyAlignment="1" applyProtection="1">
      <alignment horizontal="right"/>
    </xf>
    <xf numFmtId="38" fontId="58" fillId="24" borderId="14" xfId="0" applyNumberFormat="1" applyFont="1" applyFill="1" applyBorder="1" applyAlignment="1" applyProtection="1">
      <alignment horizontal="right"/>
    </xf>
    <xf numFmtId="0" fontId="60" fillId="24" borderId="31" xfId="0" applyFont="1" applyFill="1" applyBorder="1" applyAlignment="1">
      <alignment horizontal="center" vertical="center"/>
    </xf>
    <xf numFmtId="38" fontId="58" fillId="24" borderId="13" xfId="0" applyNumberFormat="1" applyFont="1" applyFill="1" applyBorder="1" applyAlignment="1" applyProtection="1">
      <alignment horizontal="right"/>
    </xf>
    <xf numFmtId="38" fontId="58" fillId="24" borderId="11" xfId="0" applyNumberFormat="1" applyFont="1" applyFill="1" applyBorder="1" applyAlignment="1" applyProtection="1">
      <alignment horizontal="right"/>
    </xf>
    <xf numFmtId="38" fontId="58" fillId="24" borderId="49" xfId="0" applyNumberFormat="1" applyFont="1" applyFill="1" applyBorder="1" applyAlignment="1" applyProtection="1">
      <alignment horizontal="right"/>
    </xf>
    <xf numFmtId="38" fontId="58" fillId="24" borderId="34" xfId="0" applyNumberFormat="1" applyFont="1" applyFill="1" applyBorder="1" applyAlignment="1" applyProtection="1">
      <alignment horizontal="right"/>
    </xf>
    <xf numFmtId="38" fontId="58" fillId="24" borderId="31" xfId="0" applyNumberFormat="1" applyFont="1" applyFill="1" applyBorder="1" applyAlignment="1" applyProtection="1">
      <alignment horizontal="right"/>
    </xf>
    <xf numFmtId="3" fontId="57" fillId="24" borderId="13" xfId="0" applyNumberFormat="1" applyFont="1" applyFill="1" applyBorder="1" applyAlignment="1" applyProtection="1">
      <alignment horizontal="right" vertical="center"/>
    </xf>
    <xf numFmtId="3" fontId="57" fillId="24" borderId="21" xfId="0" applyNumberFormat="1" applyFont="1" applyFill="1" applyBorder="1" applyAlignment="1" applyProtection="1">
      <alignment horizontal="right" vertical="center"/>
    </xf>
    <xf numFmtId="3" fontId="57" fillId="24" borderId="14" xfId="0" applyNumberFormat="1" applyFont="1" applyFill="1" applyBorder="1" applyAlignment="1" applyProtection="1">
      <alignment horizontal="right" vertical="center"/>
    </xf>
    <xf numFmtId="0" fontId="67" fillId="18" borderId="14" xfId="0" applyFont="1" applyFill="1" applyBorder="1" applyAlignment="1" applyProtection="1">
      <alignment horizontal="left" vertical="center"/>
    </xf>
    <xf numFmtId="0" fontId="67" fillId="18" borderId="2" xfId="0" applyFont="1" applyFill="1" applyBorder="1" applyAlignment="1" applyProtection="1">
      <alignment horizontal="center" vertical="top"/>
    </xf>
    <xf numFmtId="0" fontId="67" fillId="18" borderId="2" xfId="0" applyFont="1" applyFill="1" applyBorder="1" applyAlignment="1" applyProtection="1">
      <alignment horizontal="center" vertical="center"/>
    </xf>
    <xf numFmtId="3" fontId="57" fillId="24" borderId="13" xfId="0" applyNumberFormat="1" applyFont="1" applyFill="1" applyBorder="1" applyAlignment="1" applyProtection="1">
      <alignment horizontal="center" vertical="center"/>
    </xf>
    <xf numFmtId="49" fontId="67" fillId="24" borderId="21" xfId="0" applyNumberFormat="1" applyFont="1" applyFill="1" applyBorder="1" applyAlignment="1" applyProtection="1">
      <alignment horizontal="center" vertical="center"/>
    </xf>
    <xf numFmtId="3" fontId="58" fillId="24" borderId="21" xfId="0" applyNumberFormat="1" applyFont="1" applyFill="1" applyBorder="1" applyAlignment="1" applyProtection="1">
      <alignment horizontal="center"/>
    </xf>
    <xf numFmtId="3" fontId="60" fillId="24" borderId="21" xfId="0" applyNumberFormat="1" applyFont="1" applyFill="1" applyBorder="1" applyAlignment="1" applyProtection="1">
      <alignment horizontal="center"/>
    </xf>
    <xf numFmtId="38" fontId="60" fillId="24" borderId="21" xfId="0" applyNumberFormat="1" applyFont="1" applyFill="1" applyBorder="1" applyAlignment="1" applyProtection="1">
      <alignment horizontal="center"/>
    </xf>
    <xf numFmtId="3" fontId="60" fillId="24" borderId="14" xfId="0" applyNumberFormat="1" applyFont="1" applyFill="1" applyBorder="1" applyAlignment="1" applyProtection="1">
      <alignment horizontal="center"/>
    </xf>
    <xf numFmtId="0" fontId="57" fillId="24" borderId="49" xfId="0" applyFont="1" applyFill="1" applyBorder="1" applyAlignment="1" applyProtection="1">
      <alignment horizontal="center" vertical="center" wrapText="1"/>
    </xf>
    <xf numFmtId="0" fontId="58" fillId="24" borderId="34" xfId="0" applyFont="1" applyFill="1" applyBorder="1" applyAlignment="1">
      <alignment horizontal="center" vertical="center" wrapText="1"/>
    </xf>
    <xf numFmtId="164" fontId="57" fillId="24" borderId="49" xfId="0" applyNumberFormat="1" applyFont="1" applyFill="1" applyBorder="1" applyAlignment="1" applyProtection="1">
      <alignment horizontal="center" vertical="center" wrapText="1"/>
    </xf>
    <xf numFmtId="0" fontId="60" fillId="24" borderId="31" xfId="0" applyFont="1" applyFill="1" applyBorder="1" applyAlignment="1">
      <alignment horizontal="center" vertical="center" wrapText="1"/>
    </xf>
    <xf numFmtId="164" fontId="57" fillId="24" borderId="49" xfId="0" applyNumberFormat="1" applyFont="1" applyFill="1" applyBorder="1" applyAlignment="1" applyProtection="1">
      <alignment horizontal="center" vertical="center"/>
    </xf>
    <xf numFmtId="3" fontId="67" fillId="18" borderId="20" xfId="0" applyNumberFormat="1" applyFont="1" applyFill="1" applyBorder="1" applyAlignment="1" applyProtection="1">
      <alignment horizontal="left" vertical="center"/>
    </xf>
    <xf numFmtId="0" fontId="67" fillId="18" borderId="2" xfId="0" applyFont="1" applyFill="1" applyBorder="1" applyAlignment="1">
      <alignment horizontal="center" vertical="center"/>
    </xf>
    <xf numFmtId="164" fontId="67" fillId="18" borderId="20" xfId="0" applyNumberFormat="1" applyFont="1" applyFill="1" applyBorder="1" applyAlignment="1" applyProtection="1">
      <alignment horizontal="left" vertical="center"/>
    </xf>
    <xf numFmtId="0" fontId="67" fillId="18" borderId="29" xfId="0" applyFont="1" applyFill="1" applyBorder="1" applyAlignment="1" applyProtection="1">
      <alignment horizontal="center" vertical="center"/>
    </xf>
    <xf numFmtId="0" fontId="67" fillId="18" borderId="128" xfId="0" applyFont="1" applyFill="1" applyBorder="1" applyAlignment="1" applyProtection="1">
      <alignment horizontal="center" vertical="center"/>
    </xf>
    <xf numFmtId="164" fontId="67" fillId="18" borderId="21" xfId="0" applyNumberFormat="1" applyFont="1" applyFill="1" applyBorder="1" applyAlignment="1" applyProtection="1">
      <alignment horizontal="left" vertical="center"/>
    </xf>
    <xf numFmtId="0" fontId="67" fillId="18" borderId="14" xfId="0" applyFont="1" applyFill="1" applyBorder="1" applyAlignment="1" applyProtection="1">
      <alignment horizontal="center" vertical="center"/>
    </xf>
    <xf numFmtId="0" fontId="67" fillId="18" borderId="31" xfId="0" applyFont="1" applyFill="1" applyBorder="1" applyAlignment="1" applyProtection="1">
      <alignment horizontal="center" vertical="center"/>
    </xf>
    <xf numFmtId="164" fontId="67" fillId="16" borderId="21" xfId="0" applyNumberFormat="1" applyFont="1" applyFill="1" applyBorder="1" applyAlignment="1" applyProtection="1">
      <alignment horizontal="left" vertical="center" indent="1"/>
    </xf>
    <xf numFmtId="0" fontId="65" fillId="16" borderId="14" xfId="0" applyFont="1" applyFill="1" applyBorder="1" applyAlignment="1" applyProtection="1">
      <alignment horizontal="center" vertical="center"/>
    </xf>
    <xf numFmtId="164" fontId="67" fillId="16" borderId="20" xfId="0" applyNumberFormat="1" applyFont="1" applyFill="1" applyBorder="1" applyAlignment="1" applyProtection="1">
      <alignment horizontal="left" vertical="center" indent="1"/>
    </xf>
    <xf numFmtId="1" fontId="65" fillId="16" borderId="11" xfId="0" applyNumberFormat="1" applyFont="1" applyFill="1" applyBorder="1" applyAlignment="1" applyProtection="1">
      <alignment horizontal="center" vertical="center"/>
    </xf>
    <xf numFmtId="1" fontId="65" fillId="16" borderId="4" xfId="0" applyNumberFormat="1" applyFont="1" applyFill="1" applyBorder="1" applyAlignment="1" applyProtection="1">
      <alignment horizontal="center" vertical="center"/>
    </xf>
    <xf numFmtId="0" fontId="67" fillId="16" borderId="21" xfId="0" applyFont="1" applyFill="1" applyBorder="1" applyAlignment="1">
      <alignment horizontal="left" vertical="center" indent="1"/>
    </xf>
    <xf numFmtId="0" fontId="65" fillId="16" borderId="14" xfId="0" applyFont="1" applyFill="1" applyBorder="1" applyAlignment="1">
      <alignment horizontal="left" vertical="center"/>
    </xf>
    <xf numFmtId="0" fontId="65" fillId="16" borderId="11" xfId="0" applyFont="1" applyFill="1" applyBorder="1" applyAlignment="1" applyProtection="1">
      <alignment horizontal="center" vertical="center"/>
    </xf>
    <xf numFmtId="3" fontId="67" fillId="18" borderId="126" xfId="0" applyNumberFormat="1" applyFont="1" applyFill="1" applyBorder="1" applyAlignment="1">
      <alignment horizontal="left" vertical="center" wrapText="1"/>
    </xf>
    <xf numFmtId="49" fontId="67" fillId="18" borderId="128" xfId="0" applyNumberFormat="1" applyFont="1" applyFill="1" applyBorder="1" applyAlignment="1">
      <alignment horizontal="center" vertical="center"/>
    </xf>
    <xf numFmtId="0" fontId="67" fillId="18" borderId="17" xfId="0" applyFont="1" applyFill="1" applyBorder="1" applyAlignment="1">
      <alignment horizontal="left" vertical="center" wrapText="1"/>
    </xf>
    <xf numFmtId="49" fontId="67" fillId="18" borderId="29" xfId="0" applyNumberFormat="1" applyFont="1" applyFill="1" applyBorder="1" applyAlignment="1">
      <alignment horizontal="center" vertical="center"/>
    </xf>
    <xf numFmtId="3" fontId="67" fillId="18" borderId="33" xfId="0" applyNumberFormat="1" applyFont="1" applyFill="1" applyBorder="1" applyAlignment="1">
      <alignment horizontal="left" vertical="center" wrapText="1"/>
    </xf>
    <xf numFmtId="49" fontId="67" fillId="18" borderId="33" xfId="0" applyNumberFormat="1" applyFont="1" applyFill="1" applyBorder="1" applyAlignment="1">
      <alignment horizontal="center" vertical="center"/>
    </xf>
    <xf numFmtId="164" fontId="67" fillId="18" borderId="126" xfId="0" applyNumberFormat="1" applyFont="1" applyFill="1" applyBorder="1" applyAlignment="1">
      <alignment horizontal="left" vertical="center" wrapText="1"/>
    </xf>
    <xf numFmtId="49" fontId="67" fillId="18" borderId="4" xfId="0" applyNumberFormat="1" applyFont="1" applyFill="1" applyBorder="1" applyAlignment="1">
      <alignment horizontal="center" vertical="center"/>
    </xf>
    <xf numFmtId="3" fontId="67" fillId="18" borderId="13" xfId="0" applyNumberFormat="1" applyFont="1" applyFill="1" applyBorder="1" applyAlignment="1">
      <alignment horizontal="left" vertical="center" wrapText="1"/>
    </xf>
    <xf numFmtId="49" fontId="67" fillId="18" borderId="2" xfId="0" applyNumberFormat="1" applyFont="1" applyFill="1" applyBorder="1" applyAlignment="1">
      <alignment horizontal="center" vertical="center"/>
    </xf>
    <xf numFmtId="164" fontId="67" fillId="18" borderId="17" xfId="0" applyNumberFormat="1" applyFont="1" applyFill="1" applyBorder="1" applyAlignment="1">
      <alignment horizontal="left" vertical="center" wrapText="1"/>
    </xf>
    <xf numFmtId="0" fontId="67" fillId="18" borderId="36" xfId="0" applyFont="1" applyFill="1" applyBorder="1" applyAlignment="1">
      <alignment horizontal="left" vertical="center" wrapText="1"/>
    </xf>
    <xf numFmtId="49" fontId="67" fillId="18" borderId="27" xfId="0" applyNumberFormat="1" applyFont="1" applyFill="1" applyBorder="1" applyAlignment="1">
      <alignment horizontal="center" vertical="center"/>
    </xf>
    <xf numFmtId="3" fontId="67" fillId="18" borderId="37" xfId="0" applyNumberFormat="1" applyFont="1" applyFill="1" applyBorder="1" applyAlignment="1">
      <alignment horizontal="left" vertical="center" wrapText="1"/>
    </xf>
    <xf numFmtId="0" fontId="67" fillId="18" borderId="13" xfId="0" applyFont="1" applyFill="1" applyBorder="1" applyAlignment="1">
      <alignment horizontal="left" vertical="center" wrapText="1"/>
    </xf>
    <xf numFmtId="49" fontId="67" fillId="18" borderId="14" xfId="0" applyNumberFormat="1" applyFont="1" applyFill="1" applyBorder="1" applyAlignment="1">
      <alignment horizontal="center" vertical="center"/>
    </xf>
    <xf numFmtId="0" fontId="67" fillId="18" borderId="37" xfId="0" applyFont="1" applyFill="1" applyBorder="1" applyAlignment="1">
      <alignment horizontal="left" vertical="center" wrapText="1"/>
    </xf>
    <xf numFmtId="164" fontId="67" fillId="18" borderId="13" xfId="0" applyNumberFormat="1" applyFont="1" applyFill="1" applyBorder="1" applyAlignment="1">
      <alignment horizontal="left" vertical="center" wrapText="1"/>
    </xf>
    <xf numFmtId="0" fontId="67" fillId="18" borderId="128" xfId="0" applyFont="1" applyFill="1" applyBorder="1" applyAlignment="1">
      <alignment horizontal="left" vertical="center" wrapText="1"/>
    </xf>
    <xf numFmtId="3" fontId="67" fillId="18" borderId="128" xfId="0" applyNumberFormat="1" applyFont="1" applyFill="1" applyBorder="1" applyAlignment="1">
      <alignment horizontal="left" vertical="center" wrapText="1"/>
    </xf>
    <xf numFmtId="38" fontId="58" fillId="25" borderId="19" xfId="0" applyNumberFormat="1" applyFont="1" applyFill="1" applyBorder="1" applyAlignment="1">
      <alignment horizontal="right"/>
    </xf>
    <xf numFmtId="38" fontId="58" fillId="25" borderId="20" xfId="0" applyNumberFormat="1" applyFont="1" applyFill="1" applyBorder="1" applyAlignment="1">
      <alignment horizontal="right"/>
    </xf>
    <xf numFmtId="38" fontId="58" fillId="25" borderId="11" xfId="0" applyNumberFormat="1" applyFont="1" applyFill="1" applyBorder="1" applyAlignment="1">
      <alignment horizontal="right"/>
    </xf>
    <xf numFmtId="0" fontId="67" fillId="18" borderId="50" xfId="0" applyFont="1" applyFill="1" applyBorder="1" applyAlignment="1" applyProtection="1">
      <alignment horizontal="left" vertical="center"/>
    </xf>
    <xf numFmtId="0" fontId="67" fillId="18" borderId="22" xfId="0" applyFont="1" applyFill="1" applyBorder="1" applyAlignment="1" applyProtection="1">
      <alignment horizontal="center" vertical="center"/>
    </xf>
    <xf numFmtId="0" fontId="67" fillId="18" borderId="46" xfId="0" applyFont="1" applyFill="1" applyBorder="1" applyAlignment="1" applyProtection="1">
      <alignment horizontal="left" vertical="center"/>
    </xf>
    <xf numFmtId="0" fontId="67" fillId="18" borderId="46" xfId="0" applyFont="1" applyFill="1" applyBorder="1" applyAlignment="1" applyProtection="1">
      <alignment horizontal="left" vertical="center" wrapText="1"/>
    </xf>
    <xf numFmtId="0" fontId="67" fillId="18" borderId="46" xfId="0" applyFont="1" applyFill="1" applyBorder="1" applyAlignment="1" applyProtection="1">
      <alignment horizontal="left" vertical="center" indent="1"/>
    </xf>
    <xf numFmtId="0" fontId="68" fillId="24" borderId="13" xfId="0" applyFont="1" applyFill="1" applyBorder="1" applyAlignment="1">
      <alignment horizontal="left" vertical="center"/>
    </xf>
    <xf numFmtId="0" fontId="68" fillId="24" borderId="21" xfId="0" applyFont="1" applyFill="1" applyBorder="1" applyAlignment="1">
      <alignment horizontal="left" vertical="center"/>
    </xf>
    <xf numFmtId="0" fontId="68" fillId="24" borderId="14" xfId="0" applyFont="1" applyFill="1" applyBorder="1" applyAlignment="1">
      <alignment horizontal="left" vertical="center"/>
    </xf>
    <xf numFmtId="0" fontId="57" fillId="16" borderId="12" xfId="0" applyFont="1" applyFill="1" applyBorder="1" applyAlignment="1" applyProtection="1">
      <alignment vertical="center"/>
    </xf>
    <xf numFmtId="0" fontId="67" fillId="0" borderId="160" xfId="0" applyFont="1" applyBorder="1" applyAlignment="1">
      <alignment horizontal="centerContinuous" vertical="center"/>
    </xf>
    <xf numFmtId="0" fontId="58" fillId="0" borderId="161" xfId="0" applyFont="1" applyBorder="1" applyAlignment="1">
      <alignment horizontal="centerContinuous" vertical="center"/>
    </xf>
    <xf numFmtId="0" fontId="60" fillId="0" borderId="161" xfId="0" applyFont="1" applyBorder="1" applyAlignment="1">
      <alignment horizontal="centerContinuous" vertical="center"/>
    </xf>
    <xf numFmtId="0" fontId="67" fillId="0" borderId="105" xfId="0" applyFont="1" applyBorder="1" applyAlignment="1">
      <alignment horizontal="center"/>
    </xf>
    <xf numFmtId="0" fontId="60" fillId="24" borderId="16" xfId="3" applyFont="1" applyFill="1" applyBorder="1" applyAlignment="1">
      <alignment horizontal="left" vertical="center"/>
    </xf>
    <xf numFmtId="0" fontId="60" fillId="24" borderId="10" xfId="3" applyFont="1" applyFill="1" applyBorder="1" applyAlignment="1">
      <alignment horizontal="left" vertical="center"/>
    </xf>
    <xf numFmtId="0" fontId="60" fillId="24" borderId="19" xfId="3" applyNumberFormat="1" applyFont="1" applyFill="1" applyBorder="1" applyAlignment="1">
      <alignment vertical="center"/>
    </xf>
    <xf numFmtId="0" fontId="60" fillId="24" borderId="20" xfId="3" applyNumberFormat="1" applyFont="1" applyFill="1" applyBorder="1" applyAlignment="1">
      <alignment vertical="center"/>
    </xf>
    <xf numFmtId="0" fontId="60" fillId="24" borderId="11" xfId="3" applyNumberFormat="1" applyFont="1" applyFill="1" applyBorder="1" applyAlignment="1">
      <alignment vertical="center"/>
    </xf>
    <xf numFmtId="0" fontId="9" fillId="0" borderId="0" xfId="17" quotePrefix="1" applyNumberFormat="1" applyFont="1"/>
    <xf numFmtId="0" fontId="130" fillId="21" borderId="158" xfId="17" applyFont="1" applyFill="1" applyBorder="1" applyAlignment="1" applyProtection="1">
      <alignment horizontal="left" vertical="top" wrapText="1"/>
    </xf>
    <xf numFmtId="49" fontId="130" fillId="21" borderId="158" xfId="17" applyNumberFormat="1" applyFont="1" applyFill="1" applyBorder="1" applyAlignment="1" applyProtection="1">
      <alignment horizontal="center" vertical="top"/>
    </xf>
    <xf numFmtId="0" fontId="130" fillId="21" borderId="158" xfId="17" applyFont="1" applyFill="1" applyBorder="1" applyAlignment="1" applyProtection="1">
      <alignment vertical="top"/>
    </xf>
    <xf numFmtId="38" fontId="130" fillId="21" borderId="158" xfId="17" applyNumberFormat="1" applyFont="1" applyFill="1" applyBorder="1" applyAlignment="1" applyProtection="1">
      <alignment horizontal="right" vertical="top"/>
    </xf>
    <xf numFmtId="38" fontId="130" fillId="21" borderId="158" xfId="17" applyNumberFormat="1" applyFont="1" applyFill="1" applyBorder="1" applyAlignment="1" applyProtection="1">
      <alignment vertical="top"/>
    </xf>
    <xf numFmtId="0" fontId="10" fillId="0" borderId="158" xfId="17" applyBorder="1" applyAlignment="1" applyProtection="1">
      <alignment horizontal="left" vertical="top" wrapText="1"/>
      <protection locked="0"/>
    </xf>
    <xf numFmtId="0" fontId="10" fillId="0" borderId="158" xfId="17" applyBorder="1" applyAlignment="1" applyProtection="1">
      <alignment vertical="top"/>
      <protection locked="0"/>
    </xf>
    <xf numFmtId="0" fontId="9" fillId="0" borderId="158" xfId="17" applyFont="1" applyBorder="1" applyAlignment="1" applyProtection="1">
      <alignment horizontal="left" vertical="top" wrapText="1"/>
      <protection locked="0"/>
    </xf>
    <xf numFmtId="0" fontId="9" fillId="0" borderId="158"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8" xfId="17" applyNumberFormat="1" applyBorder="1" applyAlignment="1" applyProtection="1">
      <alignment horizontal="center" vertical="center"/>
      <protection locked="0"/>
    </xf>
    <xf numFmtId="49" fontId="8" fillId="0" borderId="158" xfId="17" applyNumberFormat="1" applyFont="1" applyBorder="1" applyAlignment="1" applyProtection="1">
      <alignment horizontal="center" vertical="center"/>
      <protection locked="0"/>
    </xf>
    <xf numFmtId="3" fontId="67" fillId="17" borderId="36" xfId="0" applyNumberFormat="1" applyFont="1" applyFill="1" applyBorder="1" applyAlignment="1">
      <alignment horizontal="left" vertical="center" wrapText="1" indent="1"/>
    </xf>
    <xf numFmtId="49" fontId="67" fillId="17" borderId="27" xfId="0" applyNumberFormat="1" applyFont="1" applyFill="1" applyBorder="1" applyAlignment="1">
      <alignment horizontal="center" vertical="center"/>
    </xf>
    <xf numFmtId="38" fontId="58" fillId="17" borderId="27" xfId="0" applyNumberFormat="1" applyFont="1" applyFill="1" applyBorder="1" applyAlignment="1">
      <alignment horizontal="right"/>
    </xf>
    <xf numFmtId="38" fontId="58" fillId="17" borderId="2" xfId="0" applyNumberFormat="1" applyFont="1" applyFill="1" applyBorder="1" applyAlignment="1">
      <alignment horizontal="right"/>
    </xf>
    <xf numFmtId="38" fontId="58" fillId="17" borderId="4" xfId="0" applyNumberFormat="1" applyFont="1" applyFill="1" applyBorder="1" applyAlignment="1">
      <alignment horizontal="right"/>
    </xf>
    <xf numFmtId="49" fontId="67" fillId="17" borderId="36" xfId="0" applyNumberFormat="1" applyFont="1" applyFill="1" applyBorder="1" applyAlignment="1">
      <alignment horizontal="center" vertical="center"/>
    </xf>
    <xf numFmtId="38" fontId="58" fillId="17" borderId="30" xfId="0" applyNumberFormat="1" applyFont="1" applyFill="1" applyBorder="1" applyAlignment="1">
      <alignment horizontal="right"/>
    </xf>
    <xf numFmtId="49" fontId="67" fillId="17" borderId="30" xfId="0" applyNumberFormat="1" applyFont="1" applyFill="1" applyBorder="1" applyAlignment="1">
      <alignment horizontal="center" vertical="center"/>
    </xf>
    <xf numFmtId="0" fontId="67" fillId="17" borderId="32" xfId="0" applyNumberFormat="1" applyFont="1" applyFill="1" applyBorder="1" applyAlignment="1">
      <alignment horizontal="center" vertical="center"/>
    </xf>
    <xf numFmtId="38" fontId="58" fillId="17" borderId="32" xfId="0" applyNumberFormat="1" applyFont="1" applyFill="1" applyBorder="1" applyAlignment="1">
      <alignment horizontal="right"/>
    </xf>
    <xf numFmtId="0" fontId="67" fillId="17" borderId="27" xfId="0" applyFont="1" applyFill="1" applyBorder="1" applyAlignment="1">
      <alignment horizontal="center" vertical="center"/>
    </xf>
    <xf numFmtId="38" fontId="58" fillId="17" borderId="33" xfId="0" applyNumberFormat="1" applyFont="1" applyFill="1" applyBorder="1" applyAlignment="1">
      <alignment horizontal="right"/>
    </xf>
    <xf numFmtId="3" fontId="67" fillId="17" borderId="27" xfId="0" applyNumberFormat="1" applyFont="1" applyFill="1" applyBorder="1" applyAlignment="1">
      <alignment horizontal="left" vertical="center" indent="1"/>
    </xf>
    <xf numFmtId="0" fontId="67" fillId="17" borderId="27" xfId="0" applyFont="1" applyFill="1" applyBorder="1" applyAlignment="1">
      <alignment horizontal="center" vertical="top"/>
    </xf>
    <xf numFmtId="0" fontId="60" fillId="17" borderId="30" xfId="0" applyFont="1" applyFill="1" applyBorder="1" applyAlignment="1">
      <alignment horizontal="left" vertical="center" indent="1"/>
    </xf>
    <xf numFmtId="38" fontId="58" fillId="17" borderId="26" xfId="0" applyNumberFormat="1" applyFont="1" applyFill="1" applyBorder="1" applyAlignment="1">
      <alignment horizontal="right"/>
    </xf>
    <xf numFmtId="38" fontId="58" fillId="17" borderId="28" xfId="0" applyNumberFormat="1" applyFont="1" applyFill="1" applyBorder="1" applyAlignment="1">
      <alignment horizontal="right"/>
    </xf>
    <xf numFmtId="38" fontId="58" fillId="17" borderId="29" xfId="0" applyNumberFormat="1" applyFont="1" applyFill="1" applyBorder="1" applyAlignment="1">
      <alignment horizontal="right"/>
    </xf>
    <xf numFmtId="3" fontId="67" fillId="17" borderId="55" xfId="0" applyNumberFormat="1" applyFont="1" applyFill="1" applyBorder="1" applyAlignment="1">
      <alignment horizontal="left" vertical="center" wrapText="1" indent="1"/>
    </xf>
    <xf numFmtId="49" fontId="67" fillId="17" borderId="32" xfId="0" applyNumberFormat="1" applyFont="1" applyFill="1" applyBorder="1" applyAlignment="1">
      <alignment horizontal="center" vertical="center"/>
    </xf>
    <xf numFmtId="38" fontId="58" fillId="17" borderId="27" xfId="0" applyNumberFormat="1" applyFont="1" applyFill="1" applyBorder="1" applyAlignment="1" applyProtection="1">
      <alignment horizontal="right"/>
    </xf>
    <xf numFmtId="3" fontId="67" fillId="17" borderId="55" xfId="0" applyNumberFormat="1" applyFont="1" applyFill="1" applyBorder="1" applyAlignment="1">
      <alignment horizontal="left" vertical="top" wrapText="1" indent="1"/>
    </xf>
    <xf numFmtId="49" fontId="65" fillId="17" borderId="51" xfId="0" applyNumberFormat="1" applyFont="1" applyFill="1" applyBorder="1" applyAlignment="1">
      <alignment horizontal="center" vertical="top"/>
    </xf>
    <xf numFmtId="3" fontId="67" fillId="17" borderId="27" xfId="0" applyNumberFormat="1" applyFont="1" applyFill="1" applyBorder="1" applyAlignment="1">
      <alignment horizontal="left" vertical="center" wrapText="1" indent="1"/>
    </xf>
    <xf numFmtId="3" fontId="67" fillId="17" borderId="36" xfId="0" applyNumberFormat="1" applyFont="1" applyFill="1" applyBorder="1" applyAlignment="1">
      <alignment horizontal="left" vertical="top" wrapText="1" indent="1"/>
    </xf>
    <xf numFmtId="0" fontId="65" fillId="17" borderId="30" xfId="0" applyFont="1" applyFill="1" applyBorder="1" applyAlignment="1">
      <alignment vertical="top"/>
    </xf>
    <xf numFmtId="3" fontId="67" fillId="17" borderId="36" xfId="0" applyNumberFormat="1" applyFont="1" applyFill="1" applyBorder="1" applyAlignment="1">
      <alignment horizontal="left" vertical="center" indent="1"/>
    </xf>
    <xf numFmtId="0" fontId="67" fillId="17" borderId="30" xfId="0" applyFont="1" applyFill="1" applyBorder="1" applyAlignment="1">
      <alignment horizontal="center" vertical="center"/>
    </xf>
    <xf numFmtId="0" fontId="67" fillId="17" borderId="27" xfId="0" applyFont="1" applyFill="1" applyBorder="1" applyAlignment="1">
      <alignment horizontal="center" vertical="center" wrapText="1"/>
    </xf>
    <xf numFmtId="49" fontId="67" fillId="17" borderId="27" xfId="0" applyNumberFormat="1" applyFont="1" applyFill="1" applyBorder="1" applyAlignment="1">
      <alignment horizontal="center" vertical="top" wrapText="1"/>
    </xf>
    <xf numFmtId="3" fontId="67" fillId="17" borderId="36" xfId="0" applyNumberFormat="1" applyFont="1" applyFill="1" applyBorder="1" applyAlignment="1">
      <alignment horizontal="left" vertical="top" indent="1"/>
    </xf>
    <xf numFmtId="38" fontId="58" fillId="17" borderId="3" xfId="0" applyNumberFormat="1" applyFont="1" applyFill="1" applyBorder="1" applyAlignment="1">
      <alignment horizontal="right"/>
    </xf>
    <xf numFmtId="0" fontId="67" fillId="17" borderId="36" xfId="0" applyFont="1" applyFill="1" applyBorder="1" applyAlignment="1">
      <alignment horizontal="left" vertical="center" wrapText="1" indent="1"/>
    </xf>
    <xf numFmtId="49" fontId="65" fillId="17" borderId="51" xfId="0" applyNumberFormat="1" applyFont="1" applyFill="1" applyBorder="1" applyAlignment="1">
      <alignment horizontal="center" vertical="center"/>
    </xf>
    <xf numFmtId="38" fontId="58" fillId="17" borderId="33" xfId="0" applyNumberFormat="1" applyFont="1" applyFill="1" applyBorder="1" applyAlignment="1" applyProtection="1">
      <alignment horizontal="right"/>
    </xf>
    <xf numFmtId="38" fontId="58" fillId="17" borderId="32" xfId="0" applyNumberFormat="1" applyFont="1" applyFill="1" applyBorder="1" applyAlignment="1" applyProtection="1">
      <alignment horizontal="right"/>
    </xf>
    <xf numFmtId="0" fontId="65" fillId="17" borderId="30" xfId="0" applyFont="1" applyFill="1" applyBorder="1" applyAlignment="1">
      <alignment horizontal="left" vertical="top" wrapText="1" indent="1"/>
    </xf>
    <xf numFmtId="0" fontId="67" fillId="17" borderId="35" xfId="0" applyFont="1" applyFill="1" applyBorder="1" applyAlignment="1" applyProtection="1">
      <alignment horizontal="left" vertical="center" wrapText="1" indent="1"/>
    </xf>
    <xf numFmtId="0" fontId="65" fillId="17" borderId="30" xfId="0" applyFont="1" applyFill="1" applyBorder="1" applyAlignment="1" applyProtection="1">
      <alignment horizontal="left" vertical="center"/>
    </xf>
    <xf numFmtId="38" fontId="58" fillId="17" borderId="36" xfId="0" applyNumberFormat="1" applyFont="1" applyFill="1" applyBorder="1" applyAlignment="1" applyProtection="1">
      <alignment horizontal="right"/>
    </xf>
    <xf numFmtId="0" fontId="67" fillId="17" borderId="35" xfId="0" applyFont="1" applyFill="1" applyBorder="1" applyAlignment="1" applyProtection="1">
      <alignment horizontal="left" vertical="center" indent="1"/>
    </xf>
    <xf numFmtId="0" fontId="65" fillId="17" borderId="30" xfId="0" applyFont="1" applyFill="1" applyBorder="1" applyAlignment="1" applyProtection="1">
      <alignment horizontal="center" vertical="center"/>
    </xf>
    <xf numFmtId="37" fontId="58" fillId="17" borderId="36" xfId="0" applyNumberFormat="1" applyFont="1" applyFill="1" applyBorder="1" applyAlignment="1" applyProtection="1">
      <alignment horizontal="right"/>
    </xf>
    <xf numFmtId="37" fontId="58" fillId="17" borderId="27" xfId="0" applyNumberFormat="1" applyFont="1" applyFill="1" applyBorder="1" applyAlignment="1" applyProtection="1">
      <alignment horizontal="right"/>
    </xf>
    <xf numFmtId="0" fontId="65" fillId="17" borderId="30" xfId="0" applyFont="1" applyFill="1" applyBorder="1" applyAlignment="1" applyProtection="1">
      <alignment horizontal="left" vertical="center" indent="2"/>
    </xf>
    <xf numFmtId="0" fontId="67" fillId="17" borderId="52" xfId="0" applyFont="1" applyFill="1" applyBorder="1" applyAlignment="1" applyProtection="1">
      <alignment horizontal="left" vertical="top" wrapText="1" indent="1"/>
    </xf>
    <xf numFmtId="49" fontId="67" fillId="17" borderId="33" xfId="0" applyNumberFormat="1" applyFont="1" applyFill="1" applyBorder="1" applyAlignment="1">
      <alignment horizontal="center" vertical="center"/>
    </xf>
    <xf numFmtId="38" fontId="58" fillId="17" borderId="37" xfId="0" applyNumberFormat="1" applyFont="1" applyFill="1" applyBorder="1" applyAlignment="1" applyProtection="1">
      <alignment horizontal="right"/>
    </xf>
    <xf numFmtId="49" fontId="67" fillId="17" borderId="35" xfId="0" applyNumberFormat="1" applyFont="1" applyFill="1" applyBorder="1" applyAlignment="1" applyProtection="1">
      <alignment horizontal="left" vertical="top" indent="1"/>
    </xf>
    <xf numFmtId="49" fontId="67" fillId="17" borderId="27" xfId="0" applyNumberFormat="1" applyFont="1" applyFill="1" applyBorder="1" applyAlignment="1">
      <alignment horizontal="center" vertical="top"/>
    </xf>
    <xf numFmtId="38" fontId="58" fillId="17" borderId="12" xfId="0" applyNumberFormat="1" applyFont="1" applyFill="1" applyBorder="1" applyAlignment="1" applyProtection="1">
      <alignment horizontal="right"/>
    </xf>
    <xf numFmtId="49" fontId="65" fillId="17" borderId="30" xfId="0" applyNumberFormat="1" applyFont="1" applyFill="1" applyBorder="1" applyAlignment="1" applyProtection="1">
      <alignment horizontal="center" vertical="center"/>
    </xf>
    <xf numFmtId="1" fontId="65" fillId="17" borderId="30" xfId="0" applyNumberFormat="1" applyFont="1" applyFill="1" applyBorder="1" applyAlignment="1" applyProtection="1">
      <alignment horizontal="center" vertical="center"/>
    </xf>
    <xf numFmtId="38" fontId="58" fillId="17" borderId="3" xfId="0" applyNumberFormat="1" applyFont="1" applyFill="1" applyBorder="1" applyAlignment="1" applyProtection="1">
      <alignment horizontal="right"/>
    </xf>
    <xf numFmtId="38" fontId="58" fillId="17" borderId="55" xfId="0" applyNumberFormat="1" applyFont="1" applyFill="1" applyBorder="1" applyAlignment="1" applyProtection="1">
      <alignment horizontal="right"/>
    </xf>
    <xf numFmtId="0" fontId="67" fillId="17" borderId="35" xfId="0" applyFont="1" applyFill="1" applyBorder="1" applyAlignment="1" applyProtection="1">
      <alignment horizontal="left" indent="1"/>
    </xf>
    <xf numFmtId="0" fontId="65" fillId="17" borderId="30" xfId="0" applyFont="1" applyFill="1" applyBorder="1" applyAlignment="1" applyProtection="1">
      <alignment horizontal="center"/>
    </xf>
    <xf numFmtId="0" fontId="67" fillId="17" borderId="36" xfId="0" applyFont="1" applyFill="1" applyBorder="1" applyAlignment="1" applyProtection="1">
      <alignment horizontal="left" vertical="center" indent="1"/>
    </xf>
    <xf numFmtId="0" fontId="65" fillId="17" borderId="27" xfId="0" applyFont="1" applyFill="1" applyBorder="1" applyAlignment="1" applyProtection="1">
      <alignment horizontal="center" vertical="center"/>
    </xf>
    <xf numFmtId="0" fontId="67" fillId="17" borderId="30" xfId="0" applyFont="1" applyFill="1" applyBorder="1" applyAlignment="1">
      <alignment vertical="center"/>
    </xf>
    <xf numFmtId="49" fontId="67" fillId="17" borderId="33" xfId="0" applyNumberFormat="1" applyFont="1" applyFill="1" applyBorder="1" applyAlignment="1" applyProtection="1">
      <alignment horizontal="left" vertical="center" wrapText="1" indent="1"/>
    </xf>
    <xf numFmtId="49" fontId="67" fillId="17" borderId="53" xfId="0" applyNumberFormat="1" applyFont="1" applyFill="1" applyBorder="1" applyAlignment="1">
      <alignment horizontal="center" vertical="center"/>
    </xf>
    <xf numFmtId="0" fontId="67" fillId="17" borderId="52" xfId="0" applyFont="1" applyFill="1" applyBorder="1" applyAlignment="1" applyProtection="1">
      <alignment horizontal="left" wrapText="1" indent="1"/>
    </xf>
    <xf numFmtId="0" fontId="65" fillId="17" borderId="53" xfId="0" applyFont="1" applyFill="1" applyBorder="1" applyAlignment="1" applyProtection="1">
      <alignment horizontal="left" indent="2"/>
    </xf>
    <xf numFmtId="176" fontId="60" fillId="17" borderId="2" xfId="0" applyNumberFormat="1" applyFont="1" applyFill="1" applyBorder="1" applyAlignment="1" applyProtection="1">
      <alignment vertical="center"/>
    </xf>
    <xf numFmtId="38" fontId="60" fillId="17" borderId="2" xfId="0" applyNumberFormat="1" applyFont="1" applyFill="1" applyBorder="1" applyAlignment="1" applyProtection="1">
      <alignment horizontal="right" vertical="center"/>
    </xf>
    <xf numFmtId="38" fontId="60" fillId="17" borderId="2" xfId="0" applyNumberFormat="1" applyFont="1" applyFill="1" applyBorder="1" applyAlignment="1" applyProtection="1">
      <alignment vertical="center"/>
    </xf>
    <xf numFmtId="37" fontId="60" fillId="17" borderId="13" xfId="5" applyNumberFormat="1" applyFont="1" applyFill="1" applyBorder="1" applyAlignment="1" applyProtection="1">
      <alignment horizontal="right"/>
    </xf>
    <xf numFmtId="0" fontId="67" fillId="17" borderId="35" xfId="0" applyFont="1" applyFill="1" applyBorder="1" applyAlignment="1" applyProtection="1">
      <alignment horizontal="left" vertical="center" indent="2"/>
    </xf>
    <xf numFmtId="38" fontId="58" fillId="17" borderId="30" xfId="0" applyNumberFormat="1" applyFont="1" applyFill="1" applyBorder="1" applyAlignment="1" applyProtection="1">
      <alignment horizontal="right"/>
    </xf>
    <xf numFmtId="0" fontId="67" fillId="17" borderId="20" xfId="0" applyFont="1" applyFill="1" applyBorder="1" applyAlignment="1" applyProtection="1">
      <alignment horizontal="left" vertical="center" indent="2"/>
    </xf>
    <xf numFmtId="0" fontId="67" fillId="17" borderId="14" xfId="0" applyFont="1" applyFill="1" applyBorder="1" applyAlignment="1" applyProtection="1">
      <alignment horizontal="center" vertical="center"/>
    </xf>
    <xf numFmtId="38" fontId="58" fillId="17" borderId="26" xfId="0" applyNumberFormat="1" applyFont="1" applyFill="1" applyBorder="1" applyAlignment="1" applyProtection="1">
      <alignment horizontal="right"/>
    </xf>
    <xf numFmtId="0" fontId="67" fillId="17" borderId="30" xfId="0" applyFont="1" applyFill="1" applyBorder="1" applyAlignment="1" applyProtection="1">
      <alignment horizontal="center" vertical="center"/>
    </xf>
    <xf numFmtId="38" fontId="58" fillId="17" borderId="4" xfId="0" applyNumberFormat="1" applyFont="1" applyFill="1" applyBorder="1" applyAlignment="1" applyProtection="1">
      <alignment horizontal="right"/>
    </xf>
    <xf numFmtId="38" fontId="58" fillId="17" borderId="2" xfId="0" applyNumberFormat="1" applyFont="1" applyFill="1" applyBorder="1" applyAlignment="1" applyProtection="1">
      <alignment horizontal="right"/>
    </xf>
    <xf numFmtId="0" fontId="76" fillId="17" borderId="20" xfId="0" applyFont="1" applyFill="1" applyBorder="1" applyAlignment="1" applyProtection="1">
      <alignment horizontal="left" vertical="center" indent="1"/>
    </xf>
    <xf numFmtId="0" fontId="65" fillId="17" borderId="4" xfId="0" applyFont="1" applyFill="1" applyBorder="1" applyAlignment="1" applyProtection="1">
      <alignment horizontal="center"/>
    </xf>
    <xf numFmtId="38" fontId="58" fillId="17" borderId="28" xfId="0" applyNumberFormat="1" applyFont="1" applyFill="1" applyBorder="1" applyAlignment="1" applyProtection="1">
      <alignment horizontal="right"/>
    </xf>
    <xf numFmtId="38" fontId="58" fillId="17" borderId="18" xfId="0" applyNumberFormat="1" applyFont="1" applyFill="1" applyBorder="1" applyAlignment="1" applyProtection="1">
      <alignment horizontal="right"/>
    </xf>
    <xf numFmtId="38" fontId="58" fillId="17" borderId="0" xfId="0" applyNumberFormat="1" applyFont="1" applyFill="1" applyAlignment="1" applyProtection="1">
      <alignment horizontal="right"/>
    </xf>
    <xf numFmtId="38" fontId="58" fillId="17" borderId="128" xfId="0" applyNumberFormat="1" applyFont="1" applyFill="1" applyBorder="1" applyAlignment="1" applyProtection="1">
      <alignment horizontal="right" vertical="center"/>
      <protection locked="0"/>
    </xf>
    <xf numFmtId="38" fontId="58" fillId="17" borderId="2" xfId="0" applyNumberFormat="1" applyFont="1" applyFill="1" applyBorder="1" applyAlignment="1" applyProtection="1">
      <alignment horizontal="right" vertical="center"/>
      <protection locked="0"/>
    </xf>
    <xf numFmtId="38" fontId="58" fillId="17" borderId="27" xfId="0" applyNumberFormat="1" applyFont="1" applyFill="1" applyBorder="1" applyAlignment="1" applyProtection="1">
      <alignment horizontal="right" vertical="center"/>
      <protection locked="0"/>
    </xf>
    <xf numFmtId="38" fontId="58" fillId="17" borderId="128"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horizontal="right" vertical="center"/>
    </xf>
    <xf numFmtId="0" fontId="67" fillId="17" borderId="27" xfId="0" applyFont="1" applyFill="1" applyBorder="1" applyAlignment="1">
      <alignment horizontal="left" vertical="center" wrapText="1" indent="1"/>
    </xf>
    <xf numFmtId="38" fontId="58" fillId="17" borderId="27" xfId="0" applyNumberFormat="1" applyFont="1" applyFill="1" applyBorder="1" applyAlignment="1" applyProtection="1">
      <alignment horizontal="right" vertical="center"/>
    </xf>
    <xf numFmtId="38" fontId="58" fillId="17" borderId="2" xfId="9" applyNumberFormat="1" applyFont="1" applyFill="1" applyBorder="1" applyAlignment="1" applyProtection="1">
      <alignment horizontal="right"/>
    </xf>
    <xf numFmtId="49" fontId="65" fillId="17" borderId="41" xfId="0" applyNumberFormat="1" applyFont="1" applyFill="1" applyBorder="1" applyAlignment="1" applyProtection="1">
      <alignment horizontal="center" vertical="center"/>
    </xf>
    <xf numFmtId="38" fontId="58" fillId="17" borderId="41" xfId="0" applyNumberFormat="1" applyFont="1" applyFill="1" applyBorder="1" applyAlignment="1" applyProtection="1">
      <alignment vertical="center"/>
    </xf>
    <xf numFmtId="49" fontId="65" fillId="17" borderId="7" xfId="0" applyNumberFormat="1" applyFont="1" applyFill="1" applyBorder="1" applyAlignment="1" applyProtection="1">
      <alignment horizontal="center" vertical="center"/>
    </xf>
    <xf numFmtId="38" fontId="58" fillId="17" borderId="41" xfId="0" applyNumberFormat="1" applyFont="1" applyFill="1" applyBorder="1" applyAlignment="1" applyProtection="1">
      <alignment horizontal="right" vertical="center"/>
    </xf>
    <xf numFmtId="49" fontId="65" fillId="17" borderId="7" xfId="0" applyNumberFormat="1" applyFont="1" applyFill="1" applyBorder="1" applyAlignment="1" applyProtection="1">
      <alignment horizontal="left" vertical="center" indent="2"/>
    </xf>
    <xf numFmtId="0" fontId="60" fillId="17" borderId="7" xfId="0" applyFont="1" applyFill="1" applyBorder="1" applyAlignment="1">
      <alignment horizontal="left" indent="2"/>
    </xf>
    <xf numFmtId="38" fontId="58" fillId="17" borderId="60" xfId="0" applyNumberFormat="1" applyFont="1" applyFill="1" applyBorder="1" applyAlignment="1" applyProtection="1"/>
    <xf numFmtId="38" fontId="58" fillId="17" borderId="41" xfId="0" applyNumberFormat="1" applyFont="1" applyFill="1" applyBorder="1" applyAlignment="1" applyProtection="1">
      <alignment horizontal="right"/>
    </xf>
    <xf numFmtId="0" fontId="67" fillId="17" borderId="54" xfId="0" applyFont="1" applyFill="1" applyBorder="1" applyAlignment="1" applyProtection="1">
      <alignment horizontal="left" vertical="center" indent="2"/>
    </xf>
    <xf numFmtId="0" fontId="67" fillId="17" borderId="41" xfId="0" applyFont="1" applyFill="1" applyBorder="1" applyAlignment="1" applyProtection="1">
      <alignment horizontal="center" vertical="center"/>
    </xf>
    <xf numFmtId="0" fontId="67" fillId="17" borderId="41" xfId="0" applyFont="1" applyFill="1" applyBorder="1" applyAlignment="1" applyProtection="1">
      <alignment horizontal="left" vertical="center" indent="1"/>
    </xf>
    <xf numFmtId="0" fontId="60" fillId="17" borderId="41" xfId="0" applyFont="1" applyFill="1" applyBorder="1" applyAlignment="1" applyProtection="1">
      <alignment vertical="center"/>
    </xf>
    <xf numFmtId="38" fontId="58" fillId="17" borderId="22" xfId="0" applyNumberFormat="1" applyFont="1" applyFill="1" applyBorder="1" applyAlignment="1" applyProtection="1">
      <alignment horizontal="right" vertical="center"/>
    </xf>
    <xf numFmtId="0" fontId="65" fillId="17" borderId="0" xfId="10" applyFont="1" applyFill="1" applyAlignment="1">
      <alignment vertical="center"/>
    </xf>
    <xf numFmtId="0" fontId="65" fillId="17" borderId="0" xfId="10" applyFont="1" applyFill="1" applyAlignment="1">
      <alignment horizontal="center" vertical="center"/>
    </xf>
    <xf numFmtId="0" fontId="65" fillId="17" borderId="0" xfId="10" applyFont="1" applyFill="1" applyAlignment="1">
      <alignment horizontal="right" vertical="center"/>
    </xf>
    <xf numFmtId="0" fontId="67" fillId="17" borderId="0" xfId="10" applyFont="1" applyFill="1" applyAlignment="1">
      <alignment horizontal="right" vertical="center" indent="3"/>
    </xf>
    <xf numFmtId="0" fontId="65" fillId="17" borderId="0" xfId="10" applyFont="1" applyFill="1" applyBorder="1" applyAlignment="1">
      <alignment horizontal="right" vertical="center"/>
    </xf>
    <xf numFmtId="3" fontId="67" fillId="17" borderId="57" xfId="10" applyNumberFormat="1" applyFont="1" applyFill="1" applyBorder="1" applyAlignment="1" applyProtection="1">
      <alignment vertical="center"/>
    </xf>
    <xf numFmtId="0" fontId="65" fillId="17" borderId="0" xfId="10" applyFont="1" applyFill="1" applyAlignment="1">
      <alignment horizontal="left" vertical="center"/>
    </xf>
    <xf numFmtId="0" fontId="67" fillId="17" borderId="0" xfId="10" applyFont="1" applyFill="1" applyAlignment="1">
      <alignment horizontal="right" vertical="center"/>
    </xf>
    <xf numFmtId="38" fontId="67" fillId="17" borderId="47" xfId="10" applyNumberFormat="1" applyFont="1" applyFill="1" applyBorder="1" applyAlignment="1">
      <alignment horizontal="right"/>
    </xf>
    <xf numFmtId="0" fontId="65" fillId="17" borderId="0" xfId="10" quotePrefix="1" applyFont="1" applyFill="1" applyAlignment="1">
      <alignment horizontal="left" vertical="center"/>
    </xf>
    <xf numFmtId="38" fontId="65" fillId="17" borderId="58" xfId="10" applyNumberFormat="1" applyFont="1" applyFill="1" applyBorder="1" applyAlignment="1" applyProtection="1">
      <alignment horizontal="right"/>
    </xf>
    <xf numFmtId="0" fontId="65" fillId="17" borderId="0" xfId="11" quotePrefix="1" applyFont="1" applyFill="1" applyAlignment="1">
      <alignment horizontal="left" vertical="center"/>
    </xf>
    <xf numFmtId="0" fontId="67" fillId="17" borderId="0" xfId="10" quotePrefix="1" applyFont="1" applyFill="1" applyAlignment="1">
      <alignment horizontal="left" vertical="center"/>
    </xf>
    <xf numFmtId="40" fontId="67" fillId="17" borderId="47" xfId="10" applyNumberFormat="1" applyFont="1" applyFill="1" applyBorder="1" applyAlignment="1" applyProtection="1">
      <alignment horizontal="right"/>
    </xf>
    <xf numFmtId="0" fontId="65" fillId="17" borderId="0" xfId="11" applyFont="1" applyFill="1" applyAlignment="1">
      <alignment horizontal="left" vertical="center"/>
    </xf>
    <xf numFmtId="0" fontId="65" fillId="17" borderId="0" xfId="11" applyFont="1" applyFill="1" applyAlignment="1">
      <alignment horizontal="right" vertical="center"/>
    </xf>
    <xf numFmtId="0" fontId="67" fillId="17" borderId="0" xfId="11" applyFont="1" applyFill="1" applyAlignment="1">
      <alignment horizontal="right" vertical="center"/>
    </xf>
    <xf numFmtId="0" fontId="65" fillId="17" borderId="0" xfId="11" applyFont="1" applyFill="1" applyBorder="1" applyAlignment="1">
      <alignment horizontal="right" vertical="center"/>
    </xf>
    <xf numFmtId="38" fontId="67" fillId="17" borderId="9" xfId="11" applyNumberFormat="1" applyFont="1" applyFill="1" applyBorder="1" applyAlignment="1" applyProtection="1">
      <alignment horizontal="right"/>
    </xf>
    <xf numFmtId="38" fontId="65" fillId="17" borderId="6" xfId="11" applyNumberFormat="1" applyFont="1" applyFill="1" applyBorder="1" applyAlignment="1" applyProtection="1">
      <alignment horizontal="right"/>
    </xf>
    <xf numFmtId="0" fontId="65" fillId="17" borderId="0" xfId="11" applyFont="1" applyFill="1" applyAlignment="1">
      <alignment vertical="center"/>
    </xf>
    <xf numFmtId="40" fontId="65" fillId="17" borderId="9" xfId="11" applyNumberFormat="1" applyFont="1" applyFill="1" applyBorder="1" applyAlignment="1" applyProtection="1">
      <alignment horizontal="right"/>
    </xf>
    <xf numFmtId="40" fontId="67" fillId="17" borderId="57" xfId="11" applyNumberFormat="1" applyFont="1" applyFill="1" applyBorder="1" applyAlignment="1" applyProtection="1">
      <alignment horizontal="right"/>
    </xf>
    <xf numFmtId="38" fontId="10" fillId="17" borderId="158" xfId="17" applyNumberFormat="1" applyFill="1" applyBorder="1" applyAlignment="1" applyProtection="1">
      <alignment horizontal="right" vertical="top"/>
    </xf>
    <xf numFmtId="38" fontId="10" fillId="17" borderId="158" xfId="17" applyNumberFormat="1" applyFill="1" applyBorder="1" applyAlignment="1" applyProtection="1">
      <alignment vertical="top"/>
    </xf>
    <xf numFmtId="38" fontId="10" fillId="17" borderId="159" xfId="17" applyNumberFormat="1" applyFill="1" applyBorder="1" applyAlignment="1" applyProtection="1">
      <alignment horizontal="right" vertical="top"/>
    </xf>
    <xf numFmtId="38" fontId="10" fillId="17" borderId="159" xfId="17" applyNumberFormat="1" applyFill="1" applyBorder="1" applyAlignment="1" applyProtection="1">
      <alignment vertical="top"/>
    </xf>
    <xf numFmtId="0" fontId="10" fillId="17" borderId="159" xfId="17" applyFill="1" applyBorder="1" applyAlignment="1" applyProtection="1">
      <alignment horizontal="left" vertical="top" wrapText="1"/>
    </xf>
    <xf numFmtId="49" fontId="10" fillId="17" borderId="159" xfId="17" applyNumberFormat="1" applyFill="1" applyBorder="1" applyAlignment="1" applyProtection="1">
      <alignment vertical="top"/>
    </xf>
    <xf numFmtId="0" fontId="10" fillId="17" borderId="159" xfId="17" applyFill="1" applyBorder="1" applyAlignment="1" applyProtection="1">
      <alignment vertical="top"/>
    </xf>
    <xf numFmtId="0" fontId="58" fillId="17" borderId="127" xfId="0" applyFont="1" applyFill="1" applyBorder="1"/>
    <xf numFmtId="37" fontId="58" fillId="17" borderId="127" xfId="0" applyNumberFormat="1" applyFont="1" applyFill="1" applyBorder="1"/>
    <xf numFmtId="37" fontId="58" fillId="17" borderId="129" xfId="0" applyNumberFormat="1" applyFont="1" applyFill="1" applyBorder="1"/>
    <xf numFmtId="0" fontId="58" fillId="17" borderId="14" xfId="0" applyFont="1" applyFill="1" applyBorder="1"/>
    <xf numFmtId="0" fontId="58" fillId="17" borderId="21" xfId="0" applyFont="1" applyFill="1" applyBorder="1"/>
    <xf numFmtId="37" fontId="58" fillId="17" borderId="14" xfId="0" applyNumberFormat="1" applyFont="1" applyFill="1" applyBorder="1"/>
    <xf numFmtId="37" fontId="58" fillId="17" borderId="21" xfId="0" applyNumberFormat="1" applyFont="1" applyFill="1" applyBorder="1"/>
    <xf numFmtId="38" fontId="58" fillId="17" borderId="14" xfId="0" applyNumberFormat="1" applyFont="1" applyFill="1" applyBorder="1"/>
    <xf numFmtId="0" fontId="65" fillId="17" borderId="0" xfId="0" applyFont="1" applyFill="1" applyBorder="1" applyAlignment="1">
      <alignment horizontal="right"/>
    </xf>
    <xf numFmtId="38" fontId="58" fillId="17" borderId="18" xfId="0" applyNumberFormat="1" applyFont="1" applyFill="1" applyBorder="1"/>
    <xf numFmtId="0" fontId="58" fillId="17" borderId="13" xfId="0" applyFont="1" applyFill="1" applyBorder="1" applyAlignment="1">
      <alignment horizontal="right"/>
    </xf>
    <xf numFmtId="10" fontId="57" fillId="17" borderId="14" xfId="0" applyNumberFormat="1" applyFont="1" applyFill="1" applyBorder="1" applyAlignment="1">
      <alignment horizontal="left" indent="2"/>
    </xf>
    <xf numFmtId="38" fontId="58" fillId="17" borderId="2" xfId="3" applyNumberFormat="1" applyFont="1" applyFill="1" applyBorder="1" applyAlignment="1">
      <alignment vertical="center"/>
    </xf>
    <xf numFmtId="38" fontId="58" fillId="17" borderId="2" xfId="3" applyNumberFormat="1" applyFont="1" applyFill="1" applyBorder="1" applyAlignment="1" applyProtection="1">
      <alignment vertical="center"/>
    </xf>
    <xf numFmtId="38" fontId="58" fillId="17" borderId="27" xfId="3" applyNumberFormat="1" applyFont="1" applyFill="1" applyBorder="1" applyAlignment="1">
      <alignment vertical="center"/>
    </xf>
    <xf numFmtId="9" fontId="58" fillId="17" borderId="4" xfId="3" applyNumberFormat="1" applyFont="1" applyFill="1" applyBorder="1" applyAlignment="1">
      <alignment horizontal="center" vertical="center"/>
    </xf>
    <xf numFmtId="38" fontId="58" fillId="17" borderId="22" xfId="3" applyNumberFormat="1" applyFont="1" applyFill="1" applyBorder="1" applyAlignment="1">
      <alignment horizontal="right" vertical="center"/>
    </xf>
    <xf numFmtId="38" fontId="58" fillId="17" borderId="41" xfId="3" applyNumberFormat="1" applyFont="1" applyFill="1" applyBorder="1" applyAlignment="1">
      <alignment horizontal="right" vertical="center"/>
    </xf>
    <xf numFmtId="38" fontId="58" fillId="17" borderId="75"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8" fillId="17" borderId="60"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8" fillId="17" borderId="128" xfId="0" applyNumberFormat="1" applyFont="1" applyFill="1" applyBorder="1" applyAlignment="1" applyProtection="1">
      <alignment horizontal="right"/>
    </xf>
    <xf numFmtId="0" fontId="67" fillId="16" borderId="17" xfId="0" applyFont="1" applyFill="1" applyBorder="1" applyAlignment="1">
      <alignment horizontal="left" vertical="center" wrapText="1"/>
    </xf>
    <xf numFmtId="49" fontId="67" fillId="16" borderId="26" xfId="0" applyNumberFormat="1" applyFont="1" applyFill="1" applyBorder="1" applyAlignment="1">
      <alignment horizontal="center" vertical="center"/>
    </xf>
    <xf numFmtId="38" fontId="58" fillId="16" borderId="26" xfId="0" applyNumberFormat="1" applyFont="1" applyFill="1" applyBorder="1" applyAlignment="1">
      <alignment horizontal="right"/>
    </xf>
    <xf numFmtId="38" fontId="58" fillId="16"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7" borderId="13" xfId="0" applyFont="1" applyFill="1" applyBorder="1" applyAlignment="1">
      <alignment horizontal="left" vertical="center" wrapText="1"/>
    </xf>
    <xf numFmtId="49" fontId="67" fillId="17"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7"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7"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8"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2" xfId="3" applyFont="1" applyBorder="1" applyProtection="1"/>
    <xf numFmtId="49" fontId="65" fillId="0" borderId="14"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26" xfId="0" applyNumberFormat="1" applyFont="1" applyFill="1" applyBorder="1" applyAlignment="1" applyProtection="1">
      <alignment horizontal="right"/>
    </xf>
    <xf numFmtId="38" fontId="10" fillId="0" borderId="158"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4" borderId="0" xfId="18" applyFont="1" applyFill="1" applyAlignment="1">
      <alignment horizontal="centerContinuous" vertical="center"/>
    </xf>
    <xf numFmtId="0" fontId="103" fillId="24" borderId="0" xfId="18" applyFont="1" applyFill="1" applyAlignment="1">
      <alignment horizontal="centerContinuous"/>
    </xf>
    <xf numFmtId="0" fontId="91" fillId="0" borderId="138"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3"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5"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60" xfId="18" applyFont="1" applyBorder="1" applyAlignment="1">
      <alignment horizontal="left" vertical="center" wrapText="1"/>
    </xf>
    <xf numFmtId="0" fontId="107" fillId="0" borderId="161" xfId="18" applyFont="1" applyBorder="1" applyAlignment="1">
      <alignment horizontal="left" vertical="center" wrapText="1"/>
    </xf>
    <xf numFmtId="49" fontId="107" fillId="18"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3"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1" xfId="18" applyFont="1" applyBorder="1" applyAlignment="1">
      <alignment vertical="top"/>
    </xf>
    <xf numFmtId="0" fontId="51" fillId="0" borderId="142" xfId="18" applyFont="1" applyBorder="1" applyAlignment="1">
      <alignment vertical="top"/>
    </xf>
    <xf numFmtId="0" fontId="52" fillId="16" borderId="76" xfId="18" applyFont="1" applyFill="1" applyBorder="1" applyAlignment="1">
      <alignment vertical="top"/>
    </xf>
    <xf numFmtId="0" fontId="51" fillId="0" borderId="141" xfId="18" applyFont="1" applyBorder="1" applyAlignment="1">
      <alignment vertical="top" wrapText="1"/>
    </xf>
    <xf numFmtId="0" fontId="51" fillId="0" borderId="142"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3" borderId="46" xfId="0" applyFont="1" applyFill="1" applyBorder="1" applyAlignment="1" applyProtection="1">
      <alignment horizontal="left" vertical="center"/>
    </xf>
    <xf numFmtId="0" fontId="67" fillId="13" borderId="6" xfId="0" applyFont="1" applyFill="1" applyBorder="1" applyAlignment="1" applyProtection="1">
      <alignment horizontal="left" vertical="center"/>
    </xf>
    <xf numFmtId="0" fontId="65" fillId="13" borderId="7" xfId="0" applyFont="1" applyFill="1" applyBorder="1" applyAlignment="1" applyProtection="1">
      <alignment horizontal="left" vertical="center" indent="2"/>
    </xf>
    <xf numFmtId="0" fontId="68" fillId="13"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4" borderId="0" xfId="18" applyFont="1" applyFill="1" applyAlignment="1">
      <alignment horizontal="centerContinuous" vertical="center"/>
    </xf>
    <xf numFmtId="0" fontId="107" fillId="24" borderId="139" xfId="18" applyFont="1" applyFill="1" applyBorder="1" applyAlignment="1">
      <alignment horizontal="center" vertical="center" wrapText="1"/>
    </xf>
    <xf numFmtId="0" fontId="107" fillId="24" borderId="164" xfId="18" applyFont="1" applyFill="1" applyBorder="1" applyAlignment="1">
      <alignment horizontal="center" vertical="center" wrapText="1"/>
    </xf>
    <xf numFmtId="0" fontId="107" fillId="18" borderId="140" xfId="18" applyFont="1" applyFill="1" applyBorder="1" applyAlignment="1">
      <alignment horizontal="center" vertical="center" wrapText="1"/>
    </xf>
    <xf numFmtId="49" fontId="107" fillId="18" borderId="107" xfId="18" applyNumberFormat="1" applyFont="1" applyFill="1" applyBorder="1" applyAlignment="1">
      <alignment horizontal="center" vertical="center" wrapText="1"/>
    </xf>
    <xf numFmtId="0" fontId="52" fillId="18" borderId="108" xfId="18" applyFont="1" applyFill="1" applyBorder="1" applyAlignment="1">
      <alignment horizontal="center"/>
    </xf>
    <xf numFmtId="0" fontId="105" fillId="0" borderId="140" xfId="18" applyFont="1" applyFill="1" applyBorder="1" applyAlignment="1" applyProtection="1">
      <alignment horizontal="right"/>
    </xf>
    <xf numFmtId="0" fontId="68" fillId="24"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3" borderId="39" xfId="0" applyFont="1" applyFill="1" applyBorder="1"/>
    <xf numFmtId="0" fontId="58" fillId="13" borderId="23" xfId="0" applyFont="1" applyFill="1" applyBorder="1" applyAlignment="1">
      <alignment horizontal="left" vertical="top"/>
    </xf>
    <xf numFmtId="0" fontId="58" fillId="13" borderId="23" xfId="0" applyFont="1" applyFill="1" applyBorder="1" applyAlignment="1">
      <alignment vertical="top" wrapText="1"/>
    </xf>
    <xf numFmtId="0" fontId="67" fillId="13"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8" xfId="11" applyNumberFormat="1" applyFont="1" applyFill="1" applyBorder="1" applyAlignment="1" applyProtection="1">
      <alignment horizontal="right"/>
      <protection locked="0"/>
    </xf>
    <xf numFmtId="38" fontId="65" fillId="17" borderId="0" xfId="11" applyNumberFormat="1" applyFont="1" applyFill="1" applyBorder="1" applyAlignment="1" applyProtection="1">
      <alignment horizontal="right"/>
    </xf>
    <xf numFmtId="38" fontId="65" fillId="17" borderId="9" xfId="11" applyNumberFormat="1" applyFont="1" applyFill="1" applyBorder="1" applyAlignment="1" applyProtection="1">
      <alignment horizontal="right"/>
    </xf>
    <xf numFmtId="3" fontId="65" fillId="17" borderId="9" xfId="10" applyNumberFormat="1" applyFont="1" applyFill="1" applyBorder="1" applyAlignment="1" applyProtection="1">
      <alignment vertical="center"/>
    </xf>
    <xf numFmtId="3" fontId="65" fillId="17" borderId="6" xfId="10" applyNumberFormat="1" applyFont="1" applyFill="1" applyBorder="1" applyAlignment="1" applyProtection="1">
      <alignment vertical="center"/>
    </xf>
    <xf numFmtId="38" fontId="65" fillId="17" borderId="9" xfId="10" applyNumberFormat="1" applyFont="1" applyFill="1" applyBorder="1" applyAlignment="1" applyProtection="1">
      <alignment horizontal="right" vertical="center"/>
    </xf>
    <xf numFmtId="38" fontId="65" fillId="17" borderId="0" xfId="10" applyNumberFormat="1" applyFont="1" applyFill="1" applyAlignment="1">
      <alignment vertical="top"/>
    </xf>
    <xf numFmtId="38" fontId="65" fillId="17" borderId="6" xfId="10" applyNumberFormat="1" applyFont="1" applyFill="1" applyBorder="1" applyAlignment="1" applyProtection="1">
      <alignment horizontal="right" vertical="center"/>
    </xf>
    <xf numFmtId="38" fontId="65" fillId="17" borderId="6" xfId="10" applyNumberFormat="1" applyFont="1" applyFill="1" applyBorder="1" applyAlignment="1" applyProtection="1">
      <alignment horizontal="right"/>
    </xf>
    <xf numFmtId="38" fontId="65" fillId="17" borderId="0" xfId="10" applyNumberFormat="1" applyFont="1" applyFill="1" applyAlignment="1">
      <alignment horizontal="right"/>
    </xf>
    <xf numFmtId="38" fontId="65" fillId="17" borderId="9" xfId="10" applyNumberFormat="1" applyFont="1" applyFill="1" applyBorder="1" applyAlignment="1" applyProtection="1">
      <alignment horizontal="right"/>
    </xf>
    <xf numFmtId="38" fontId="65" fillId="17" borderId="6" xfId="10" applyNumberFormat="1" applyFont="1" applyFill="1" applyBorder="1" applyAlignment="1">
      <alignment horizontal="right"/>
    </xf>
    <xf numFmtId="38" fontId="65" fillId="17" borderId="148"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8" borderId="21" xfId="0" applyFont="1" applyFill="1" applyBorder="1" applyAlignment="1" applyProtection="1">
      <alignment vertical="center"/>
    </xf>
    <xf numFmtId="0" fontId="67" fillId="18" borderId="2" xfId="0" applyFont="1" applyFill="1" applyBorder="1" applyAlignment="1" applyProtection="1">
      <alignment vertical="center"/>
    </xf>
    <xf numFmtId="3" fontId="14"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43" fontId="65" fillId="0" borderId="22" xfId="21"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left" vertical="center" wrapText="1"/>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41" fontId="65" fillId="0" borderId="22" xfId="3" applyNumberFormat="1" applyFont="1" applyFill="1" applyBorder="1" applyAlignment="1" applyProtection="1">
      <alignment horizontal="center"/>
      <protection locked="0"/>
    </xf>
    <xf numFmtId="3" fontId="60" fillId="0" borderId="0" xfId="0" applyNumberFormat="1" applyFont="1"/>
    <xf numFmtId="0" fontId="60" fillId="0" borderId="78" xfId="0" applyFont="1" applyBorder="1"/>
    <xf numFmtId="0" fontId="13" fillId="0" borderId="0" xfId="3" applyBorder="1" applyAlignment="1" applyProtection="1">
      <alignment vertical="top" wrapText="1"/>
      <protection locked="0"/>
    </xf>
    <xf numFmtId="0" fontId="60" fillId="0" borderId="0" xfId="3" applyFont="1" applyAlignment="1" applyProtection="1">
      <alignment horizontal="left" vertical="top" wrapText="1"/>
      <protection locked="0"/>
    </xf>
    <xf numFmtId="0" fontId="60" fillId="0" borderId="0" xfId="3" applyFont="1" applyBorder="1" applyAlignment="1" applyProtection="1">
      <alignment vertical="top" wrapText="1"/>
      <protection locked="0"/>
    </xf>
    <xf numFmtId="179" fontId="60" fillId="0" borderId="0" xfId="3" applyNumberFormat="1" applyFont="1" applyBorder="1" applyAlignment="1" applyProtection="1">
      <alignment vertical="top"/>
      <protection locked="0"/>
    </xf>
    <xf numFmtId="179" fontId="60" fillId="0" borderId="0" xfId="3" applyNumberFormat="1" applyFont="1" applyBorder="1" applyAlignment="1" applyProtection="1">
      <alignment horizontal="left" vertical="top"/>
      <protection locked="0"/>
    </xf>
    <xf numFmtId="0" fontId="60" fillId="0" borderId="0" xfId="3" applyFont="1" applyAlignment="1" applyProtection="1">
      <alignment vertical="top" wrapText="1"/>
      <protection locked="0"/>
    </xf>
    <xf numFmtId="0" fontId="60" fillId="0" borderId="0" xfId="3" applyFont="1" applyAlignment="1" applyProtection="1">
      <alignment horizontal="left" wrapText="1"/>
      <protection locked="0"/>
    </xf>
    <xf numFmtId="0" fontId="57" fillId="0" borderId="0" xfId="3" applyFont="1" applyAlignment="1" applyProtection="1">
      <alignment horizontal="center" vertical="center"/>
    </xf>
    <xf numFmtId="0" fontId="23" fillId="9" borderId="144" xfId="3" applyFont="1" applyFill="1" applyBorder="1" applyProtection="1"/>
    <xf numFmtId="0" fontId="23" fillId="9" borderId="145" xfId="3" applyFont="1" applyFill="1" applyBorder="1" applyProtection="1"/>
    <xf numFmtId="0" fontId="13" fillId="9" borderId="145" xfId="3" applyFill="1" applyBorder="1" applyProtection="1"/>
    <xf numFmtId="0" fontId="13" fillId="9" borderId="145" xfId="3" applyFill="1" applyBorder="1" applyAlignment="1" applyProtection="1">
      <alignment horizontal="center"/>
    </xf>
    <xf numFmtId="0" fontId="13" fillId="9" borderId="146" xfId="3" applyFill="1" applyBorder="1" applyProtection="1"/>
    <xf numFmtId="0" fontId="14" fillId="9" borderId="5" xfId="3" applyFont="1" applyFill="1" applyBorder="1" applyProtection="1"/>
    <xf numFmtId="0" fontId="14" fillId="9" borderId="111" xfId="3" applyFont="1" applyFill="1" applyBorder="1" applyProtection="1"/>
    <xf numFmtId="14" fontId="13" fillId="9" borderId="9" xfId="3" applyNumberFormat="1" applyFill="1" applyBorder="1" applyAlignment="1" applyProtection="1">
      <alignment horizontal="center"/>
    </xf>
    <xf numFmtId="14" fontId="13" fillId="9" borderId="0" xfId="3" applyNumberFormat="1" applyFill="1" applyBorder="1" applyProtection="1"/>
    <xf numFmtId="0" fontId="14" fillId="9" borderId="0" xfId="3" applyFont="1" applyFill="1" applyBorder="1" applyAlignment="1" applyProtection="1">
      <alignment horizontal="left"/>
    </xf>
    <xf numFmtId="0" fontId="19" fillId="9" borderId="0" xfId="3" applyFont="1" applyFill="1" applyBorder="1" applyAlignment="1" applyProtection="1">
      <alignment horizontal="left"/>
    </xf>
    <xf numFmtId="0" fontId="13" fillId="9" borderId="0" xfId="3" applyFill="1" applyBorder="1" applyProtection="1"/>
    <xf numFmtId="0" fontId="13" fillId="9" borderId="0" xfId="3" applyFill="1" applyBorder="1" applyAlignment="1" applyProtection="1">
      <alignment horizontal="center"/>
    </xf>
    <xf numFmtId="0" fontId="13" fillId="9" borderId="9" xfId="3" applyFill="1" applyBorder="1" applyProtection="1"/>
    <xf numFmtId="0" fontId="13" fillId="9" borderId="40" xfId="3" applyFill="1" applyBorder="1" applyAlignment="1" applyProtection="1">
      <alignment horizontal="center"/>
    </xf>
    <xf numFmtId="0" fontId="13" fillId="9" borderId="148" xfId="3" applyFill="1" applyBorder="1" applyAlignment="1" applyProtection="1">
      <alignment horizontal="center"/>
    </xf>
    <xf numFmtId="0" fontId="14" fillId="9" borderId="0" xfId="3" applyFont="1" applyFill="1" applyBorder="1" applyProtection="1"/>
    <xf numFmtId="0" fontId="13" fillId="9" borderId="50" xfId="3" applyFill="1" applyBorder="1" applyProtection="1"/>
    <xf numFmtId="0" fontId="13" fillId="9" borderId="9" xfId="3" applyFill="1" applyBorder="1" applyAlignment="1" applyProtection="1">
      <alignment horizontal="center"/>
    </xf>
    <xf numFmtId="0" fontId="13" fillId="9" borderId="59" xfId="3" applyFill="1" applyBorder="1" applyProtection="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center"/>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9" xfId="12" applyFont="1" applyBorder="1" applyAlignment="1" applyProtection="1">
      <alignment horizontal="center" vertical="center" wrapText="1"/>
    </xf>
    <xf numFmtId="0" fontId="138" fillId="0" borderId="127"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7" xfId="12" applyFont="1" applyBorder="1" applyAlignment="1" applyProtection="1">
      <alignment horizontal="left" vertical="center" indent="1"/>
      <protection locked="0"/>
    </xf>
    <xf numFmtId="0" fontId="16" fillId="0" borderId="127"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9"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6" xfId="12" applyNumberFormat="1" applyFont="1" applyBorder="1" applyAlignment="1" applyProtection="1">
      <alignment horizontal="left" vertical="center" indent="1"/>
      <protection locked="0"/>
    </xf>
    <xf numFmtId="0" fontId="16" fillId="0" borderId="129" xfId="12" applyNumberFormat="1" applyFont="1" applyBorder="1" applyAlignment="1" applyProtection="1">
      <alignment horizontal="left" vertical="center" indent="1"/>
      <protection locked="0"/>
    </xf>
    <xf numFmtId="0" fontId="16" fillId="0" borderId="127"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9" xfId="12" applyNumberFormat="1" applyFont="1" applyBorder="1" applyAlignment="1" applyProtection="1">
      <alignment horizontal="left" vertical="center" indent="1"/>
      <protection locked="0"/>
    </xf>
    <xf numFmtId="180" fontId="16" fillId="0" borderId="127"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9" xfId="3" applyFont="1" applyBorder="1" applyAlignment="1" applyProtection="1">
      <alignment horizontal="left" vertical="top"/>
      <protection locked="0"/>
    </xf>
    <xf numFmtId="0" fontId="58" fillId="0" borderId="127" xfId="3" applyFont="1" applyBorder="1" applyAlignment="1" applyProtection="1">
      <alignment horizontal="left" vertical="top"/>
      <protection locked="0"/>
    </xf>
    <xf numFmtId="0" fontId="57" fillId="0" borderId="135"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9" borderId="0" xfId="0" applyFont="1" applyFill="1" applyBorder="1" applyAlignment="1" applyProtection="1">
      <alignment horizontal="center" vertical="center"/>
    </xf>
    <xf numFmtId="0" fontId="57" fillId="19"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9" xfId="0" applyFont="1" applyBorder="1" applyAlignment="1" applyProtection="1">
      <alignment horizontal="left" vertical="top" wrapText="1"/>
      <protection locked="0"/>
    </xf>
    <xf numFmtId="0" fontId="58" fillId="0" borderId="127"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7" xfId="0" applyFont="1" applyFill="1" applyBorder="1" applyAlignment="1" applyProtection="1">
      <alignment horizontal="center" vertical="center" wrapText="1"/>
    </xf>
    <xf numFmtId="3" fontId="67" fillId="24" borderId="13" xfId="0" applyNumberFormat="1" applyFont="1" applyFill="1" applyBorder="1" applyAlignment="1" applyProtection="1">
      <alignment horizontal="left" vertical="center"/>
    </xf>
    <xf numFmtId="3" fontId="67" fillId="24" borderId="14" xfId="0" applyNumberFormat="1" applyFont="1" applyFill="1" applyBorder="1" applyAlignment="1" applyProtection="1">
      <alignment horizontal="left" vertical="center"/>
    </xf>
    <xf numFmtId="164" fontId="67" fillId="24" borderId="49" xfId="0" applyNumberFormat="1" applyFont="1" applyFill="1" applyBorder="1" applyAlignment="1" applyProtection="1">
      <alignment horizontal="left" vertical="center"/>
    </xf>
    <xf numFmtId="164" fontId="67" fillId="24" borderId="31" xfId="0" applyNumberFormat="1" applyFont="1" applyFill="1" applyBorder="1" applyAlignment="1" applyProtection="1">
      <alignment horizontal="left" vertical="center"/>
    </xf>
    <xf numFmtId="0" fontId="67" fillId="24" borderId="34" xfId="0" applyFont="1" applyFill="1" applyBorder="1" applyAlignment="1" applyProtection="1">
      <alignment horizontal="left" vertical="center"/>
    </xf>
    <xf numFmtId="0" fontId="67" fillId="24" borderId="31" xfId="0" applyFont="1" applyFill="1" applyBorder="1" applyAlignment="1" applyProtection="1">
      <alignment horizontal="left" vertical="center"/>
    </xf>
    <xf numFmtId="164" fontId="67" fillId="24" borderId="13" xfId="0" applyNumberFormat="1" applyFont="1" applyFill="1" applyBorder="1" applyAlignment="1" applyProtection="1">
      <alignment horizontal="left" vertical="center"/>
    </xf>
    <xf numFmtId="164" fontId="67" fillId="24" borderId="14" xfId="0" applyNumberFormat="1" applyFont="1" applyFill="1" applyBorder="1" applyAlignment="1" applyProtection="1">
      <alignment horizontal="left" vertical="center"/>
    </xf>
    <xf numFmtId="164" fontId="67" fillId="17" borderId="36" xfId="0" applyNumberFormat="1" applyFont="1" applyFill="1" applyBorder="1" applyAlignment="1" applyProtection="1">
      <alignment horizontal="left" vertical="center" wrapText="1" indent="2"/>
    </xf>
    <xf numFmtId="164" fontId="67" fillId="17" borderId="30" xfId="0" applyNumberFormat="1" applyFont="1" applyFill="1" applyBorder="1" applyAlignment="1" applyProtection="1">
      <alignment horizontal="left" vertical="center" wrapText="1" indent="2"/>
    </xf>
    <xf numFmtId="0" fontId="67" fillId="17" borderId="52" xfId="0" applyFont="1" applyFill="1" applyBorder="1" applyAlignment="1" applyProtection="1">
      <alignment horizontal="left" vertical="center" indent="2"/>
    </xf>
    <xf numFmtId="0" fontId="67" fillId="17" borderId="53" xfId="0" applyFont="1" applyFill="1" applyBorder="1" applyAlignment="1" applyProtection="1">
      <alignment horizontal="left" vertical="center" indent="2"/>
    </xf>
    <xf numFmtId="0" fontId="67" fillId="17" borderId="35" xfId="0" applyFont="1" applyFill="1" applyBorder="1" applyAlignment="1" applyProtection="1">
      <alignment horizontal="left" vertical="center" indent="2"/>
    </xf>
    <xf numFmtId="0" fontId="67"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center" wrapText="1" indent="2"/>
    </xf>
    <xf numFmtId="0" fontId="60" fillId="17"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7" xfId="0" applyNumberFormat="1" applyFont="1" applyBorder="1" applyAlignment="1" applyProtection="1">
      <alignment horizontal="center" vertical="center" wrapText="1"/>
    </xf>
    <xf numFmtId="0" fontId="67" fillId="17" borderId="34" xfId="0" applyFont="1" applyFill="1" applyBorder="1" applyAlignment="1" applyProtection="1">
      <alignment horizontal="left" vertical="center" indent="1"/>
    </xf>
    <xf numFmtId="0" fontId="67" fillId="17"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6" borderId="13" xfId="0" applyNumberFormat="1" applyFont="1" applyFill="1" applyBorder="1" applyAlignment="1" applyProtection="1">
      <alignment horizontal="left" vertical="center" wrapText="1" indent="1"/>
    </xf>
    <xf numFmtId="164" fontId="67" fillId="26" borderId="14" xfId="0" applyNumberFormat="1" applyFont="1" applyFill="1" applyBorder="1" applyAlignment="1" applyProtection="1">
      <alignment horizontal="left" vertical="center" wrapText="1" indent="1"/>
    </xf>
    <xf numFmtId="164" fontId="67" fillId="15" borderId="13" xfId="0" applyNumberFormat="1" applyFont="1" applyFill="1" applyBorder="1" applyAlignment="1" applyProtection="1">
      <alignment horizontal="left" vertical="center" wrapText="1" indent="1"/>
    </xf>
    <xf numFmtId="164" fontId="67" fillId="15" borderId="14" xfId="0" applyNumberFormat="1" applyFont="1" applyFill="1" applyBorder="1" applyAlignment="1" applyProtection="1">
      <alignment horizontal="left" vertical="center" wrapText="1" indent="1"/>
    </xf>
    <xf numFmtId="164" fontId="67" fillId="18" borderId="13" xfId="0" applyNumberFormat="1" applyFont="1" applyFill="1" applyBorder="1" applyAlignment="1" applyProtection="1">
      <alignment horizontal="left" vertical="center" wrapText="1"/>
    </xf>
    <xf numFmtId="164" fontId="67" fillId="18" borderId="14" xfId="0" applyNumberFormat="1" applyFont="1" applyFill="1" applyBorder="1" applyAlignment="1" applyProtection="1">
      <alignment horizontal="left" vertical="center" wrapText="1"/>
    </xf>
    <xf numFmtId="49" fontId="67" fillId="24" borderId="13" xfId="0" applyNumberFormat="1" applyFont="1" applyFill="1" applyBorder="1" applyAlignment="1" applyProtection="1">
      <alignment horizontal="left" vertical="center"/>
    </xf>
    <xf numFmtId="49" fontId="67" fillId="24" borderId="14" xfId="0" applyNumberFormat="1" applyFont="1" applyFill="1" applyBorder="1" applyAlignment="1" applyProtection="1">
      <alignment horizontal="left" vertical="center"/>
    </xf>
    <xf numFmtId="0" fontId="67" fillId="24" borderId="13" xfId="0" applyFont="1" applyFill="1" applyBorder="1" applyAlignment="1" applyProtection="1">
      <alignment vertical="center"/>
    </xf>
    <xf numFmtId="0" fontId="67" fillId="24" borderId="14" xfId="0" applyFont="1" applyFill="1" applyBorder="1" applyAlignment="1" applyProtection="1">
      <alignment vertical="center"/>
    </xf>
    <xf numFmtId="164" fontId="67" fillId="17" borderId="13" xfId="0" applyNumberFormat="1" applyFont="1" applyFill="1" applyBorder="1" applyAlignment="1" applyProtection="1">
      <alignment horizontal="left" vertical="center" wrapText="1" indent="2"/>
    </xf>
    <xf numFmtId="164" fontId="67" fillId="17"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7" borderId="24" xfId="0" applyFont="1" applyFill="1" applyBorder="1" applyAlignment="1" applyProtection="1">
      <alignment horizontal="left" vertical="center" indent="1"/>
    </xf>
    <xf numFmtId="0" fontId="60" fillId="17" borderId="51" xfId="0" applyFont="1" applyFill="1" applyBorder="1" applyAlignment="1">
      <alignment horizontal="left" vertical="center" indent="1"/>
    </xf>
    <xf numFmtId="0" fontId="67" fillId="18" borderId="21" xfId="0" applyFont="1" applyFill="1" applyBorder="1" applyAlignment="1">
      <alignment horizontal="left" vertical="center" wrapText="1"/>
    </xf>
    <xf numFmtId="0" fontId="60" fillId="18" borderId="14" xfId="0" applyFont="1" applyFill="1" applyBorder="1" applyAlignment="1">
      <alignment horizontal="left" vertical="center" wrapText="1"/>
    </xf>
    <xf numFmtId="0" fontId="67" fillId="18" borderId="34" xfId="0" applyFont="1" applyFill="1" applyBorder="1" applyAlignment="1">
      <alignment vertical="top" wrapText="1"/>
    </xf>
    <xf numFmtId="0" fontId="60" fillId="18" borderId="31" xfId="0" applyFont="1" applyFill="1" applyBorder="1" applyAlignment="1">
      <alignment vertical="top" wrapText="1"/>
    </xf>
    <xf numFmtId="0" fontId="67" fillId="17" borderId="35" xfId="0" applyFont="1" applyFill="1" applyBorder="1" applyAlignment="1" applyProtection="1">
      <alignment horizontal="left" vertical="top" wrapText="1" indent="1"/>
    </xf>
    <xf numFmtId="0" fontId="60" fillId="17" borderId="30" xfId="0" applyFont="1" applyFill="1" applyBorder="1" applyAlignment="1">
      <alignment horizontal="left" vertical="top" wrapText="1" indent="1"/>
    </xf>
    <xf numFmtId="0" fontId="67" fillId="17" borderId="35" xfId="0" applyFont="1" applyFill="1" applyBorder="1" applyAlignment="1" applyProtection="1">
      <alignment horizontal="left" vertical="top" indent="1"/>
    </xf>
    <xf numFmtId="0" fontId="60" fillId="17" borderId="30" xfId="0" applyFont="1" applyFill="1" applyBorder="1" applyAlignment="1">
      <alignment horizontal="left" vertical="top" indent="1"/>
    </xf>
    <xf numFmtId="0" fontId="67" fillId="18" borderId="34" xfId="0" applyFont="1" applyFill="1" applyBorder="1" applyAlignment="1">
      <alignment vertical="center" wrapText="1"/>
    </xf>
    <xf numFmtId="0" fontId="60" fillId="18" borderId="31" xfId="0" applyFont="1" applyFill="1" applyBorder="1" applyAlignment="1">
      <alignment vertical="center" wrapText="1"/>
    </xf>
    <xf numFmtId="3" fontId="67" fillId="17" borderId="49" xfId="0" applyNumberFormat="1" applyFont="1" applyFill="1" applyBorder="1" applyAlignment="1">
      <alignment horizontal="left" vertical="top" indent="1"/>
    </xf>
    <xf numFmtId="3" fontId="67" fillId="17"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4" borderId="19" xfId="0" applyFont="1" applyFill="1" applyBorder="1" applyAlignment="1">
      <alignment horizontal="center" vertical="center"/>
    </xf>
    <xf numFmtId="0" fontId="60" fillId="24" borderId="11" xfId="0" applyFont="1" applyFill="1" applyBorder="1" applyAlignment="1">
      <alignment horizontal="center" vertical="center"/>
    </xf>
    <xf numFmtId="0" fontId="68" fillId="25" borderId="20" xfId="0" applyFont="1" applyFill="1" applyBorder="1" applyAlignment="1">
      <alignment horizontal="center" vertical="center"/>
    </xf>
    <xf numFmtId="0" fontId="68" fillId="25" borderId="11" xfId="0" applyFont="1" applyFill="1" applyBorder="1" applyAlignment="1">
      <alignment horizontal="center" vertical="center"/>
    </xf>
    <xf numFmtId="0" fontId="60" fillId="25" borderId="11" xfId="0" applyFont="1" applyFill="1" applyBorder="1" applyAlignment="1">
      <alignment horizontal="center" vertical="center"/>
    </xf>
    <xf numFmtId="0" fontId="68" fillId="24" borderId="107" xfId="0" applyFont="1" applyFill="1" applyBorder="1" applyAlignment="1">
      <alignment horizontal="center" vertical="center"/>
    </xf>
    <xf numFmtId="0" fontId="60" fillId="24" borderId="132" xfId="0" applyFont="1" applyFill="1" applyBorder="1" applyAlignment="1">
      <alignment horizontal="center" vertical="center"/>
    </xf>
    <xf numFmtId="0" fontId="68" fillId="24" borderId="20" xfId="0" applyFont="1" applyFill="1" applyBorder="1" applyAlignment="1">
      <alignment horizontal="center" vertical="center"/>
    </xf>
    <xf numFmtId="3" fontId="67" fillId="17" borderId="34" xfId="0" applyNumberFormat="1" applyFont="1" applyFill="1" applyBorder="1" applyAlignment="1">
      <alignment horizontal="left" vertical="top" wrapText="1" indent="1"/>
    </xf>
    <xf numFmtId="0" fontId="60" fillId="17" borderId="31" xfId="0" applyFont="1" applyFill="1" applyBorder="1" applyAlignment="1">
      <alignment horizontal="left" vertical="top" wrapText="1"/>
    </xf>
    <xf numFmtId="3" fontId="67" fillId="17" borderId="23" xfId="0" applyNumberFormat="1" applyFont="1" applyFill="1" applyBorder="1" applyAlignment="1">
      <alignment horizontal="left" vertical="top" wrapText="1" indent="1"/>
    </xf>
    <xf numFmtId="0" fontId="60" fillId="17" borderId="38" xfId="0" applyFont="1" applyFill="1" applyBorder="1" applyAlignment="1">
      <alignment horizontal="left" vertical="top" wrapText="1" indent="1"/>
    </xf>
    <xf numFmtId="3" fontId="67" fillId="17" borderId="24" xfId="0" applyNumberFormat="1" applyFont="1" applyFill="1" applyBorder="1" applyAlignment="1">
      <alignment horizontal="left" vertical="top" wrapText="1" indent="1"/>
    </xf>
    <xf numFmtId="0" fontId="65" fillId="17" borderId="51" xfId="0" applyFont="1" applyFill="1" applyBorder="1" applyAlignment="1">
      <alignment horizontal="left" vertical="top" wrapText="1" indent="1"/>
    </xf>
    <xf numFmtId="3" fontId="67" fillId="17" borderId="35" xfId="0" applyNumberFormat="1" applyFont="1" applyFill="1" applyBorder="1" applyAlignment="1">
      <alignment horizontal="left" vertical="top" wrapText="1" indent="1"/>
    </xf>
    <xf numFmtId="3" fontId="67" fillId="17" borderId="35" xfId="0" applyNumberFormat="1" applyFont="1" applyFill="1" applyBorder="1" applyAlignment="1">
      <alignment horizontal="left" vertical="top" indent="1"/>
    </xf>
    <xf numFmtId="0" fontId="65" fillId="17"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4" borderId="20" xfId="0" applyFont="1" applyFill="1" applyBorder="1" applyAlignment="1">
      <alignment horizontal="center" vertical="center" wrapText="1"/>
    </xf>
    <xf numFmtId="0" fontId="60" fillId="24" borderId="11" xfId="0" applyFont="1" applyFill="1" applyBorder="1" applyAlignment="1">
      <alignment horizontal="center" vertical="center" wrapText="1"/>
    </xf>
    <xf numFmtId="3" fontId="68" fillId="24" borderId="13" xfId="0" applyNumberFormat="1" applyFont="1" applyFill="1" applyBorder="1" applyAlignment="1">
      <alignment horizontal="center" vertical="center"/>
    </xf>
    <xf numFmtId="0" fontId="60" fillId="24" borderId="14" xfId="0" applyFont="1" applyFill="1" applyBorder="1" applyAlignment="1">
      <alignment horizontal="center" vertical="center"/>
    </xf>
    <xf numFmtId="0" fontId="68" fillId="24" borderId="21" xfId="0" applyFont="1" applyFill="1" applyBorder="1" applyAlignment="1">
      <alignment horizontal="center" vertical="center"/>
    </xf>
    <xf numFmtId="3" fontId="67" fillId="16" borderId="10" xfId="0" applyNumberFormat="1" applyFont="1" applyFill="1" applyBorder="1" applyAlignment="1" applyProtection="1">
      <alignment horizontal="center" vertical="center" wrapText="1"/>
    </xf>
    <xf numFmtId="3" fontId="67" fillId="16" borderId="127"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7" borderId="13" xfId="0" applyNumberFormat="1" applyFont="1" applyFill="1" applyBorder="1" applyAlignment="1" applyProtection="1">
      <alignment horizontal="left" vertical="center" wrapText="1" indent="1"/>
    </xf>
    <xf numFmtId="0" fontId="60" fillId="17"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7" borderId="13" xfId="0" applyNumberFormat="1" applyFont="1" applyFill="1" applyBorder="1" applyAlignment="1" applyProtection="1">
      <alignment horizontal="left" vertical="center" indent="1"/>
    </xf>
    <xf numFmtId="0" fontId="60" fillId="17" borderId="14" xfId="0" applyFont="1" applyFill="1" applyBorder="1" applyAlignment="1">
      <alignment horizontal="left" vertical="center" indent="1"/>
    </xf>
    <xf numFmtId="0" fontId="68" fillId="13" borderId="13" xfId="9" applyFont="1" applyFill="1" applyBorder="1" applyAlignment="1">
      <alignment horizontal="center" vertical="center"/>
    </xf>
    <xf numFmtId="0" fontId="60" fillId="13"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3"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3" borderId="46" xfId="0" applyFont="1" applyFill="1" applyBorder="1" applyAlignment="1" applyProtection="1">
      <alignment horizontal="left" vertical="center" wrapText="1"/>
    </xf>
    <xf numFmtId="0" fontId="60" fillId="13" borderId="6" xfId="0" applyFont="1" applyFill="1" applyBorder="1" applyAlignment="1">
      <alignment horizontal="left" wrapText="1"/>
    </xf>
    <xf numFmtId="0" fontId="60" fillId="13"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8" xfId="0" applyFont="1" applyBorder="1" applyAlignment="1" applyProtection="1">
      <alignment horizontal="left" vertical="center" wrapText="1" indent="1"/>
    </xf>
    <xf numFmtId="0" fontId="65" fillId="0" borderId="149"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7" borderId="54" xfId="0" applyFont="1" applyFill="1" applyBorder="1" applyAlignment="1" applyProtection="1">
      <alignment horizontal="left" vertical="center" indent="1"/>
    </xf>
    <xf numFmtId="0" fontId="67" fillId="17" borderId="57" xfId="0" applyFont="1" applyFill="1" applyBorder="1" applyAlignment="1" applyProtection="1">
      <alignment horizontal="left" vertical="center" indent="1"/>
    </xf>
    <xf numFmtId="0" fontId="67" fillId="17" borderId="61" xfId="0" applyFont="1" applyFill="1" applyBorder="1" applyAlignment="1" applyProtection="1">
      <alignment horizontal="left" vertical="center" indent="1"/>
    </xf>
    <xf numFmtId="0" fontId="67" fillId="17" borderId="148" xfId="0" applyFont="1" applyFill="1" applyBorder="1" applyAlignment="1" applyProtection="1">
      <alignment horizontal="left" vertical="center" indent="1"/>
    </xf>
    <xf numFmtId="0" fontId="67" fillId="17" borderId="147" xfId="0" applyFont="1" applyFill="1" applyBorder="1" applyAlignment="1" applyProtection="1">
      <alignment horizontal="left" vertical="center" indent="1"/>
    </xf>
    <xf numFmtId="0" fontId="67" fillId="3" borderId="148" xfId="0" applyFont="1" applyFill="1" applyBorder="1" applyAlignment="1" applyProtection="1">
      <alignment horizontal="left" vertical="center"/>
    </xf>
    <xf numFmtId="0" fontId="67" fillId="3" borderId="149"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4" borderId="147" xfId="0" applyFont="1" applyFill="1" applyBorder="1" applyAlignment="1" applyProtection="1">
      <alignment horizontal="left" vertical="center" indent="1"/>
    </xf>
    <xf numFmtId="0" fontId="68" fillId="24" borderId="148" xfId="0" applyFont="1" applyFill="1" applyBorder="1" applyAlignment="1" applyProtection="1">
      <alignment horizontal="left" vertical="center" indent="1"/>
    </xf>
    <xf numFmtId="0" fontId="68" fillId="24" borderId="149"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4" borderId="92" xfId="10" applyFont="1" applyFill="1" applyBorder="1" applyAlignment="1">
      <alignment horizontal="center" vertical="center" wrapText="1"/>
    </xf>
    <xf numFmtId="0" fontId="68" fillId="24" borderId="25" xfId="0" applyFont="1" applyFill="1" applyBorder="1" applyAlignment="1">
      <alignment horizontal="center" vertical="center" wrapText="1"/>
    </xf>
    <xf numFmtId="0" fontId="68" fillId="24" borderId="93" xfId="0" applyFont="1" applyFill="1" applyBorder="1" applyAlignment="1">
      <alignment horizontal="center" vertical="center" wrapText="1"/>
    </xf>
    <xf numFmtId="0" fontId="133" fillId="24" borderId="94" xfId="10" applyFont="1" applyFill="1" applyBorder="1" applyAlignment="1">
      <alignment horizontal="center" vertical="center"/>
    </xf>
    <xf numFmtId="0" fontId="58" fillId="24" borderId="47" xfId="0" applyFont="1" applyFill="1" applyBorder="1" applyAlignment="1">
      <alignment horizontal="center" vertical="center"/>
    </xf>
    <xf numFmtId="0" fontId="58" fillId="24"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4" borderId="141" xfId="17" applyFont="1" applyFill="1" applyBorder="1" applyAlignment="1">
      <alignment horizontal="center" vertical="center"/>
    </xf>
    <xf numFmtId="0" fontId="129" fillId="24" borderId="142" xfId="17" applyFont="1" applyFill="1" applyBorder="1" applyAlignment="1">
      <alignment horizontal="center" vertical="center"/>
    </xf>
    <xf numFmtId="0" fontId="129" fillId="24" borderId="143" xfId="17" applyFont="1" applyFill="1" applyBorder="1" applyAlignment="1">
      <alignment horizontal="center" vertical="center"/>
    </xf>
    <xf numFmtId="0" fontId="129" fillId="24" borderId="98" xfId="17" applyFont="1" applyFill="1" applyBorder="1" applyAlignment="1">
      <alignment horizontal="center" vertical="center"/>
    </xf>
    <xf numFmtId="0" fontId="129" fillId="24" borderId="78" xfId="17" applyFont="1" applyFill="1" applyBorder="1" applyAlignment="1">
      <alignment horizontal="center" vertical="center"/>
    </xf>
    <xf numFmtId="0" fontId="129" fillId="24"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20" borderId="13" xfId="0" applyFont="1" applyFill="1" applyBorder="1" applyAlignment="1" applyProtection="1">
      <alignment horizontal="left" vertical="center" wrapText="1" indent="1"/>
    </xf>
    <xf numFmtId="0" fontId="60" fillId="20" borderId="21" xfId="0" applyFont="1" applyFill="1" applyBorder="1" applyAlignment="1">
      <alignment horizontal="left" vertical="center" wrapText="1" indent="1"/>
    </xf>
    <xf numFmtId="0" fontId="60" fillId="20" borderId="14" xfId="0" applyFont="1" applyFill="1" applyBorder="1" applyAlignment="1">
      <alignment horizontal="left" vertical="center" wrapText="1" indent="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2" xfId="18" applyFont="1" applyBorder="1" applyAlignment="1" applyProtection="1">
      <alignment horizontal="center" vertical="top" wrapText="1"/>
      <protection locked="0"/>
    </xf>
    <xf numFmtId="0" fontId="52" fillId="0" borderId="143"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4" borderId="0" xfId="18" applyFont="1" applyFill="1" applyAlignment="1">
      <alignment horizontal="center" vertical="center"/>
    </xf>
    <xf numFmtId="0" fontId="76" fillId="0" borderId="138"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2" xfId="18" applyFont="1" applyBorder="1" applyAlignment="1" applyProtection="1">
      <alignment horizontal="center" vertical="top" wrapText="1"/>
      <protection locked="0"/>
    </xf>
    <xf numFmtId="0" fontId="7" fillId="0" borderId="143" xfId="18" applyFont="1" applyBorder="1" applyAlignment="1" applyProtection="1">
      <alignment horizontal="center"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4" borderId="17" xfId="3" applyNumberFormat="1" applyFont="1" applyFill="1" applyBorder="1" applyAlignment="1">
      <alignment horizontal="left" vertical="top" wrapText="1"/>
    </xf>
    <xf numFmtId="0" fontId="58" fillId="24" borderId="0" xfId="3" applyFont="1" applyFill="1" applyBorder="1" applyAlignment="1">
      <alignment vertical="top"/>
    </xf>
    <xf numFmtId="0" fontId="58" fillId="24"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4" xfId="3" applyFont="1" applyBorder="1" applyAlignment="1">
      <alignment horizontal="center" vertical="center" wrapText="1"/>
    </xf>
    <xf numFmtId="0" fontId="76" fillId="0" borderId="134" xfId="3" applyNumberFormat="1" applyFont="1" applyBorder="1" applyAlignment="1">
      <alignment horizontal="center"/>
    </xf>
    <xf numFmtId="0" fontId="60" fillId="0" borderId="135" xfId="3" applyNumberFormat="1" applyFont="1" applyBorder="1" applyAlignment="1" applyProtection="1">
      <alignment horizontal="center"/>
      <protection locked="0"/>
    </xf>
    <xf numFmtId="171" fontId="60" fillId="0" borderId="135" xfId="3" applyNumberFormat="1" applyFont="1" applyBorder="1" applyAlignment="1" applyProtection="1">
      <alignment horizontal="center"/>
      <protection locked="0"/>
    </xf>
    <xf numFmtId="0" fontId="60" fillId="0" borderId="135"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3" borderId="13" xfId="3" applyFont="1" applyFill="1" applyBorder="1" applyAlignment="1">
      <alignment horizontal="center" vertical="center" wrapText="1"/>
    </xf>
    <xf numFmtId="0" fontId="68" fillId="13" borderId="21" xfId="3" applyFont="1" applyFill="1" applyBorder="1" applyAlignment="1">
      <alignment horizontal="center" vertical="center" wrapText="1"/>
    </xf>
    <xf numFmtId="0" fontId="68" fillId="13" borderId="14" xfId="3" applyFont="1" applyFill="1" applyBorder="1" applyAlignment="1">
      <alignment horizontal="center" vertical="center" wrapText="1"/>
    </xf>
    <xf numFmtId="0" fontId="60" fillId="0" borderId="0" xfId="3" applyFont="1" applyBorder="1" applyAlignment="1">
      <alignment wrapText="1"/>
    </xf>
    <xf numFmtId="0" fontId="112" fillId="0" borderId="113"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2" fillId="0" borderId="117"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3" borderId="126" xfId="0" applyFont="1" applyFill="1" applyBorder="1" applyAlignment="1">
      <alignment horizontal="center" vertical="center"/>
    </xf>
    <xf numFmtId="0" fontId="115" fillId="13" borderId="129" xfId="0" applyFont="1" applyFill="1" applyBorder="1" applyAlignment="1">
      <alignment horizontal="center" vertical="center"/>
    </xf>
    <xf numFmtId="0" fontId="115" fillId="13" borderId="154" xfId="0" applyFont="1" applyFill="1" applyBorder="1" applyAlignment="1">
      <alignment horizontal="center" vertical="center"/>
    </xf>
    <xf numFmtId="164" fontId="115" fillId="13" borderId="17" xfId="0" applyNumberFormat="1" applyFont="1" applyFill="1" applyBorder="1" applyAlignment="1">
      <alignment horizontal="center" vertical="center"/>
    </xf>
    <xf numFmtId="164" fontId="115" fillId="13" borderId="0" xfId="0" applyNumberFormat="1" applyFont="1" applyFill="1" applyBorder="1" applyAlignment="1">
      <alignment horizontal="center" vertical="center"/>
    </xf>
    <xf numFmtId="164" fontId="115" fillId="13" borderId="63" xfId="0" applyNumberFormat="1" applyFont="1" applyFill="1" applyBorder="1" applyAlignment="1">
      <alignment horizontal="center" vertical="center"/>
    </xf>
    <xf numFmtId="164" fontId="64" fillId="13" borderId="126" xfId="0" applyNumberFormat="1" applyFont="1" applyFill="1" applyBorder="1" applyAlignment="1">
      <alignment horizontal="center" vertical="top"/>
    </xf>
    <xf numFmtId="164" fontId="116" fillId="13" borderId="129" xfId="0" applyNumberFormat="1" applyFont="1" applyFill="1" applyBorder="1" applyAlignment="1">
      <alignment horizontal="center" vertical="top"/>
    </xf>
    <xf numFmtId="164" fontId="116" fillId="13" borderId="154"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9" xfId="0" applyNumberFormat="1" applyFont="1" applyBorder="1" applyAlignment="1">
      <alignment horizontal="left" vertical="center" wrapText="1"/>
    </xf>
    <xf numFmtId="0" fontId="60" fillId="0" borderId="127"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7" xfId="3" applyNumberFormat="1" applyFont="1" applyBorder="1" applyProtection="1"/>
    <xf numFmtId="0" fontId="58" fillId="0" borderId="148"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8" xfId="3" applyNumberFormat="1"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8" fillId="0" borderId="149" xfId="3" applyFont="1" applyBorder="1" applyAlignment="1" applyProtection="1">
      <alignment horizontal="left" indent="1"/>
      <protection locked="0"/>
    </xf>
    <xf numFmtId="0" fontId="60" fillId="0" borderId="0" xfId="3" applyFont="1" applyAlignment="1">
      <alignment horizontal="center" vertical="center"/>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50" xfId="3" applyNumberFormat="1" applyFont="1" applyBorder="1" applyAlignment="1" applyProtection="1">
      <protection locked="0"/>
    </xf>
    <xf numFmtId="0" fontId="68" fillId="0" borderId="151" xfId="3" applyFont="1" applyBorder="1" applyAlignment="1" applyProtection="1">
      <protection locked="0"/>
    </xf>
    <xf numFmtId="0" fontId="65" fillId="0" borderId="0" xfId="3" applyFont="1" applyBorder="1" applyAlignment="1" applyProtection="1">
      <alignment horizontal="left" vertical="top" wrapText="1"/>
    </xf>
    <xf numFmtId="0" fontId="68" fillId="0" borderId="0" xfId="3" applyNumberFormat="1" applyFont="1" applyAlignment="1">
      <alignment horizont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150"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1"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50" xfId="3" applyFont="1" applyBorder="1" applyAlignment="1" applyProtection="1">
      <alignment horizontal="center"/>
    </xf>
    <xf numFmtId="0" fontId="65" fillId="0" borderId="76" xfId="3" applyFont="1" applyBorder="1" applyAlignment="1" applyProtection="1">
      <alignment horizontal="center"/>
    </xf>
    <xf numFmtId="0" fontId="65" fillId="0" borderId="151" xfId="3" applyFont="1" applyBorder="1" applyAlignment="1" applyProtection="1">
      <alignment horizontal="center"/>
    </xf>
    <xf numFmtId="38" fontId="65" fillId="0" borderId="150"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1" xfId="3" applyNumberFormat="1" applyFont="1" applyBorder="1" applyAlignment="1" applyProtection="1">
      <alignment horizontal="right" vertical="center"/>
      <protection locked="0"/>
    </xf>
    <xf numFmtId="0" fontId="67" fillId="0" borderId="150"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1"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50" xfId="3" applyNumberFormat="1" applyFont="1" applyBorder="1" applyProtection="1">
      <protection locked="0"/>
    </xf>
    <xf numFmtId="6" fontId="65" fillId="0" borderId="151"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13" fillId="0" borderId="0" xfId="3"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0" fontId="13" fillId="0" borderId="0" xfId="3" applyFont="1" applyFill="1" applyBorder="1" applyAlignment="1" applyProtection="1">
      <alignment horizontal="left" vertical="top" wrapText="1"/>
      <protection locked="0"/>
    </xf>
    <xf numFmtId="0" fontId="13" fillId="0" borderId="0" xfId="3" applyFill="1" applyAlignment="1" applyProtection="1">
      <alignment horizontal="left" vertical="top" wrapText="1"/>
      <protection locked="0"/>
    </xf>
    <xf numFmtId="8" fontId="13" fillId="0" borderId="0" xfId="3" applyNumberFormat="1" applyAlignment="1" applyProtection="1">
      <alignment horizontal="left" vertical="top" wrapText="1"/>
      <protection locked="0"/>
    </xf>
    <xf numFmtId="0" fontId="13" fillId="0" borderId="0" xfId="3"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13" fillId="0" borderId="0" xfId="3" applyAlignment="1" applyProtection="1">
      <alignment horizontal="left" wrapText="1"/>
      <protection locked="0"/>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5" xfId="3" applyFont="1" applyBorder="1" applyAlignment="1" applyProtection="1">
      <alignment horizontal="center" vertical="center" wrapText="1"/>
    </xf>
    <xf numFmtId="0" fontId="60" fillId="0" borderId="0" xfId="3" applyFont="1" applyFill="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25">
    <cellStyle name="Comma" xfId="1" builtinId="3"/>
    <cellStyle name="Currency" xfId="21" builtinId="4"/>
    <cellStyle name="Hyperlink" xfId="2" builtinId="8"/>
    <cellStyle name="Hyperlink 2" xfId="15"/>
    <cellStyle name="Normal" xfId="0" builtinId="0"/>
    <cellStyle name="Normal 2" xfId="3"/>
    <cellStyle name="Normal 3" xfId="4"/>
    <cellStyle name="Normal 3 2" xfId="14"/>
    <cellStyle name="Normal 3 2 2" xfId="18"/>
    <cellStyle name="Normal 3 2_SF&amp;QC Sec-2" xfId="24"/>
    <cellStyle name="Normal 3_SF&amp;QC Sec-2" xfId="23"/>
    <cellStyle name="Normal 4" xfId="16"/>
    <cellStyle name="Normal 5" xfId="17"/>
    <cellStyle name="Normal 6" xfId="19"/>
    <cellStyle name="Normal 7" xfId="20"/>
    <cellStyle name="Normal 8"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46</xdr:row>
          <xdr:rowOff>95250</xdr:rowOff>
        </xdr:to>
        <xdr:sp macro="" textlink="">
          <xdr:nvSpPr>
            <xdr:cNvPr id="94209" name="Object 1" hidden="1">
              <a:extLst>
                <a:ext uri="{63B3BB69-23CF-44E3-9099-C40C66FF867C}">
                  <a14:compatExt spid="_x0000_s94209"/>
                </a:ext>
                <a:ext uri="{FF2B5EF4-FFF2-40B4-BE49-F238E27FC236}">
                  <a16:creationId xmlns:a16="http://schemas.microsoft.com/office/drawing/2014/main" id="{00000000-0008-0000-2400-0000017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9</xdr:col>
          <xdr:colOff>342900</xdr:colOff>
          <xdr:row>94</xdr:row>
          <xdr:rowOff>95250</xdr:rowOff>
        </xdr:to>
        <xdr:sp macro="" textlink="">
          <xdr:nvSpPr>
            <xdr:cNvPr id="94210" name="Object 2" hidden="1">
              <a:extLst>
                <a:ext uri="{63B3BB69-23CF-44E3-9099-C40C66FF867C}">
                  <a14:compatExt spid="_x0000_s94210"/>
                </a:ext>
                <a:ext uri="{FF2B5EF4-FFF2-40B4-BE49-F238E27FC236}">
                  <a16:creationId xmlns:a16="http://schemas.microsoft.com/office/drawing/2014/main" id="{00000000-0008-0000-2400-0000027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0</xdr:rowOff>
        </xdr:from>
        <xdr:to>
          <xdr:col>9</xdr:col>
          <xdr:colOff>342900</xdr:colOff>
          <xdr:row>142</xdr:row>
          <xdr:rowOff>95250</xdr:rowOff>
        </xdr:to>
        <xdr:sp macro="" textlink="">
          <xdr:nvSpPr>
            <xdr:cNvPr id="94211" name="Object 3" hidden="1">
              <a:extLst>
                <a:ext uri="{63B3BB69-23CF-44E3-9099-C40C66FF867C}">
                  <a14:compatExt spid="_x0000_s94211"/>
                </a:ext>
                <a:ext uri="{FF2B5EF4-FFF2-40B4-BE49-F238E27FC236}">
                  <a16:creationId xmlns:a16="http://schemas.microsoft.com/office/drawing/2014/main" id="{00000000-0008-0000-2400-0000037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962025</xdr:colOff>
          <xdr:row>0</xdr:row>
          <xdr:rowOff>76200</xdr:rowOff>
        </xdr:from>
        <xdr:to>
          <xdr:col>1</xdr:col>
          <xdr:colOff>1876425</xdr:colOff>
          <xdr:row>4</xdr:row>
          <xdr:rowOff>114300</xdr:rowOff>
        </xdr:to>
        <xdr:sp macro="" textlink="">
          <xdr:nvSpPr>
            <xdr:cNvPr id="58371" name="Object 3" hidden="1">
              <a:extLst>
                <a:ext uri="{63B3BB69-23CF-44E3-9099-C40C66FF867C}">
                  <a14:compatExt spid="_x0000_s58371"/>
                </a:ext>
                <a:ext uri="{FF2B5EF4-FFF2-40B4-BE49-F238E27FC236}">
                  <a16:creationId xmlns:a16="http://schemas.microsoft.com/office/drawing/2014/main" id="{00000000-0008-0000-1400-000003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2771775</xdr:colOff>
          <xdr:row>1</xdr:row>
          <xdr:rowOff>19050</xdr:rowOff>
        </xdr:from>
        <xdr:to>
          <xdr:col>1</xdr:col>
          <xdr:colOff>3686175</xdr:colOff>
          <xdr:row>5</xdr:row>
          <xdr:rowOff>57150</xdr:rowOff>
        </xdr:to>
        <xdr:sp macro="" textlink="">
          <xdr:nvSpPr>
            <xdr:cNvPr id="58374" name="Object 6" hidden="1">
              <a:extLst>
                <a:ext uri="{63B3BB69-23CF-44E3-9099-C40C66FF867C}">
                  <a14:compatExt spid="_x0000_s58374"/>
                </a:ext>
                <a:ext uri="{FF2B5EF4-FFF2-40B4-BE49-F238E27FC236}">
                  <a16:creationId xmlns:a16="http://schemas.microsoft.com/office/drawing/2014/main" id="{B2A10A87-5C9E-45C2-AB27-E3A2890796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11.xml"/><Relationship Id="rId1" Type="http://schemas.openxmlformats.org/officeDocument/2006/relationships/printerSettings" Target="../printerSettings/printerSettings37.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C20" sqref="AC2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52" t="s">
        <v>425</v>
      </c>
      <c r="J1" s="2153"/>
      <c r="K1" s="2153"/>
      <c r="L1" s="2153"/>
      <c r="M1" s="2153"/>
      <c r="N1" s="2153"/>
      <c r="O1" s="2153"/>
      <c r="P1" s="2153"/>
      <c r="Q1" s="2153"/>
      <c r="R1" s="2153"/>
      <c r="S1" s="2153"/>
    </row>
    <row r="2" spans="1:28" ht="12" customHeight="1" x14ac:dyDescent="0.2">
      <c r="A2" s="47" t="s">
        <v>1684</v>
      </c>
      <c r="D2" s="48"/>
      <c r="I2" s="2154" t="s">
        <v>1036</v>
      </c>
      <c r="J2" s="2153"/>
      <c r="K2" s="2153"/>
      <c r="L2" s="2153"/>
      <c r="M2" s="2153"/>
      <c r="N2" s="2153"/>
      <c r="O2" s="2153"/>
      <c r="P2" s="2153"/>
      <c r="Q2" s="2153"/>
      <c r="R2" s="2153"/>
      <c r="S2" s="2153"/>
    </row>
    <row r="3" spans="1:28" ht="12" customHeight="1" x14ac:dyDescent="0.2">
      <c r="A3" s="155" t="s">
        <v>1685</v>
      </c>
      <c r="B3" s="156"/>
      <c r="C3" s="156"/>
      <c r="D3" s="157"/>
      <c r="I3" s="2154" t="s">
        <v>54</v>
      </c>
      <c r="J3" s="2153"/>
      <c r="K3" s="2153"/>
      <c r="L3" s="2153"/>
      <c r="M3" s="2153"/>
      <c r="N3" s="2153"/>
      <c r="O3" s="2153"/>
      <c r="P3" s="2153"/>
      <c r="Q3" s="2153"/>
      <c r="R3" s="2153"/>
      <c r="S3" s="2153"/>
    </row>
    <row r="4" spans="1:28" ht="12" customHeight="1" x14ac:dyDescent="0.2">
      <c r="A4" s="37"/>
      <c r="I4" s="2154" t="s">
        <v>545</v>
      </c>
      <c r="J4" s="2153"/>
      <c r="K4" s="2153"/>
      <c r="L4" s="2153"/>
      <c r="M4" s="2153"/>
      <c r="N4" s="2153"/>
      <c r="O4" s="2153"/>
      <c r="P4" s="2153"/>
      <c r="Q4" s="2153"/>
      <c r="R4" s="2153"/>
      <c r="S4" s="2153"/>
    </row>
    <row r="5" spans="1:28" ht="14.1" customHeight="1" x14ac:dyDescent="0.2">
      <c r="B5" s="104" t="s">
        <v>2074</v>
      </c>
      <c r="C5" s="26" t="s">
        <v>966</v>
      </c>
      <c r="D5" s="84"/>
      <c r="E5" s="84"/>
      <c r="H5" s="38"/>
      <c r="I5" s="2162" t="s">
        <v>701</v>
      </c>
      <c r="J5" s="2161"/>
      <c r="K5" s="2161"/>
      <c r="L5" s="2161"/>
      <c r="M5" s="2161"/>
      <c r="N5" s="2161"/>
      <c r="O5" s="2161"/>
      <c r="P5" s="2161"/>
      <c r="Q5" s="2161"/>
      <c r="R5" s="2161"/>
      <c r="S5" s="2161"/>
    </row>
    <row r="6" spans="1:28" ht="14.1" customHeight="1" x14ac:dyDescent="0.2">
      <c r="B6" s="104"/>
      <c r="C6" s="26" t="s">
        <v>967</v>
      </c>
      <c r="D6" s="84"/>
      <c r="E6" s="84"/>
      <c r="I6" s="2160" t="s">
        <v>938</v>
      </c>
      <c r="J6" s="2161"/>
      <c r="K6" s="2161"/>
      <c r="L6" s="2161"/>
      <c r="M6" s="2161"/>
      <c r="N6" s="2161"/>
      <c r="O6" s="2161"/>
      <c r="P6" s="2161"/>
      <c r="Q6" s="2161"/>
      <c r="R6" s="2161"/>
      <c r="S6" s="2161"/>
    </row>
    <row r="7" spans="1:28" ht="12.2" customHeight="1" x14ac:dyDescent="0.2">
      <c r="I7" s="2155">
        <v>43281</v>
      </c>
      <c r="J7" s="2156"/>
      <c r="K7" s="2156"/>
      <c r="L7" s="2156"/>
      <c r="M7" s="2156"/>
      <c r="N7" s="2156"/>
      <c r="O7" s="2156"/>
      <c r="P7" s="2156"/>
      <c r="Q7" s="2156"/>
      <c r="R7" s="2156"/>
      <c r="S7" s="215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57" t="s">
        <v>695</v>
      </c>
      <c r="J9" s="2158"/>
      <c r="K9" s="2158"/>
      <c r="L9" s="2158"/>
      <c r="M9" s="2158"/>
      <c r="N9" s="2158"/>
      <c r="O9" s="2158"/>
      <c r="P9" s="2158"/>
      <c r="Q9" s="2158"/>
      <c r="R9" s="2158"/>
      <c r="S9" s="2159"/>
      <c r="T9" s="2173" t="s">
        <v>554</v>
      </c>
      <c r="U9" s="2174"/>
      <c r="V9" s="2174"/>
      <c r="W9" s="2174"/>
      <c r="X9" s="2174"/>
      <c r="Y9" s="2174"/>
      <c r="Z9" s="2174"/>
      <c r="AA9" s="2175"/>
    </row>
    <row r="10" spans="1:28" ht="13.5" customHeight="1" x14ac:dyDescent="0.2">
      <c r="A10" s="2180" t="s">
        <v>696</v>
      </c>
      <c r="B10" s="2181"/>
      <c r="C10" s="2181"/>
      <c r="D10" s="2181"/>
      <c r="E10" s="2181"/>
      <c r="F10" s="2181"/>
      <c r="G10" s="2181"/>
      <c r="H10" s="2182"/>
      <c r="I10" s="29"/>
      <c r="J10" s="30"/>
      <c r="K10" s="28"/>
      <c r="R10" s="30"/>
      <c r="S10" s="30"/>
      <c r="T10" s="2176"/>
      <c r="U10" s="2161"/>
      <c r="V10" s="2161"/>
      <c r="W10" s="2161"/>
      <c r="X10" s="2161"/>
      <c r="Y10" s="2161"/>
      <c r="Z10" s="2161"/>
      <c r="AA10" s="2167"/>
    </row>
    <row r="11" spans="1:28" ht="14.25" customHeight="1" x14ac:dyDescent="0.2">
      <c r="A11" s="2183" t="s">
        <v>1012</v>
      </c>
      <c r="B11" s="2184"/>
      <c r="C11" s="2184"/>
      <c r="D11" s="2184"/>
      <c r="E11" s="2184"/>
      <c r="F11" s="2184"/>
      <c r="G11" s="2184"/>
      <c r="H11" s="2185"/>
      <c r="I11" s="27"/>
      <c r="J11" s="74"/>
      <c r="K11" s="27"/>
      <c r="O11" s="148" t="s">
        <v>2074</v>
      </c>
      <c r="P11" s="100" t="s">
        <v>210</v>
      </c>
      <c r="Q11" s="30"/>
      <c r="R11" s="28"/>
      <c r="S11" s="27"/>
      <c r="T11" s="2177"/>
      <c r="U11" s="2178"/>
      <c r="V11" s="2178"/>
      <c r="W11" s="2178"/>
      <c r="X11" s="2178"/>
      <c r="Y11" s="2178"/>
      <c r="Z11" s="2178"/>
      <c r="AA11" s="217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87">
        <v>17016170002</v>
      </c>
      <c r="B13" s="2188"/>
      <c r="C13" s="2188"/>
      <c r="D13" s="2188"/>
      <c r="E13" s="2188"/>
      <c r="F13" s="2188"/>
      <c r="G13" s="2188"/>
      <c r="H13" s="2189"/>
      <c r="I13" s="31"/>
      <c r="J13" s="30"/>
      <c r="K13" s="28"/>
      <c r="L13" s="30"/>
      <c r="M13" s="30"/>
      <c r="N13" s="30"/>
      <c r="O13" s="30"/>
      <c r="P13" s="30"/>
      <c r="Q13" s="30"/>
      <c r="R13" s="30"/>
      <c r="S13" s="30"/>
      <c r="T13" s="2192" t="s">
        <v>2088</v>
      </c>
      <c r="U13" s="2193"/>
      <c r="V13" s="2193"/>
      <c r="W13" s="2193"/>
      <c r="X13" s="2193"/>
      <c r="Y13" s="2194"/>
      <c r="Z13" s="2194"/>
      <c r="AA13" s="219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86" t="s">
        <v>2076</v>
      </c>
      <c r="B15" s="2190"/>
      <c r="C15" s="2190"/>
      <c r="D15" s="2190"/>
      <c r="E15" s="2190"/>
      <c r="F15" s="2190"/>
      <c r="G15" s="2190"/>
      <c r="H15" s="2191"/>
      <c r="T15" s="2196" t="s">
        <v>2089</v>
      </c>
      <c r="U15" s="2140"/>
      <c r="V15" s="2140"/>
      <c r="W15" s="2140"/>
      <c r="X15" s="2140"/>
      <c r="Y15" s="2197"/>
      <c r="Z15" s="2197"/>
      <c r="AA15" s="219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46" t="s">
        <v>2075</v>
      </c>
      <c r="B17" s="2147"/>
      <c r="C17" s="2147"/>
      <c r="D17" s="2147"/>
      <c r="E17" s="2147"/>
      <c r="F17" s="2147"/>
      <c r="G17" s="2147"/>
      <c r="H17" s="2172"/>
      <c r="T17" s="2203" t="s">
        <v>2090</v>
      </c>
      <c r="U17" s="2204"/>
      <c r="V17" s="2204"/>
      <c r="W17" s="2204"/>
      <c r="X17" s="2204"/>
      <c r="Y17" s="2204"/>
      <c r="Z17" s="2204"/>
      <c r="AA17" s="2205"/>
    </row>
    <row r="18" spans="1:27" ht="13.5" customHeight="1" x14ac:dyDescent="0.2">
      <c r="A18" s="85" t="s">
        <v>551</v>
      </c>
      <c r="B18" s="76"/>
      <c r="C18" s="72"/>
      <c r="D18" s="76"/>
      <c r="E18" s="76"/>
      <c r="F18" s="76"/>
      <c r="G18" s="76"/>
      <c r="H18" s="56"/>
      <c r="I18" s="2171" t="s">
        <v>697</v>
      </c>
      <c r="J18" s="2122"/>
      <c r="K18" s="2122"/>
      <c r="L18" s="2122"/>
      <c r="M18" s="2122"/>
      <c r="N18" s="2122"/>
      <c r="O18" s="2122"/>
      <c r="P18" s="2122"/>
      <c r="Q18" s="2122"/>
      <c r="R18" s="2122"/>
      <c r="S18" s="2123"/>
      <c r="T18" s="85" t="s">
        <v>735</v>
      </c>
      <c r="U18" s="51"/>
      <c r="V18" s="72"/>
      <c r="W18" s="50"/>
      <c r="X18" s="85" t="s">
        <v>284</v>
      </c>
      <c r="Y18" s="81"/>
      <c r="Z18" s="159" t="s">
        <v>698</v>
      </c>
      <c r="AA18" s="46"/>
    </row>
    <row r="19" spans="1:27" ht="13.5" customHeight="1" x14ac:dyDescent="0.2">
      <c r="A19" s="2186" t="s">
        <v>2095</v>
      </c>
      <c r="B19" s="2132"/>
      <c r="C19" s="2132"/>
      <c r="D19" s="2132"/>
      <c r="E19" s="2132"/>
      <c r="F19" s="2132"/>
      <c r="G19" s="2132"/>
      <c r="H19" s="2112"/>
      <c r="I19" s="30"/>
      <c r="J19" s="99"/>
      <c r="K19" s="40"/>
      <c r="L19" s="38"/>
      <c r="M19" s="112" t="s">
        <v>333</v>
      </c>
      <c r="P19" s="27"/>
      <c r="Q19" s="27"/>
      <c r="R19" s="27"/>
      <c r="S19" s="31"/>
      <c r="T19" s="2186" t="s">
        <v>2091</v>
      </c>
      <c r="U19" s="2111"/>
      <c r="V19" s="2111"/>
      <c r="W19" s="2112"/>
      <c r="X19" s="2201" t="s">
        <v>2092</v>
      </c>
      <c r="Y19" s="2202"/>
      <c r="Z19" s="2199">
        <v>60162</v>
      </c>
      <c r="AA19" s="220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10" t="s">
        <v>2096</v>
      </c>
      <c r="B21" s="2111"/>
      <c r="C21" s="2111"/>
      <c r="D21" s="2111"/>
      <c r="E21" s="2111"/>
      <c r="F21" s="2111"/>
      <c r="G21" s="2111"/>
      <c r="H21" s="2112"/>
      <c r="I21" s="2166" t="s">
        <v>699</v>
      </c>
      <c r="J21" s="2161"/>
      <c r="K21" s="2161"/>
      <c r="L21" s="2161"/>
      <c r="M21" s="2161"/>
      <c r="N21" s="2161"/>
      <c r="O21" s="2161"/>
      <c r="P21" s="2161"/>
      <c r="Q21" s="2161"/>
      <c r="R21" s="2161"/>
      <c r="S21" s="2167"/>
      <c r="T21" s="2210" t="s">
        <v>2093</v>
      </c>
      <c r="U21" s="2211"/>
      <c r="V21" s="2211"/>
      <c r="W21" s="2211"/>
      <c r="X21" s="2216" t="s">
        <v>2094</v>
      </c>
      <c r="Y21" s="2217"/>
      <c r="Z21" s="2217"/>
      <c r="AA21" s="2218"/>
    </row>
    <row r="22" spans="1:27" ht="13.5" customHeight="1" x14ac:dyDescent="0.2">
      <c r="A22" s="87" t="s">
        <v>552</v>
      </c>
      <c r="B22" s="59"/>
      <c r="C22" s="59"/>
      <c r="D22" s="59"/>
      <c r="E22" s="59"/>
      <c r="F22" s="59"/>
      <c r="G22" s="59"/>
      <c r="H22" s="60"/>
      <c r="I22" s="2168" t="s">
        <v>1504</v>
      </c>
      <c r="J22" s="2169"/>
      <c r="K22" s="2169"/>
      <c r="L22" s="2169"/>
      <c r="M22" s="2169"/>
      <c r="N22" s="2169"/>
      <c r="O22" s="2169"/>
      <c r="P22" s="2169"/>
      <c r="Q22" s="2169"/>
      <c r="R22" s="2169"/>
      <c r="S22" s="2170"/>
      <c r="T22" s="85" t="s">
        <v>1596</v>
      </c>
      <c r="U22" s="51"/>
      <c r="V22" s="72"/>
      <c r="W22" s="51"/>
      <c r="X22" s="160" t="s">
        <v>1385</v>
      </c>
      <c r="Z22" s="45"/>
      <c r="AA22" s="46"/>
    </row>
    <row r="23" spans="1:27" ht="13.5" customHeight="1" x14ac:dyDescent="0.2">
      <c r="A23" s="2163"/>
      <c r="B23" s="2164"/>
      <c r="C23" s="2164"/>
      <c r="D23" s="2164"/>
      <c r="E23" s="2164"/>
      <c r="F23" s="2164"/>
      <c r="G23" s="2164"/>
      <c r="H23" s="2165"/>
      <c r="T23" s="2146"/>
      <c r="U23" s="2209"/>
      <c r="V23" s="2209"/>
      <c r="W23" s="2209"/>
      <c r="X23" s="2213"/>
      <c r="Y23" s="2214"/>
      <c r="Z23" s="2214"/>
      <c r="AA23" s="2215"/>
    </row>
    <row r="24" spans="1:27" ht="14.1" customHeight="1" x14ac:dyDescent="0.2">
      <c r="A24" s="88" t="s">
        <v>698</v>
      </c>
      <c r="B24" s="49"/>
      <c r="C24" s="49"/>
      <c r="D24" s="49"/>
      <c r="E24" s="49"/>
      <c r="F24" s="49"/>
      <c r="G24" s="49"/>
      <c r="H24" s="61"/>
      <c r="J24" s="2133">
        <f>IF(B5="x",IF(AUDITCHECK!D29="AFR form Incomplete.","",IF(AUDITCHECK!D29="Deficit reduction plan is required.","School District must complete a deficit reduction plan in the 2018-2019 Budget",)),"")</f>
        <v>0</v>
      </c>
      <c r="K24" s="2133"/>
      <c r="L24" s="2133"/>
      <c r="M24" s="2133"/>
      <c r="N24" s="2133"/>
      <c r="O24" s="2133"/>
      <c r="P24" s="2133"/>
      <c r="Q24" s="2133"/>
      <c r="R24" s="2133"/>
      <c r="S24" s="2134"/>
      <c r="T24" s="105" t="s">
        <v>552</v>
      </c>
      <c r="U24" s="106"/>
      <c r="V24" s="106"/>
      <c r="W24" s="106"/>
      <c r="X24" s="107"/>
      <c r="Y24" s="107"/>
      <c r="Z24" s="107"/>
      <c r="AA24" s="108"/>
    </row>
    <row r="25" spans="1:27" ht="14.1" customHeight="1" x14ac:dyDescent="0.2">
      <c r="A25" s="2110">
        <v>60411</v>
      </c>
      <c r="B25" s="2111"/>
      <c r="C25" s="2111"/>
      <c r="D25" s="2111"/>
      <c r="E25" s="2111"/>
      <c r="F25" s="2111"/>
      <c r="G25" s="2111"/>
      <c r="H25" s="2112"/>
      <c r="I25" s="113"/>
      <c r="J25" s="2135"/>
      <c r="K25" s="2135"/>
      <c r="L25" s="2135"/>
      <c r="M25" s="2135"/>
      <c r="N25" s="2135"/>
      <c r="O25" s="2135"/>
      <c r="P25" s="2135"/>
      <c r="Q25" s="2135"/>
      <c r="R25" s="2135"/>
      <c r="S25" s="2136"/>
      <c r="T25" s="2206" t="s">
        <v>2108</v>
      </c>
      <c r="U25" s="2207"/>
      <c r="V25" s="2207"/>
      <c r="W25" s="2207"/>
      <c r="X25" s="2207"/>
      <c r="Y25" s="2207"/>
      <c r="Z25" s="2207"/>
      <c r="AA25" s="220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21" t="s">
        <v>1591</v>
      </c>
      <c r="J27" s="2122"/>
      <c r="K27" s="2122"/>
      <c r="L27" s="2122"/>
      <c r="M27" s="2122"/>
      <c r="N27" s="2122"/>
      <c r="O27" s="2122"/>
      <c r="P27" s="2122"/>
      <c r="Q27" s="2122"/>
      <c r="R27" s="2122"/>
      <c r="S27" s="212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32"/>
      <c r="Q35" s="2111"/>
      <c r="R35" s="21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46" t="s">
        <v>2097</v>
      </c>
      <c r="B38" s="2147"/>
      <c r="C38" s="2147"/>
      <c r="D38" s="2147"/>
      <c r="E38" s="2147"/>
      <c r="F38" s="2111"/>
      <c r="G38" s="2111"/>
      <c r="H38" s="2112"/>
      <c r="I38" s="2139" t="s">
        <v>2100</v>
      </c>
      <c r="J38" s="2140"/>
      <c r="K38" s="2140"/>
      <c r="L38" s="2140"/>
      <c r="M38" s="2140"/>
      <c r="N38" s="2140"/>
      <c r="O38" s="2140"/>
      <c r="P38" s="2141"/>
      <c r="Q38" s="2141"/>
      <c r="R38" s="2141"/>
      <c r="S38" s="2142"/>
      <c r="T38" s="2196" t="s">
        <v>2104</v>
      </c>
      <c r="U38" s="2140"/>
      <c r="V38" s="2140"/>
      <c r="W38" s="2140"/>
      <c r="X38" s="2141"/>
      <c r="Y38" s="2141"/>
      <c r="Z38" s="2141"/>
      <c r="AA38" s="2142"/>
    </row>
    <row r="39" spans="1:27" ht="12" customHeight="1" x14ac:dyDescent="0.2">
      <c r="A39" s="2116" t="s">
        <v>552</v>
      </c>
      <c r="B39" s="2117"/>
      <c r="C39" s="72"/>
      <c r="D39" s="69"/>
      <c r="E39" s="69"/>
      <c r="F39" s="79"/>
      <c r="G39" s="69"/>
      <c r="H39" s="56"/>
      <c r="I39" s="2116" t="s">
        <v>552</v>
      </c>
      <c r="J39" s="2117"/>
      <c r="K39" s="2117"/>
      <c r="L39" s="2117"/>
      <c r="M39" s="2117"/>
      <c r="N39" s="67"/>
      <c r="O39" s="72"/>
      <c r="P39" s="72"/>
      <c r="Q39" s="78"/>
      <c r="R39" s="72"/>
      <c r="S39" s="56"/>
      <c r="T39" s="72" t="s">
        <v>552</v>
      </c>
      <c r="U39" s="51"/>
      <c r="V39" s="72"/>
      <c r="W39" s="50"/>
      <c r="X39" s="78"/>
      <c r="Y39" s="45"/>
      <c r="Z39" s="45"/>
      <c r="AA39" s="46"/>
    </row>
    <row r="40" spans="1:27" ht="13.5" customHeight="1" x14ac:dyDescent="0.2">
      <c r="A40" s="2124"/>
      <c r="B40" s="2125"/>
      <c r="C40" s="2126"/>
      <c r="D40" s="2126"/>
      <c r="E40" s="2126"/>
      <c r="F40" s="2127"/>
      <c r="G40" s="2127"/>
      <c r="H40" s="2128"/>
      <c r="I40" s="2149" t="s">
        <v>2101</v>
      </c>
      <c r="J40" s="2150"/>
      <c r="K40" s="2150"/>
      <c r="L40" s="2150"/>
      <c r="M40" s="2150"/>
      <c r="N40" s="2150"/>
      <c r="O40" s="2150"/>
      <c r="P40" s="2150"/>
      <c r="Q40" s="2150"/>
      <c r="R40" s="2150"/>
      <c r="S40" s="2151"/>
      <c r="T40" s="2149" t="s">
        <v>2105</v>
      </c>
      <c r="U40" s="2212"/>
      <c r="V40" s="2150"/>
      <c r="W40" s="2150"/>
      <c r="X40" s="2150"/>
      <c r="Y40" s="2150"/>
      <c r="Z40" s="2150"/>
      <c r="AA40" s="215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38" t="s">
        <v>2098</v>
      </c>
      <c r="B42" s="2130"/>
      <c r="C42" s="2131"/>
      <c r="D42" s="2129" t="s">
        <v>2099</v>
      </c>
      <c r="E42" s="2130"/>
      <c r="F42" s="2130"/>
      <c r="G42" s="2130"/>
      <c r="H42" s="2131"/>
      <c r="I42" s="2113" t="s">
        <v>2102</v>
      </c>
      <c r="J42" s="2114"/>
      <c r="K42" s="2114"/>
      <c r="L42" s="2114"/>
      <c r="M42" s="2114"/>
      <c r="N42" s="2114"/>
      <c r="O42" s="2115"/>
      <c r="P42" s="2148" t="s">
        <v>2103</v>
      </c>
      <c r="Q42" s="2114"/>
      <c r="R42" s="2114"/>
      <c r="S42" s="2115"/>
      <c r="T42" s="2113" t="s">
        <v>2106</v>
      </c>
      <c r="U42" s="2114"/>
      <c r="V42" s="2114"/>
      <c r="W42" s="2115"/>
      <c r="X42" s="2148" t="s">
        <v>2107</v>
      </c>
      <c r="Y42" s="2114"/>
      <c r="Z42" s="2114"/>
      <c r="AA42" s="211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2073</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D25" sqref="D2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352" t="s">
        <v>1901</v>
      </c>
      <c r="B2" s="1547" t="s">
        <v>2031</v>
      </c>
      <c r="C2" s="715" t="s">
        <v>1906</v>
      </c>
      <c r="D2" s="715" t="s">
        <v>1907</v>
      </c>
      <c r="E2" s="715" t="s">
        <v>1908</v>
      </c>
      <c r="F2" s="715" t="s">
        <v>1909</v>
      </c>
    </row>
    <row r="3" spans="1:6" ht="12" customHeight="1" x14ac:dyDescent="0.2">
      <c r="A3" s="2353"/>
      <c r="B3" s="1544"/>
      <c r="C3" s="1545"/>
      <c r="D3" s="1546" t="s">
        <v>274</v>
      </c>
      <c r="E3" s="1545"/>
      <c r="F3" s="1546" t="s">
        <v>275</v>
      </c>
    </row>
    <row r="4" spans="1:6" ht="13.7" customHeight="1" x14ac:dyDescent="0.2">
      <c r="A4" s="716" t="s">
        <v>1217</v>
      </c>
      <c r="B4" s="1768">
        <f>'Revenues 9-14'!C5</f>
        <v>6168065</v>
      </c>
      <c r="C4" s="1543">
        <v>3542350</v>
      </c>
      <c r="D4" s="1771">
        <f>B4-C4</f>
        <v>2625715</v>
      </c>
      <c r="E4" s="1543">
        <v>9063136</v>
      </c>
      <c r="F4" s="1771">
        <f>E4-C4</f>
        <v>5520786</v>
      </c>
    </row>
    <row r="5" spans="1:6" ht="13.7" customHeight="1" x14ac:dyDescent="0.2">
      <c r="A5" s="716" t="s">
        <v>925</v>
      </c>
      <c r="B5" s="1769">
        <f>'Revenues 9-14'!D5</f>
        <v>889787</v>
      </c>
      <c r="C5" s="585">
        <v>478185</v>
      </c>
      <c r="D5" s="1772">
        <f t="shared" ref="D5:D18" si="0">B5-C5</f>
        <v>411602</v>
      </c>
      <c r="E5" s="585">
        <v>1223441</v>
      </c>
      <c r="F5" s="1772">
        <f>E5-C5</f>
        <v>745256</v>
      </c>
    </row>
    <row r="6" spans="1:6" ht="13.7" customHeight="1" x14ac:dyDescent="0.2">
      <c r="A6" s="716" t="s">
        <v>431</v>
      </c>
      <c r="B6" s="1769">
        <f>'Revenues 9-14'!E5</f>
        <v>859822</v>
      </c>
      <c r="C6" s="585">
        <v>307161</v>
      </c>
      <c r="D6" s="1772">
        <f t="shared" si="0"/>
        <v>552661</v>
      </c>
      <c r="E6" s="585">
        <v>785875</v>
      </c>
      <c r="F6" s="1772">
        <f t="shared" ref="F6:F18" si="1">E6-C6</f>
        <v>478714</v>
      </c>
    </row>
    <row r="7" spans="1:6" ht="13.7" customHeight="1" x14ac:dyDescent="0.2">
      <c r="A7" s="716" t="s">
        <v>157</v>
      </c>
      <c r="B7" s="1769">
        <f>'Revenues 9-14'!F5</f>
        <v>860085</v>
      </c>
      <c r="C7" s="585">
        <v>293839</v>
      </c>
      <c r="D7" s="1772">
        <f t="shared" si="0"/>
        <v>566246</v>
      </c>
      <c r="E7" s="585">
        <v>751792</v>
      </c>
      <c r="F7" s="1772">
        <f t="shared" si="1"/>
        <v>457953</v>
      </c>
    </row>
    <row r="8" spans="1:6" ht="13.7" customHeight="1" x14ac:dyDescent="0.2">
      <c r="A8" s="716" t="s">
        <v>1241</v>
      </c>
      <c r="B8" s="1769">
        <f>'Revenues 9-14'!G5</f>
        <v>576770</v>
      </c>
      <c r="C8" s="585">
        <v>313366</v>
      </c>
      <c r="D8" s="1772">
        <f t="shared" si="0"/>
        <v>263404</v>
      </c>
      <c r="E8" s="585">
        <v>801750</v>
      </c>
      <c r="F8" s="1772">
        <f t="shared" si="1"/>
        <v>488384</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80946</v>
      </c>
      <c r="C10" s="585">
        <v>43462</v>
      </c>
      <c r="D10" s="1772">
        <f t="shared" si="0"/>
        <v>37484</v>
      </c>
      <c r="E10" s="585">
        <v>111197</v>
      </c>
      <c r="F10" s="1772">
        <f t="shared" si="1"/>
        <v>67735</v>
      </c>
    </row>
    <row r="11" spans="1:6" x14ac:dyDescent="0.2">
      <c r="A11" s="716" t="s">
        <v>429</v>
      </c>
      <c r="B11" s="1769">
        <f>'Revenues 9-14'!J5</f>
        <v>-74421</v>
      </c>
      <c r="C11" s="585">
        <v>0</v>
      </c>
      <c r="D11" s="1772">
        <f t="shared" si="0"/>
        <v>-74421</v>
      </c>
      <c r="E11" s="585">
        <v>0</v>
      </c>
      <c r="F11" s="1772">
        <f t="shared" si="1"/>
        <v>0</v>
      </c>
    </row>
    <row r="12" spans="1:6" ht="13.7" customHeight="1" x14ac:dyDescent="0.2">
      <c r="A12" s="716" t="s">
        <v>159</v>
      </c>
      <c r="B12" s="1769">
        <f>'Revenues 9-14'!K5</f>
        <v>74866</v>
      </c>
      <c r="C12" s="585">
        <v>0</v>
      </c>
      <c r="D12" s="1772">
        <f t="shared" si="0"/>
        <v>74866</v>
      </c>
      <c r="E12" s="585">
        <v>0</v>
      </c>
      <c r="F12" s="1772">
        <f t="shared" si="1"/>
        <v>0</v>
      </c>
    </row>
    <row r="13" spans="1:6" ht="13.7" customHeight="1" x14ac:dyDescent="0.2">
      <c r="A13" s="716" t="s">
        <v>993</v>
      </c>
      <c r="B13" s="1769">
        <f>SUM('Revenues 9-14'!C6:D6)</f>
        <v>90337</v>
      </c>
      <c r="C13" s="585">
        <v>0</v>
      </c>
      <c r="D13" s="1772">
        <f t="shared" si="0"/>
        <v>90337</v>
      </c>
      <c r="E13" s="585">
        <v>0</v>
      </c>
      <c r="F13" s="1772">
        <f t="shared" si="1"/>
        <v>0</v>
      </c>
    </row>
    <row r="14" spans="1:6" ht="13.7" customHeight="1" x14ac:dyDescent="0.2">
      <c r="A14" s="716" t="s">
        <v>430</v>
      </c>
      <c r="B14" s="1769">
        <f>SUM('Revenues 9-14'!C7:D7,'Revenues 9-14'!F7:H7)</f>
        <v>299357</v>
      </c>
      <c r="C14" s="585">
        <v>0</v>
      </c>
      <c r="D14" s="1772">
        <f t="shared" si="0"/>
        <v>299357</v>
      </c>
      <c r="E14" s="585">
        <v>0</v>
      </c>
      <c r="F14" s="1772">
        <f t="shared" si="1"/>
        <v>0</v>
      </c>
    </row>
    <row r="15" spans="1:6" ht="13.7" customHeight="1" x14ac:dyDescent="0.2">
      <c r="A15" s="716" t="s">
        <v>1220</v>
      </c>
      <c r="B15" s="1769">
        <f>'Revenues 9-14'!E9</f>
        <v>0</v>
      </c>
      <c r="C15" s="585">
        <v>0</v>
      </c>
      <c r="D15" s="1772">
        <f t="shared" si="0"/>
        <v>0</v>
      </c>
      <c r="E15" s="585">
        <v>0</v>
      </c>
      <c r="F15" s="1772">
        <f t="shared" si="1"/>
        <v>0</v>
      </c>
    </row>
    <row r="16" spans="1:6" ht="13.7" customHeight="1" x14ac:dyDescent="0.2">
      <c r="A16" s="716" t="s">
        <v>1221</v>
      </c>
      <c r="B16" s="1769">
        <f>'Revenues 9-14'!G8</f>
        <v>577607</v>
      </c>
      <c r="C16" s="585">
        <v>352524</v>
      </c>
      <c r="D16" s="1772">
        <f t="shared" si="0"/>
        <v>225083</v>
      </c>
      <c r="E16" s="585">
        <v>901935</v>
      </c>
      <c r="F16" s="1772">
        <f t="shared" si="1"/>
        <v>549411</v>
      </c>
    </row>
    <row r="17" spans="1:6" ht="13.7" customHeight="1" x14ac:dyDescent="0.2">
      <c r="A17" s="716" t="s">
        <v>1222</v>
      </c>
      <c r="B17" s="1769">
        <f>'Revenues 9-14'!C10</f>
        <v>0</v>
      </c>
      <c r="C17" s="585">
        <v>0</v>
      </c>
      <c r="D17" s="1772">
        <f t="shared" si="0"/>
        <v>0</v>
      </c>
      <c r="E17" s="585">
        <v>0</v>
      </c>
      <c r="F17" s="1772">
        <f t="shared" si="1"/>
        <v>0</v>
      </c>
    </row>
    <row r="18" spans="1:6" ht="13.7" customHeight="1" x14ac:dyDescent="0.2">
      <c r="A18" s="716" t="s">
        <v>786</v>
      </c>
      <c r="B18" s="1769">
        <f>SUM('Revenues 9-14'!C11:K11)</f>
        <v>0</v>
      </c>
      <c r="C18" s="585">
        <v>0</v>
      </c>
      <c r="D18" s="1772">
        <f t="shared" si="0"/>
        <v>0</v>
      </c>
      <c r="E18" s="585">
        <v>0</v>
      </c>
      <c r="F18" s="1772">
        <f t="shared" si="1"/>
        <v>0</v>
      </c>
    </row>
    <row r="19" spans="1:6" ht="13.7" customHeight="1" thickBot="1" x14ac:dyDescent="0.25">
      <c r="A19" s="1773" t="s">
        <v>1223</v>
      </c>
      <c r="B19" s="1770">
        <f>SUM(B4:B18)</f>
        <v>10403221</v>
      </c>
      <c r="C19" s="1770">
        <f>SUM(C4:C18)</f>
        <v>5330887</v>
      </c>
      <c r="D19" s="1770">
        <f>SUM(D4:D18)</f>
        <v>5072334</v>
      </c>
      <c r="E19" s="1770">
        <f>SUM(E4:E18)</f>
        <v>13639126</v>
      </c>
      <c r="F19" s="1770">
        <f>SUM(F4:F18)</f>
        <v>8308239</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1" colorId="8" zoomScaleNormal="100" workbookViewId="0">
      <selection activeCell="H49" sqref="H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74" t="s">
        <v>650</v>
      </c>
      <c r="B1" s="2372"/>
      <c r="C1" s="722"/>
    </row>
    <row r="2" spans="1:7" ht="33.75" x14ac:dyDescent="0.2">
      <c r="A2" s="2379" t="s">
        <v>1901</v>
      </c>
      <c r="B2" s="2380"/>
      <c r="C2" s="1904" t="s">
        <v>2032</v>
      </c>
      <c r="D2" s="724" t="s">
        <v>2039</v>
      </c>
      <c r="E2" s="724" t="s">
        <v>2040</v>
      </c>
      <c r="F2" s="1904" t="s">
        <v>2033</v>
      </c>
    </row>
    <row r="3" spans="1:7" ht="15.75" customHeight="1" x14ac:dyDescent="0.2">
      <c r="A3" s="2381" t="s">
        <v>1176</v>
      </c>
      <c r="B3" s="2382"/>
      <c r="C3" s="2375"/>
      <c r="D3" s="2376"/>
      <c r="E3" s="2376"/>
      <c r="F3" s="2377"/>
    </row>
    <row r="4" spans="1:7" ht="12.75" customHeight="1" thickBot="1" x14ac:dyDescent="0.25">
      <c r="A4" s="2369" t="s">
        <v>651</v>
      </c>
      <c r="B4" s="2370"/>
      <c r="C4" s="581"/>
      <c r="D4" s="581"/>
      <c r="E4" s="581"/>
      <c r="F4" s="1774">
        <f>SUM(C4+D4)-E4</f>
        <v>0</v>
      </c>
    </row>
    <row r="5" spans="1:7" ht="15.75" customHeight="1" thickTop="1" x14ac:dyDescent="0.2">
      <c r="A5" s="2373" t="s">
        <v>1172</v>
      </c>
      <c r="B5" s="2368"/>
      <c r="C5" s="2362"/>
      <c r="D5" s="2363"/>
      <c r="E5" s="2363"/>
      <c r="F5" s="2364"/>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365" t="s">
        <v>652</v>
      </c>
      <c r="B15" s="2366"/>
      <c r="C15" s="1774">
        <f>SUM(C6:C14)</f>
        <v>0</v>
      </c>
      <c r="D15" s="1774">
        <f>SUM(D6:D14)</f>
        <v>0</v>
      </c>
      <c r="E15" s="1774">
        <f>SUM(E6:E14)</f>
        <v>0</v>
      </c>
      <c r="F15" s="1774">
        <f>SUM(F6:F14)</f>
        <v>0</v>
      </c>
      <c r="G15" s="552"/>
    </row>
    <row r="16" spans="1:7" s="202" customFormat="1" ht="15.75" customHeight="1" thickTop="1" x14ac:dyDescent="0.2">
      <c r="A16" s="2378" t="s">
        <v>1173</v>
      </c>
      <c r="B16" s="2368"/>
      <c r="C16" s="2362"/>
      <c r="D16" s="2363"/>
      <c r="E16" s="2363"/>
      <c r="F16" s="2364"/>
    </row>
    <row r="17" spans="1:11" ht="12.75" customHeight="1" thickBot="1" x14ac:dyDescent="0.25">
      <c r="A17" s="2360" t="s">
        <v>66</v>
      </c>
      <c r="B17" s="2361"/>
      <c r="C17" s="727"/>
      <c r="D17" s="585"/>
      <c r="E17" s="727"/>
      <c r="F17" s="1774">
        <f>SUM(C17+D17)-E17</f>
        <v>0</v>
      </c>
    </row>
    <row r="18" spans="1:11" ht="12.75" customHeight="1" thickTop="1" thickBot="1" x14ac:dyDescent="0.25">
      <c r="A18" s="2360" t="s">
        <v>6</v>
      </c>
      <c r="B18" s="2361"/>
      <c r="C18" s="727"/>
      <c r="D18" s="585"/>
      <c r="E18" s="727"/>
      <c r="F18" s="1774">
        <f>SUM(C18+D18)-E18</f>
        <v>0</v>
      </c>
    </row>
    <row r="19" spans="1:11" ht="12.75" customHeight="1" thickTop="1" thickBot="1" x14ac:dyDescent="0.25">
      <c r="A19" s="2360" t="s">
        <v>406</v>
      </c>
      <c r="B19" s="2361"/>
      <c r="C19" s="727"/>
      <c r="D19" s="585"/>
      <c r="E19" s="727"/>
      <c r="F19" s="1774">
        <f>SUM(C19+D19)-E19</f>
        <v>0</v>
      </c>
    </row>
    <row r="20" spans="1:11" ht="12.75" customHeight="1" thickTop="1" thickBot="1" x14ac:dyDescent="0.25">
      <c r="A20" s="2360" t="s">
        <v>468</v>
      </c>
      <c r="B20" s="2361"/>
      <c r="C20" s="727"/>
      <c r="D20" s="585"/>
      <c r="E20" s="727"/>
      <c r="F20" s="1774">
        <f>SUM(C20+D20)-E20</f>
        <v>0</v>
      </c>
    </row>
    <row r="21" spans="1:11" ht="14.25" thickTop="1" thickBot="1" x14ac:dyDescent="0.25">
      <c r="A21" s="2365" t="s">
        <v>653</v>
      </c>
      <c r="B21" s="2366"/>
      <c r="C21" s="1774">
        <f>SUM(C17:C20)</f>
        <v>0</v>
      </c>
      <c r="D21" s="1774">
        <f>SUM(D17:D20)</f>
        <v>0</v>
      </c>
      <c r="E21" s="1774">
        <f>SUM(E17:E20)</f>
        <v>0</v>
      </c>
      <c r="F21" s="1774">
        <f>SUM(F17:F20)</f>
        <v>0</v>
      </c>
      <c r="G21" s="552"/>
    </row>
    <row r="22" spans="1:11" ht="15.75" customHeight="1" thickTop="1" x14ac:dyDescent="0.2">
      <c r="A22" s="2367" t="s">
        <v>1174</v>
      </c>
      <c r="B22" s="2368"/>
      <c r="C22" s="2362"/>
      <c r="D22" s="2363"/>
      <c r="E22" s="2363"/>
      <c r="F22" s="2364"/>
    </row>
    <row r="23" spans="1:11" ht="13.5" thickBot="1" x14ac:dyDescent="0.25">
      <c r="A23" s="2369" t="s">
        <v>654</v>
      </c>
      <c r="B23" s="2370"/>
      <c r="C23" s="581"/>
      <c r="D23" s="581"/>
      <c r="E23" s="581"/>
      <c r="F23" s="1774">
        <f>SUM(C23+D23)-E23</f>
        <v>0</v>
      </c>
      <c r="G23" s="552"/>
    </row>
    <row r="24" spans="1:11" ht="15.75" customHeight="1" thickTop="1" x14ac:dyDescent="0.2">
      <c r="A24" s="2367" t="s">
        <v>1175</v>
      </c>
      <c r="B24" s="2368"/>
      <c r="C24" s="2362"/>
      <c r="D24" s="2363"/>
      <c r="E24" s="2363"/>
      <c r="F24" s="2364"/>
    </row>
    <row r="25" spans="1:11" ht="13.5" thickBot="1" x14ac:dyDescent="0.25">
      <c r="A25" s="2369" t="s">
        <v>655</v>
      </c>
      <c r="B25" s="2370"/>
      <c r="C25" s="581"/>
      <c r="D25" s="581"/>
      <c r="E25" s="581"/>
      <c r="F25" s="1774">
        <f>SUM(C25+D25)-E25</f>
        <v>0</v>
      </c>
      <c r="G25" s="552"/>
    </row>
    <row r="26" spans="1:11" ht="15.75" customHeight="1" thickTop="1" x14ac:dyDescent="0.2">
      <c r="A26" s="2373" t="s">
        <v>678</v>
      </c>
      <c r="B26" s="2368"/>
      <c r="C26" s="728"/>
      <c r="D26" s="728"/>
      <c r="E26" s="728"/>
      <c r="F26" s="729"/>
    </row>
    <row r="27" spans="1:11" ht="13.5" thickBot="1" x14ac:dyDescent="0.25">
      <c r="A27" s="2365" t="s">
        <v>1130</v>
      </c>
      <c r="B27" s="2366"/>
      <c r="C27" s="585"/>
      <c r="D27" s="585"/>
      <c r="E27" s="585"/>
      <c r="F27" s="1774">
        <f>SUM(C27+D27)-E27</f>
        <v>0</v>
      </c>
      <c r="G27" s="552"/>
    </row>
    <row r="28" spans="1:11" ht="7.5" customHeight="1" thickTop="1" x14ac:dyDescent="0.2">
      <c r="A28" s="594"/>
    </row>
    <row r="29" spans="1:11" ht="23.25" customHeight="1" x14ac:dyDescent="0.2">
      <c r="A29" s="2371" t="s">
        <v>603</v>
      </c>
      <c r="B29" s="2372"/>
      <c r="C29" s="730"/>
      <c r="D29" s="730"/>
      <c r="E29" s="730"/>
      <c r="F29" s="730"/>
      <c r="G29" s="730"/>
      <c r="H29" s="730"/>
      <c r="I29" s="730"/>
      <c r="J29" s="730"/>
    </row>
    <row r="30" spans="1:11" ht="33.75" x14ac:dyDescent="0.2">
      <c r="A30" s="1548" t="s">
        <v>1131</v>
      </c>
      <c r="B30" s="731" t="s">
        <v>1186</v>
      </c>
      <c r="C30" s="1905" t="s">
        <v>604</v>
      </c>
      <c r="D30" s="1905" t="s">
        <v>1771</v>
      </c>
      <c r="E30" s="1905" t="s">
        <v>2034</v>
      </c>
      <c r="F30" s="1905" t="s">
        <v>2035</v>
      </c>
      <c r="G30" s="1905" t="s">
        <v>2038</v>
      </c>
      <c r="H30" s="1905" t="s">
        <v>2036</v>
      </c>
      <c r="I30" s="1905" t="s">
        <v>2037</v>
      </c>
      <c r="J30" s="1906" t="s">
        <v>2</v>
      </c>
      <c r="K30" s="732"/>
    </row>
    <row r="31" spans="1:11" ht="12" customHeight="1" x14ac:dyDescent="0.2">
      <c r="A31" s="733" t="s">
        <v>2077</v>
      </c>
      <c r="B31" s="734">
        <v>42898</v>
      </c>
      <c r="C31" s="735">
        <v>45000000</v>
      </c>
      <c r="D31" s="736">
        <v>7</v>
      </c>
      <c r="E31" s="735">
        <v>45000000</v>
      </c>
      <c r="F31" s="735"/>
      <c r="G31" s="735"/>
      <c r="H31" s="735">
        <v>45000000</v>
      </c>
      <c r="I31" s="1775">
        <f>((E31+F31)-H31)+G31</f>
        <v>0</v>
      </c>
      <c r="J31" s="735"/>
      <c r="K31" s="737"/>
    </row>
    <row r="32" spans="1:11" ht="12" customHeight="1" x14ac:dyDescent="0.2">
      <c r="A32" s="733" t="s">
        <v>2078</v>
      </c>
      <c r="B32" s="734">
        <v>42898</v>
      </c>
      <c r="C32" s="735">
        <v>7680000</v>
      </c>
      <c r="D32" s="736">
        <v>8</v>
      </c>
      <c r="E32" s="735">
        <v>7680000</v>
      </c>
      <c r="F32" s="735"/>
      <c r="G32" s="735"/>
      <c r="H32" s="735">
        <v>7680000</v>
      </c>
      <c r="I32" s="1775">
        <f>((E32+F32)-H32)+G32</f>
        <v>0</v>
      </c>
      <c r="J32" s="735"/>
      <c r="K32" s="737"/>
    </row>
    <row r="33" spans="1:11" ht="12" customHeight="1" x14ac:dyDescent="0.2">
      <c r="A33" s="733" t="s">
        <v>2079</v>
      </c>
      <c r="B33" s="734">
        <v>42933</v>
      </c>
      <c r="C33" s="735"/>
      <c r="D33" s="736">
        <v>6</v>
      </c>
      <c r="E33" s="735"/>
      <c r="F33" s="735">
        <v>45000000</v>
      </c>
      <c r="G33" s="735"/>
      <c r="H33" s="735"/>
      <c r="I33" s="1775">
        <f t="shared" ref="I33:I48" si="1">((E33+F33)-H33)+G33</f>
        <v>45000000</v>
      </c>
      <c r="J33" s="735">
        <v>45000000</v>
      </c>
      <c r="K33" s="737"/>
    </row>
    <row r="34" spans="1:11" ht="12" customHeight="1" x14ac:dyDescent="0.2">
      <c r="A34" s="733" t="s">
        <v>2080</v>
      </c>
      <c r="B34" s="734">
        <v>42933</v>
      </c>
      <c r="C34" s="735"/>
      <c r="D34" s="736">
        <v>6</v>
      </c>
      <c r="E34" s="735"/>
      <c r="F34" s="735">
        <v>7800000</v>
      </c>
      <c r="G34" s="735"/>
      <c r="H34" s="735"/>
      <c r="I34" s="1775">
        <f t="shared" si="1"/>
        <v>7800000</v>
      </c>
      <c r="J34" s="735">
        <v>7800000</v>
      </c>
      <c r="K34" s="738"/>
    </row>
    <row r="35" spans="1:11" ht="12" customHeight="1" x14ac:dyDescent="0.2">
      <c r="A35" s="733" t="s">
        <v>2081</v>
      </c>
      <c r="B35" s="734">
        <v>42811</v>
      </c>
      <c r="C35" s="739">
        <v>1500000</v>
      </c>
      <c r="D35" s="736">
        <v>1</v>
      </c>
      <c r="E35" s="739">
        <v>1500000</v>
      </c>
      <c r="F35" s="739"/>
      <c r="G35" s="739"/>
      <c r="H35" s="739">
        <v>1500000</v>
      </c>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54180000</v>
      </c>
      <c r="D49" s="746"/>
      <c r="E49" s="1775">
        <f t="shared" ref="E49:J49" si="2">SUM(E31:E48)</f>
        <v>54180000</v>
      </c>
      <c r="F49" s="1775">
        <f t="shared" si="2"/>
        <v>52800000</v>
      </c>
      <c r="G49" s="1775">
        <f t="shared" si="2"/>
        <v>0</v>
      </c>
      <c r="H49" s="1775">
        <f t="shared" si="2"/>
        <v>54180000</v>
      </c>
      <c r="I49" s="1775">
        <f t="shared" si="2"/>
        <v>52800000</v>
      </c>
      <c r="J49" s="1775">
        <f t="shared" si="2"/>
        <v>52800000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354" t="s">
        <v>605</v>
      </c>
      <c r="C52" s="2355"/>
      <c r="D52" s="2355"/>
      <c r="E52" s="750" t="s">
        <v>900</v>
      </c>
      <c r="F52" s="2356" t="s">
        <v>2082</v>
      </c>
      <c r="G52" s="2357"/>
      <c r="H52" s="737"/>
      <c r="I52" s="737"/>
      <c r="J52" s="747"/>
    </row>
    <row r="53" spans="1:11" ht="11.25" customHeight="1" x14ac:dyDescent="0.2">
      <c r="A53" s="751" t="s">
        <v>969</v>
      </c>
      <c r="B53" s="752" t="s">
        <v>1008</v>
      </c>
      <c r="C53" s="747"/>
      <c r="D53" s="738"/>
      <c r="E53" s="750" t="s">
        <v>518</v>
      </c>
      <c r="F53" s="2358" t="s">
        <v>2083</v>
      </c>
      <c r="G53" s="2359"/>
      <c r="H53" s="737"/>
      <c r="I53" s="737"/>
      <c r="J53" s="747"/>
    </row>
    <row r="54" spans="1:11" ht="11.25" customHeight="1" x14ac:dyDescent="0.2">
      <c r="A54" s="753" t="s">
        <v>970</v>
      </c>
      <c r="B54" s="748" t="s">
        <v>1009</v>
      </c>
      <c r="C54" s="747"/>
      <c r="D54" s="738"/>
      <c r="E54" s="750" t="s">
        <v>519</v>
      </c>
      <c r="F54" s="2358"/>
      <c r="G54" s="235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3" t="s">
        <v>911</v>
      </c>
      <c r="B1" s="2384"/>
      <c r="C1" s="2384"/>
      <c r="D1" s="2384"/>
      <c r="E1" s="2384"/>
      <c r="F1" s="2384"/>
      <c r="G1" s="2385"/>
      <c r="H1" s="1549"/>
      <c r="I1" s="761"/>
      <c r="J1" s="433"/>
    </row>
    <row r="2" spans="1:11" ht="26.25" x14ac:dyDescent="0.2">
      <c r="A2" s="2402" t="s">
        <v>1775</v>
      </c>
      <c r="B2" s="2403"/>
      <c r="C2" s="2403"/>
      <c r="D2" s="2403"/>
      <c r="E2" s="2404"/>
      <c r="F2" s="762" t="s">
        <v>960</v>
      </c>
      <c r="G2" s="763" t="s">
        <v>1772</v>
      </c>
      <c r="H2" s="763" t="s">
        <v>430</v>
      </c>
      <c r="I2" s="763" t="s">
        <v>1220</v>
      </c>
      <c r="J2" s="763" t="s">
        <v>1915</v>
      </c>
      <c r="K2" s="763" t="s">
        <v>140</v>
      </c>
    </row>
    <row r="3" spans="1:11" x14ac:dyDescent="0.2">
      <c r="A3" s="2405" t="s">
        <v>1697</v>
      </c>
      <c r="B3" s="2406"/>
      <c r="C3" s="2406"/>
      <c r="D3" s="2406"/>
      <c r="E3" s="2407"/>
      <c r="F3" s="764"/>
      <c r="G3" s="765"/>
      <c r="H3" s="765"/>
      <c r="I3" s="765"/>
      <c r="J3" s="766"/>
      <c r="K3" s="766"/>
    </row>
    <row r="4" spans="1:11" x14ac:dyDescent="0.2">
      <c r="A4" s="2408" t="s">
        <v>387</v>
      </c>
      <c r="B4" s="2409"/>
      <c r="C4" s="2409"/>
      <c r="D4" s="2409"/>
      <c r="E4" s="2355"/>
      <c r="F4" s="767"/>
      <c r="G4" s="768"/>
      <c r="H4" s="769"/>
      <c r="I4" s="768"/>
      <c r="J4" s="770"/>
      <c r="K4" s="770"/>
    </row>
    <row r="5" spans="1:11" x14ac:dyDescent="0.2">
      <c r="A5" s="2386" t="s">
        <v>1129</v>
      </c>
      <c r="B5" s="2387"/>
      <c r="C5" s="2387"/>
      <c r="D5" s="2387"/>
      <c r="E5" s="2388"/>
      <c r="F5" s="771" t="s">
        <v>903</v>
      </c>
      <c r="G5" s="772"/>
      <c r="H5" s="765">
        <v>299357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386" t="s">
        <v>1916</v>
      </c>
      <c r="B10" s="2387"/>
      <c r="C10" s="2387"/>
      <c r="D10" s="2387"/>
      <c r="E10" s="2389"/>
      <c r="F10" s="784" t="s">
        <v>917</v>
      </c>
      <c r="G10" s="783"/>
      <c r="H10" s="785"/>
      <c r="I10" s="765"/>
      <c r="J10" s="766"/>
      <c r="K10" s="766"/>
    </row>
    <row r="11" spans="1:11" x14ac:dyDescent="0.2">
      <c r="A11" s="2386" t="s">
        <v>162</v>
      </c>
      <c r="B11" s="2387"/>
      <c r="C11" s="2387"/>
      <c r="D11" s="2387"/>
      <c r="E11" s="2388"/>
      <c r="F11" s="771" t="s">
        <v>907</v>
      </c>
      <c r="G11" s="772"/>
      <c r="H11" s="765"/>
      <c r="I11" s="765"/>
      <c r="J11" s="766"/>
      <c r="K11" s="774"/>
    </row>
    <row r="12" spans="1:11" ht="13.5" thickBot="1" x14ac:dyDescent="0.25">
      <c r="A12" s="2413" t="s">
        <v>961</v>
      </c>
      <c r="B12" s="2414"/>
      <c r="C12" s="2414"/>
      <c r="D12" s="2414"/>
      <c r="E12" s="2415"/>
      <c r="F12" s="1776"/>
      <c r="G12" s="1777">
        <f>SUM(G5:G11)</f>
        <v>0</v>
      </c>
      <c r="H12" s="1777">
        <f>SUM(H5:H11)</f>
        <v>299357</v>
      </c>
      <c r="I12" s="1777">
        <f>SUM(I5:I11)</f>
        <v>0</v>
      </c>
      <c r="J12" s="1777">
        <f>SUM(J5:J11)</f>
        <v>0</v>
      </c>
      <c r="K12" s="1777">
        <f>SUM(K5:K11)</f>
        <v>0</v>
      </c>
    </row>
    <row r="13" spans="1:11" ht="13.5" thickTop="1" x14ac:dyDescent="0.2">
      <c r="A13" s="2410" t="s">
        <v>388</v>
      </c>
      <c r="B13" s="2411"/>
      <c r="C13" s="2411"/>
      <c r="D13" s="2411"/>
      <c r="E13" s="2412"/>
      <c r="F13" s="786"/>
      <c r="G13" s="787"/>
      <c r="H13" s="788"/>
      <c r="I13" s="789"/>
      <c r="J13" s="789"/>
      <c r="K13" s="789"/>
    </row>
    <row r="14" spans="1:11" x14ac:dyDescent="0.2">
      <c r="A14" s="2393" t="s">
        <v>476</v>
      </c>
      <c r="B14" s="2393"/>
      <c r="C14" s="2393"/>
      <c r="D14" s="2393"/>
      <c r="E14" s="2394"/>
      <c r="F14" s="790" t="s">
        <v>909</v>
      </c>
      <c r="G14" s="783"/>
      <c r="H14" s="765">
        <v>299357</v>
      </c>
      <c r="I14" s="772"/>
      <c r="J14" s="774"/>
      <c r="K14" s="766"/>
    </row>
    <row r="15" spans="1:11" x14ac:dyDescent="0.2">
      <c r="A15" s="2387" t="s">
        <v>4</v>
      </c>
      <c r="B15" s="2387"/>
      <c r="C15" s="2387"/>
      <c r="D15" s="2387"/>
      <c r="E15" s="2388"/>
      <c r="F15" s="790" t="s">
        <v>910</v>
      </c>
      <c r="G15" s="772"/>
      <c r="H15" s="765"/>
      <c r="I15" s="765"/>
      <c r="J15" s="766"/>
      <c r="K15" s="766"/>
    </row>
    <row r="16" spans="1:11" x14ac:dyDescent="0.2">
      <c r="A16" s="2387" t="s">
        <v>316</v>
      </c>
      <c r="B16" s="2387"/>
      <c r="C16" s="2387"/>
      <c r="D16" s="2387"/>
      <c r="E16" s="2388"/>
      <c r="F16" s="790" t="s">
        <v>980</v>
      </c>
      <c r="G16" s="773"/>
      <c r="H16" s="768"/>
      <c r="I16" s="768"/>
      <c r="J16" s="770"/>
      <c r="K16" s="770"/>
    </row>
    <row r="17" spans="1:11" x14ac:dyDescent="0.2">
      <c r="A17" s="2418" t="s">
        <v>992</v>
      </c>
      <c r="B17" s="2418"/>
      <c r="C17" s="2418"/>
      <c r="D17" s="2418"/>
      <c r="E17" s="2419"/>
      <c r="F17" s="791"/>
      <c r="G17" s="792"/>
      <c r="H17" s="793"/>
      <c r="I17" s="793"/>
      <c r="J17" s="794"/>
      <c r="K17" s="795"/>
    </row>
    <row r="18" spans="1:11" x14ac:dyDescent="0.2">
      <c r="A18" s="2397" t="s">
        <v>386</v>
      </c>
      <c r="B18" s="2398"/>
      <c r="C18" s="2398"/>
      <c r="D18" s="2398"/>
      <c r="E18" s="2399"/>
      <c r="F18" s="790" t="s">
        <v>989</v>
      </c>
      <c r="G18" s="783"/>
      <c r="H18" s="783"/>
      <c r="I18" s="783"/>
      <c r="J18" s="766"/>
      <c r="K18" s="796"/>
    </row>
    <row r="19" spans="1:11" ht="21.75" customHeight="1" x14ac:dyDescent="0.2">
      <c r="A19" s="2395" t="s">
        <v>1912</v>
      </c>
      <c r="B19" s="2395"/>
      <c r="C19" s="2395"/>
      <c r="D19" s="2395"/>
      <c r="E19" s="2396"/>
      <c r="F19" s="790" t="s">
        <v>990</v>
      </c>
      <c r="G19" s="783"/>
      <c r="H19" s="783"/>
      <c r="I19" s="783"/>
      <c r="J19" s="766"/>
      <c r="K19" s="796"/>
    </row>
    <row r="20" spans="1:11" x14ac:dyDescent="0.2">
      <c r="A20" s="2397" t="s">
        <v>1917</v>
      </c>
      <c r="B20" s="2398"/>
      <c r="C20" s="2398"/>
      <c r="D20" s="2398"/>
      <c r="E20" s="2399"/>
      <c r="F20" s="790" t="s">
        <v>991</v>
      </c>
      <c r="G20" s="783"/>
      <c r="H20" s="783"/>
      <c r="I20" s="783"/>
      <c r="J20" s="766"/>
      <c r="K20" s="796"/>
    </row>
    <row r="21" spans="1:11" ht="13.5" thickBot="1" x14ac:dyDescent="0.25">
      <c r="A21" s="2416" t="s">
        <v>659</v>
      </c>
      <c r="B21" s="2416"/>
      <c r="C21" s="2416"/>
      <c r="D21" s="2416"/>
      <c r="E21" s="2416"/>
      <c r="F21" s="1778"/>
      <c r="G21" s="793"/>
      <c r="H21" s="797"/>
      <c r="I21" s="797"/>
      <c r="J21" s="1779">
        <f>SUM(J18:J20)</f>
        <v>0</v>
      </c>
      <c r="K21" s="794"/>
    </row>
    <row r="22" spans="1:11" ht="13.5" thickTop="1" x14ac:dyDescent="0.2">
      <c r="A22" s="2387" t="s">
        <v>1918</v>
      </c>
      <c r="B22" s="2387"/>
      <c r="C22" s="2387"/>
      <c r="D22" s="2387"/>
      <c r="E22" s="2388"/>
      <c r="F22" s="790" t="s">
        <v>917</v>
      </c>
      <c r="G22" s="783"/>
      <c r="H22" s="765"/>
      <c r="I22" s="765"/>
      <c r="J22" s="798"/>
      <c r="K22" s="766"/>
    </row>
    <row r="23" spans="1:11" ht="13.5" thickBot="1" x14ac:dyDescent="0.25">
      <c r="A23" s="2417" t="s">
        <v>962</v>
      </c>
      <c r="B23" s="2416"/>
      <c r="C23" s="2416"/>
      <c r="D23" s="2416"/>
      <c r="E23" s="2416"/>
      <c r="F23" s="1780"/>
      <c r="G23" s="1777">
        <f>SUM(G14:G16,G21,G22)</f>
        <v>0</v>
      </c>
      <c r="H23" s="1777">
        <f>SUM(H14:H16,H21,H22)</f>
        <v>299357</v>
      </c>
      <c r="I23" s="1777">
        <f>SUM(I14:I16,I21,I22)</f>
        <v>0</v>
      </c>
      <c r="J23" s="1777">
        <f>SUM(J14:J16,J21,J22)</f>
        <v>0</v>
      </c>
      <c r="K23" s="1777">
        <f>SUM(K14:K16,K21,K22)</f>
        <v>0</v>
      </c>
    </row>
    <row r="24" spans="1:11" ht="14.25" thickTop="1" thickBot="1" x14ac:dyDescent="0.25">
      <c r="A24" s="2417" t="s">
        <v>2020</v>
      </c>
      <c r="B24" s="2416"/>
      <c r="C24" s="2416"/>
      <c r="D24" s="2416"/>
      <c r="E24" s="2416"/>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0" t="s">
        <v>2030</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390"/>
      <c r="I31" s="2391"/>
      <c r="J31" s="2391"/>
      <c r="K31" s="2391"/>
    </row>
    <row r="32" spans="1:11" x14ac:dyDescent="0.2">
      <c r="A32" s="810"/>
      <c r="B32" s="237"/>
      <c r="C32" s="237"/>
      <c r="D32" s="237"/>
      <c r="E32" s="806"/>
      <c r="F32" s="812" t="s">
        <v>561</v>
      </c>
      <c r="G32" s="765"/>
      <c r="H32" s="2392"/>
      <c r="I32" s="2391"/>
      <c r="J32" s="2391"/>
      <c r="K32" s="2391"/>
    </row>
    <row r="33" spans="1:11" ht="1.5" customHeight="1" x14ac:dyDescent="0.2">
      <c r="A33" s="813" t="s">
        <v>1231</v>
      </c>
      <c r="B33" s="364"/>
      <c r="C33" s="364"/>
      <c r="D33" s="364"/>
      <c r="E33" s="364"/>
      <c r="F33" s="364"/>
      <c r="G33" s="814"/>
      <c r="H33" s="2392"/>
      <c r="I33" s="2391"/>
      <c r="J33" s="2391"/>
      <c r="K33" s="2391"/>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387" t="s">
        <v>562</v>
      </c>
      <c r="B41" s="2400"/>
      <c r="C41" s="2400"/>
      <c r="D41" s="2400"/>
      <c r="E41" s="2400"/>
      <c r="F41" s="240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1913</v>
      </c>
      <c r="B46" s="408" t="s">
        <v>1773</v>
      </c>
    </row>
    <row r="47" spans="1:11" s="824" customFormat="1" ht="12.75" customHeight="1" x14ac:dyDescent="0.2">
      <c r="A47" s="822"/>
      <c r="B47" s="823" t="s">
        <v>1774</v>
      </c>
      <c r="E47" s="823"/>
      <c r="K47" s="825"/>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22" t="s">
        <v>2029</v>
      </c>
      <c r="B1" s="2423"/>
      <c r="C1" s="2424"/>
      <c r="D1" s="827"/>
      <c r="E1" s="828"/>
      <c r="F1" s="828"/>
      <c r="G1" s="829"/>
      <c r="H1" s="830"/>
      <c r="I1" s="831"/>
      <c r="J1" s="2420"/>
      <c r="K1" s="2421"/>
      <c r="L1" s="2421"/>
    </row>
    <row r="2" spans="1:14" ht="69.75" customHeight="1" x14ac:dyDescent="0.2">
      <c r="A2" s="832" t="s">
        <v>1776</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332904</v>
      </c>
      <c r="D5" s="842"/>
      <c r="E5" s="842"/>
      <c r="F5" s="1779">
        <f>(C5+D5)-E5</f>
        <v>332904</v>
      </c>
      <c r="G5" s="838"/>
      <c r="H5" s="843"/>
      <c r="I5" s="843"/>
      <c r="J5" s="843"/>
      <c r="K5" s="794"/>
      <c r="L5" s="1788">
        <f>F5-K5</f>
        <v>332904</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19362588.32</v>
      </c>
      <c r="D8" s="845"/>
      <c r="E8" s="845"/>
      <c r="F8" s="1779">
        <f>(C8+D8)-E8</f>
        <v>19362588.32</v>
      </c>
      <c r="G8" s="844">
        <v>50</v>
      </c>
      <c r="H8" s="766">
        <v>4947600.54</v>
      </c>
      <c r="I8" s="766">
        <v>377999.01</v>
      </c>
      <c r="J8" s="766"/>
      <c r="K8" s="1788">
        <f>(H8+I8)-J8</f>
        <v>5325599.55</v>
      </c>
      <c r="L8" s="1788">
        <f>F8-K8</f>
        <v>14036988.77</v>
      </c>
    </row>
    <row r="9" spans="1:14" ht="14.25" thickTop="1" thickBot="1" x14ac:dyDescent="0.25">
      <c r="A9" s="779" t="s">
        <v>1181</v>
      </c>
      <c r="B9" s="841">
        <v>232</v>
      </c>
      <c r="C9" s="766">
        <v>1859022.26</v>
      </c>
      <c r="D9" s="766">
        <v>970703.44</v>
      </c>
      <c r="E9" s="766"/>
      <c r="F9" s="1779">
        <f>(C9+D9)-E9</f>
        <v>2829725.7</v>
      </c>
      <c r="G9" s="844">
        <v>20</v>
      </c>
      <c r="H9" s="766">
        <v>179141.89</v>
      </c>
      <c r="I9" s="766">
        <v>93775.55</v>
      </c>
      <c r="J9" s="766"/>
      <c r="K9" s="1788">
        <f>(H9+I9)-J9</f>
        <v>272917.44</v>
      </c>
      <c r="L9" s="1788">
        <f>F9-K9</f>
        <v>2556808.2600000002</v>
      </c>
    </row>
    <row r="10" spans="1:14" ht="24" thickTop="1" thickBot="1" x14ac:dyDescent="0.25">
      <c r="A10" s="846" t="s">
        <v>1182</v>
      </c>
      <c r="B10" s="841">
        <v>240</v>
      </c>
      <c r="C10" s="847">
        <v>760226.71</v>
      </c>
      <c r="D10" s="847">
        <v>8546.11</v>
      </c>
      <c r="E10" s="847"/>
      <c r="F10" s="1783">
        <f>(C10+D10)-E10</f>
        <v>768772.82</v>
      </c>
      <c r="G10" s="844">
        <v>20</v>
      </c>
      <c r="H10" s="848">
        <v>289220.17</v>
      </c>
      <c r="I10" s="848">
        <v>41999.09</v>
      </c>
      <c r="J10" s="848"/>
      <c r="K10" s="1788">
        <f>(H10+I10)-J10</f>
        <v>331219.26</v>
      </c>
      <c r="L10" s="1788">
        <f>F10-K10</f>
        <v>437553.55999999994</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4124265.32</v>
      </c>
      <c r="D12" s="845"/>
      <c r="E12" s="845"/>
      <c r="F12" s="1779">
        <f>(C12+D12)-E12</f>
        <v>4124265.32</v>
      </c>
      <c r="G12" s="844">
        <v>10</v>
      </c>
      <c r="H12" s="766">
        <v>3781710.62</v>
      </c>
      <c r="I12" s="766">
        <v>39518.15</v>
      </c>
      <c r="J12" s="766"/>
      <c r="K12" s="1788">
        <f>(H12+I12)-J12</f>
        <v>3821228.77</v>
      </c>
      <c r="L12" s="1788">
        <f>F12-K12</f>
        <v>303036.54999999981</v>
      </c>
    </row>
    <row r="13" spans="1:14" ht="14.25" thickTop="1" thickBot="1" x14ac:dyDescent="0.25">
      <c r="A13" s="849" t="s">
        <v>1184</v>
      </c>
      <c r="B13" s="841">
        <v>252</v>
      </c>
      <c r="C13" s="845">
        <f>79642+447450.39</f>
        <v>527092.39</v>
      </c>
      <c r="D13" s="845">
        <f>7800+5185</f>
        <v>12985</v>
      </c>
      <c r="E13" s="845"/>
      <c r="F13" s="1779">
        <f>(C13+D13)-E13</f>
        <v>540077.39</v>
      </c>
      <c r="G13" s="844">
        <v>5</v>
      </c>
      <c r="H13" s="766">
        <f>7964+391530.19</f>
        <v>399494.19</v>
      </c>
      <c r="I13" s="766">
        <f>16709+15337</f>
        <v>32046</v>
      </c>
      <c r="J13" s="766"/>
      <c r="K13" s="1788">
        <f>(H13+I13)-J13</f>
        <v>431540.19</v>
      </c>
      <c r="L13" s="1788">
        <f>F13-K13</f>
        <v>108537.20000000001</v>
      </c>
    </row>
    <row r="14" spans="1:14" ht="14.25" thickTop="1" thickBot="1" x14ac:dyDescent="0.25">
      <c r="A14" s="849" t="s">
        <v>1185</v>
      </c>
      <c r="B14" s="841">
        <v>253</v>
      </c>
      <c r="C14" s="766">
        <v>217490.93</v>
      </c>
      <c r="D14" s="766">
        <v>56812.69</v>
      </c>
      <c r="E14" s="766"/>
      <c r="F14" s="1779">
        <f>(C14+D14)-E14</f>
        <v>274303.62</v>
      </c>
      <c r="G14" s="844">
        <v>3</v>
      </c>
      <c r="H14" s="766">
        <v>143252.95000000001</v>
      </c>
      <c r="I14" s="766">
        <v>55216</v>
      </c>
      <c r="J14" s="766"/>
      <c r="K14" s="1788">
        <f>(H14+I14)-J14</f>
        <v>198468.95</v>
      </c>
      <c r="L14" s="1788">
        <f>F14-K14</f>
        <v>75834.669999999984</v>
      </c>
    </row>
    <row r="15" spans="1:14" ht="15" customHeight="1" thickTop="1" thickBot="1" x14ac:dyDescent="0.25">
      <c r="A15" s="1650" t="s">
        <v>549</v>
      </c>
      <c r="B15" s="1649">
        <v>260</v>
      </c>
      <c r="C15" s="845"/>
      <c r="D15" s="845">
        <v>777244.82</v>
      </c>
      <c r="E15" s="845"/>
      <c r="F15" s="1779">
        <f>(C15+D15)-E15</f>
        <v>777244.82</v>
      </c>
      <c r="G15" s="850" t="s">
        <v>917</v>
      </c>
      <c r="H15" s="782"/>
      <c r="I15" s="782"/>
      <c r="J15" s="782"/>
      <c r="K15" s="782"/>
      <c r="L15" s="1788">
        <f>F15-K15</f>
        <v>777244.82</v>
      </c>
    </row>
    <row r="16" spans="1:14" ht="15" customHeight="1" thickTop="1" thickBot="1" x14ac:dyDescent="0.25">
      <c r="A16" s="1784" t="s">
        <v>664</v>
      </c>
      <c r="B16" s="1785">
        <v>200</v>
      </c>
      <c r="C16" s="1779">
        <f>SUM(C3,C5:C6,C8:C10,C12:C15)</f>
        <v>27183589.930000003</v>
      </c>
      <c r="D16" s="1779">
        <f>SUM(D3,D5:D6,D8:D10,D12:D15)</f>
        <v>1826292.06</v>
      </c>
      <c r="E16" s="1779">
        <f>SUM(E3,E5:E6,E8:E10,E12:E15)</f>
        <v>0</v>
      </c>
      <c r="F16" s="1779">
        <f>SUM(F3,F5:F6,F8:F10,F12:F15)</f>
        <v>29009881.990000002</v>
      </c>
      <c r="G16" s="844"/>
      <c r="H16" s="1779">
        <f>SUM(H3,H6,H8:H10,H12:H14,)</f>
        <v>9740420.3599999975</v>
      </c>
      <c r="I16" s="1779">
        <f>SUM(I3,I6,I8:I10,I12:I14,)</f>
        <v>640553.80000000005</v>
      </c>
      <c r="J16" s="1779">
        <f>SUM(J3,J6,J8:J10,J12:J14,)</f>
        <v>0</v>
      </c>
      <c r="K16" s="1779">
        <f>(H16+I16)-J16</f>
        <v>10380974.159999998</v>
      </c>
      <c r="L16" s="1779">
        <f>F16-K16</f>
        <v>18628907.830000006</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67421</v>
      </c>
      <c r="G17" s="838">
        <v>10</v>
      </c>
      <c r="H17" s="770"/>
      <c r="I17" s="1788">
        <f>F17/G17</f>
        <v>6742.1</v>
      </c>
      <c r="J17" s="770"/>
      <c r="K17" s="796"/>
      <c r="L17" s="796"/>
    </row>
    <row r="18" spans="1:12" ht="14.25" thickTop="1" thickBot="1" x14ac:dyDescent="0.25">
      <c r="A18" s="1786" t="s">
        <v>706</v>
      </c>
      <c r="B18" s="1787"/>
      <c r="C18" s="772"/>
      <c r="D18" s="772"/>
      <c r="E18" s="772"/>
      <c r="F18" s="851"/>
      <c r="G18" s="852"/>
      <c r="H18" s="774"/>
      <c r="I18" s="1779">
        <f>SUM(I16,I17)</f>
        <v>647295.9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6"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428" t="s">
        <v>1698</v>
      </c>
      <c r="B1" s="2429"/>
      <c r="C1" s="2429"/>
      <c r="D1" s="2429"/>
      <c r="E1" s="2429"/>
      <c r="F1" s="2430"/>
      <c r="G1" s="856"/>
    </row>
    <row r="2" spans="1:7" ht="15" customHeight="1" thickBot="1" x14ac:dyDescent="0.25">
      <c r="A2" s="2431" t="s">
        <v>498</v>
      </c>
      <c r="B2" s="2432"/>
      <c r="C2" s="2432"/>
      <c r="D2" s="2432"/>
      <c r="E2" s="2432"/>
      <c r="F2" s="243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434"/>
      <c r="B5" s="2435"/>
      <c r="C5" s="2435"/>
      <c r="D5" s="2435"/>
      <c r="E5" s="2435"/>
      <c r="F5" s="2435"/>
    </row>
    <row r="6" spans="1:7" ht="13.5" customHeight="1" thickBot="1" x14ac:dyDescent="0.25">
      <c r="A6" s="2425" t="s">
        <v>1166</v>
      </c>
      <c r="B6" s="2426"/>
      <c r="C6" s="2426"/>
      <c r="D6" s="2426"/>
      <c r="E6" s="2426"/>
      <c r="F6" s="242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35868392</v>
      </c>
      <c r="G8" s="866"/>
    </row>
    <row r="9" spans="1:7" x14ac:dyDescent="0.2">
      <c r="A9" s="870" t="s">
        <v>480</v>
      </c>
      <c r="B9" s="871" t="s">
        <v>1984</v>
      </c>
      <c r="C9" s="872"/>
      <c r="D9" s="870" t="s">
        <v>522</v>
      </c>
      <c r="E9" s="869"/>
      <c r="F9" s="1930">
        <f>'Expenditures 15-22'!K151</f>
        <v>2682231</v>
      </c>
      <c r="G9" s="873"/>
    </row>
    <row r="10" spans="1:7" x14ac:dyDescent="0.2">
      <c r="A10" s="870" t="s">
        <v>520</v>
      </c>
      <c r="B10" s="871" t="s">
        <v>1985</v>
      </c>
      <c r="C10" s="872"/>
      <c r="D10" s="870" t="s">
        <v>522</v>
      </c>
      <c r="E10" s="869"/>
      <c r="F10" s="1930">
        <f>'Expenditures 15-22'!K174</f>
        <v>57405635</v>
      </c>
      <c r="G10" s="873"/>
    </row>
    <row r="11" spans="1:7" x14ac:dyDescent="0.2">
      <c r="A11" s="870" t="s">
        <v>481</v>
      </c>
      <c r="B11" s="871" t="s">
        <v>1986</v>
      </c>
      <c r="C11" s="872"/>
      <c r="D11" s="870" t="s">
        <v>522</v>
      </c>
      <c r="E11" s="869"/>
      <c r="F11" s="1930">
        <f>'Expenditures 15-22'!K210</f>
        <v>1226910</v>
      </c>
      <c r="G11" s="873"/>
    </row>
    <row r="12" spans="1:7" x14ac:dyDescent="0.2">
      <c r="A12" s="870" t="s">
        <v>482</v>
      </c>
      <c r="B12" s="871" t="s">
        <v>1987</v>
      </c>
      <c r="C12" s="872"/>
      <c r="D12" s="870" t="s">
        <v>522</v>
      </c>
      <c r="E12" s="869"/>
      <c r="F12" s="1930">
        <f>'Expenditures 15-22'!K295</f>
        <v>1535094</v>
      </c>
      <c r="G12" s="873"/>
    </row>
    <row r="13" spans="1:7" x14ac:dyDescent="0.2">
      <c r="A13" s="870" t="s">
        <v>108</v>
      </c>
      <c r="B13" s="871" t="s">
        <v>1988</v>
      </c>
      <c r="C13" s="872"/>
      <c r="D13" s="870" t="s">
        <v>522</v>
      </c>
      <c r="E13" s="869"/>
      <c r="F13" s="1930">
        <f>'Expenditures 15-22'!K342</f>
        <v>0</v>
      </c>
      <c r="G13" s="874"/>
    </row>
    <row r="14" spans="1:7" ht="12" customHeight="1" thickBot="1" x14ac:dyDescent="0.25">
      <c r="A14" s="1789"/>
      <c r="B14" s="1790"/>
      <c r="C14" s="1791"/>
      <c r="D14" s="1792" t="s">
        <v>522</v>
      </c>
      <c r="E14" s="1793" t="s">
        <v>1015</v>
      </c>
      <c r="F14" s="1794">
        <f>SUM(F8:F13)</f>
        <v>98718262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9-14'!D148,F148)</f>
        <v>1497762</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107140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4603</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272564</v>
      </c>
      <c r="G52" s="866"/>
    </row>
    <row r="53" spans="1:7" x14ac:dyDescent="0.2">
      <c r="A53" s="870" t="s">
        <v>479</v>
      </c>
      <c r="B53" s="870" t="s">
        <v>1551</v>
      </c>
      <c r="C53" s="890">
        <f>'Expenditures 15-22'!B102</f>
        <v>4000</v>
      </c>
      <c r="D53" s="889" t="str">
        <f>'Expenditures 15-22'!A102</f>
        <v>Total Payments to Other Govt Units</v>
      </c>
      <c r="E53" s="869"/>
      <c r="F53" s="1934">
        <f>'Expenditures 15-22'!K102</f>
        <v>1387082</v>
      </c>
      <c r="G53" s="866"/>
    </row>
    <row r="54" spans="1:7" x14ac:dyDescent="0.2">
      <c r="A54" s="870" t="s">
        <v>479</v>
      </c>
      <c r="B54" s="870" t="s">
        <v>1552</v>
      </c>
      <c r="C54" s="890" t="s">
        <v>1039</v>
      </c>
      <c r="D54" s="886" t="s">
        <v>1157</v>
      </c>
      <c r="E54" s="869"/>
      <c r="F54" s="1934">
        <f>'Expenditures 15-22'!G114</f>
        <v>88210</v>
      </c>
      <c r="G54" s="866"/>
    </row>
    <row r="55" spans="1:7" x14ac:dyDescent="0.2">
      <c r="A55" s="870" t="s">
        <v>479</v>
      </c>
      <c r="B55" s="870" t="s">
        <v>1553</v>
      </c>
      <c r="C55" s="890" t="s">
        <v>1039</v>
      </c>
      <c r="D55" s="886" t="s">
        <v>309</v>
      </c>
      <c r="E55" s="869"/>
      <c r="F55" s="1934">
        <f>'Expenditures 15-22'!I114</f>
        <v>67071</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4">
        <f>'Expenditures 15-22'!K139</f>
        <v>0</v>
      </c>
      <c r="G57" s="866"/>
    </row>
    <row r="58" spans="1:7" x14ac:dyDescent="0.2">
      <c r="A58" s="870" t="s">
        <v>480</v>
      </c>
      <c r="B58" s="870" t="s">
        <v>1990</v>
      </c>
      <c r="C58" s="887" t="s">
        <v>1039</v>
      </c>
      <c r="D58" s="886" t="s">
        <v>1157</v>
      </c>
      <c r="E58" s="869"/>
      <c r="F58" s="1936">
        <f>'Expenditures 15-22'!G151</f>
        <v>122299</v>
      </c>
      <c r="G58" s="866"/>
    </row>
    <row r="59" spans="1:7" x14ac:dyDescent="0.2">
      <c r="A59" s="894" t="s">
        <v>480</v>
      </c>
      <c r="B59" s="857" t="s">
        <v>1991</v>
      </c>
      <c r="C59" s="895" t="s">
        <v>1039</v>
      </c>
      <c r="D59" s="857" t="s">
        <v>309</v>
      </c>
      <c r="F59" s="1937">
        <f>'Expenditures 15-22'!I151</f>
        <v>350</v>
      </c>
      <c r="G59" s="866"/>
    </row>
    <row r="60" spans="1:7" x14ac:dyDescent="0.2">
      <c r="A60" s="894" t="s">
        <v>520</v>
      </c>
      <c r="B60" s="857" t="s">
        <v>1992</v>
      </c>
      <c r="C60" s="895">
        <v>4000</v>
      </c>
      <c r="D60" s="857" t="s">
        <v>330</v>
      </c>
      <c r="F60" s="1935">
        <f>'Expenditures 15-22'!K160</f>
        <v>0</v>
      </c>
      <c r="G60" s="866"/>
    </row>
    <row r="61" spans="1:7" x14ac:dyDescent="0.2">
      <c r="A61" s="896" t="s">
        <v>520</v>
      </c>
      <c r="B61" s="896" t="s">
        <v>1993</v>
      </c>
      <c r="C61" s="897" t="str">
        <f>'Expenditures 15-22'!B170</f>
        <v>5300</v>
      </c>
      <c r="D61" s="898" t="s">
        <v>329</v>
      </c>
      <c r="E61" s="880"/>
      <c r="F61" s="1934">
        <f>'Expenditures 15-22'!K170</f>
        <v>54180000</v>
      </c>
      <c r="G61" s="866"/>
    </row>
    <row r="62" spans="1:7" x14ac:dyDescent="0.2">
      <c r="A62" s="870" t="s">
        <v>481</v>
      </c>
      <c r="B62" s="870" t="s">
        <v>1994</v>
      </c>
      <c r="C62" s="887">
        <f>'Expenditures 15-22'!B185</f>
        <v>3000</v>
      </c>
      <c r="D62" s="877" t="s">
        <v>469</v>
      </c>
      <c r="E62" s="869"/>
      <c r="F62" s="1934">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4">
        <f>'Expenditures 15-22'!K196</f>
        <v>0</v>
      </c>
      <c r="G63" s="866"/>
    </row>
    <row r="64" spans="1:7" x14ac:dyDescent="0.2">
      <c r="A64" s="896" t="s">
        <v>481</v>
      </c>
      <c r="B64" s="896" t="s">
        <v>1996</v>
      </c>
      <c r="C64" s="897" t="str">
        <f>'Expenditures 15-22'!B206</f>
        <v>5300</v>
      </c>
      <c r="D64" s="893" t="s">
        <v>329</v>
      </c>
      <c r="E64" s="869"/>
      <c r="F64" s="1934">
        <f>'Expenditures 15-22'!K206</f>
        <v>0</v>
      </c>
      <c r="G64" s="866"/>
    </row>
    <row r="65" spans="1:8" x14ac:dyDescent="0.2">
      <c r="A65" s="870" t="s">
        <v>481</v>
      </c>
      <c r="B65" s="870" t="s">
        <v>1997</v>
      </c>
      <c r="C65" s="887" t="s">
        <v>1039</v>
      </c>
      <c r="D65" s="886" t="s">
        <v>1157</v>
      </c>
      <c r="E65" s="869"/>
      <c r="F65" s="1934">
        <f>'Expenditures 15-22'!G210</f>
        <v>0</v>
      </c>
      <c r="G65" s="866"/>
    </row>
    <row r="66" spans="1:8" x14ac:dyDescent="0.2">
      <c r="A66" s="870" t="s">
        <v>481</v>
      </c>
      <c r="B66" s="870" t="s">
        <v>1998</v>
      </c>
      <c r="C66" s="887" t="s">
        <v>1039</v>
      </c>
      <c r="D66" s="886" t="s">
        <v>309</v>
      </c>
      <c r="E66" s="869"/>
      <c r="F66" s="1934">
        <f>'Expenditures 15-22'!I210</f>
        <v>0</v>
      </c>
      <c r="G66" s="866"/>
    </row>
    <row r="67" spans="1:8" x14ac:dyDescent="0.2">
      <c r="A67" s="870" t="s">
        <v>482</v>
      </c>
      <c r="B67" s="870" t="s">
        <v>1999</v>
      </c>
      <c r="C67" s="887" t="str">
        <f>'Expenditures 15-22'!B216</f>
        <v>1125</v>
      </c>
      <c r="D67" s="893" t="str">
        <f>'Expenditures 15-22'!A216</f>
        <v>Pre-K Programs</v>
      </c>
      <c r="E67" s="869"/>
      <c r="F67" s="1934">
        <f>'Expenditures 15-22'!K216</f>
        <v>0</v>
      </c>
      <c r="G67" s="866"/>
    </row>
    <row r="68" spans="1:8" x14ac:dyDescent="0.2">
      <c r="A68" s="870" t="s">
        <v>482</v>
      </c>
      <c r="B68" s="870" t="s">
        <v>1555</v>
      </c>
      <c r="C68" s="887" t="str">
        <f>'Expenditures 15-22'!B218</f>
        <v>1225</v>
      </c>
      <c r="D68" s="893" t="str">
        <f>'Expenditures 15-22'!A218</f>
        <v>Special Education Programs - Pre-K</v>
      </c>
      <c r="E68" s="869"/>
      <c r="F68" s="1934">
        <f>'Expenditures 15-22'!K218</f>
        <v>700</v>
      </c>
      <c r="G68" s="866"/>
    </row>
    <row r="69" spans="1:8" x14ac:dyDescent="0.2">
      <c r="A69" s="870" t="s">
        <v>482</v>
      </c>
      <c r="B69" s="870" t="s">
        <v>2000</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2001</v>
      </c>
      <c r="C70" s="887">
        <f>'Expenditures 15-22'!B221</f>
        <v>1300</v>
      </c>
      <c r="D70" s="888" t="str">
        <f>'Expenditures 15-22'!A221</f>
        <v>Adult/Continuing Education Programs</v>
      </c>
      <c r="E70" s="869"/>
      <c r="F70" s="1934">
        <f>'Expenditures 15-22'!K221</f>
        <v>0</v>
      </c>
      <c r="G70" s="866"/>
    </row>
    <row r="71" spans="1:8" x14ac:dyDescent="0.2">
      <c r="A71" s="870" t="s">
        <v>482</v>
      </c>
      <c r="B71" s="870" t="s">
        <v>2002</v>
      </c>
      <c r="C71" s="887">
        <f>'Expenditures 15-22'!B224</f>
        <v>1600</v>
      </c>
      <c r="D71" s="888" t="str">
        <f>'Expenditures 15-22'!A224</f>
        <v>Summer School Programs</v>
      </c>
      <c r="E71" s="869"/>
      <c r="F71" s="1934">
        <f>'Expenditures 15-22'!K224</f>
        <v>0</v>
      </c>
      <c r="G71" s="866"/>
    </row>
    <row r="72" spans="1:8" x14ac:dyDescent="0.2">
      <c r="A72" s="870" t="s">
        <v>482</v>
      </c>
      <c r="B72" s="870" t="s">
        <v>2003</v>
      </c>
      <c r="C72" s="887">
        <f>'Expenditures 15-22'!B280</f>
        <v>3000</v>
      </c>
      <c r="D72" s="877" t="s">
        <v>469</v>
      </c>
      <c r="E72" s="869"/>
      <c r="F72" s="1934">
        <f>'Expenditures 15-22'!K280</f>
        <v>22872</v>
      </c>
      <c r="G72" s="866"/>
    </row>
    <row r="73" spans="1:8" x14ac:dyDescent="0.2">
      <c r="A73" s="870" t="s">
        <v>482</v>
      </c>
      <c r="B73" s="870" t="s">
        <v>2004</v>
      </c>
      <c r="C73" s="887" t="str">
        <f>'Expenditures 15-22'!B285</f>
        <v>4000</v>
      </c>
      <c r="D73" s="888" t="str">
        <f>'Expenditures 15-22'!A285</f>
        <v>Total Payments to Other Govt Units</v>
      </c>
      <c r="E73" s="869"/>
      <c r="F73" s="1934">
        <f>'Expenditures 15-22'!K285</f>
        <v>0</v>
      </c>
      <c r="G73" s="866"/>
    </row>
    <row r="74" spans="1:8" x14ac:dyDescent="0.2">
      <c r="A74" s="870" t="s">
        <v>456</v>
      </c>
      <c r="B74" s="870" t="s">
        <v>2005</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2006</v>
      </c>
      <c r="E76" s="1793" t="s">
        <v>1015</v>
      </c>
      <c r="F76" s="1797">
        <f>SUM(F18:F74)</f>
        <v>57750653</v>
      </c>
      <c r="G76" s="866"/>
    </row>
    <row r="77" spans="1:8" s="894" customFormat="1" ht="12" customHeight="1" thickTop="1" thickBot="1" x14ac:dyDescent="0.25">
      <c r="A77" s="1798"/>
      <c r="B77" s="1795"/>
      <c r="C77" s="1791"/>
      <c r="D77" s="1796" t="s">
        <v>2007</v>
      </c>
      <c r="E77" s="1793"/>
      <c r="F77" s="1799">
        <f>(F14-F76)</f>
        <v>40967609</v>
      </c>
      <c r="G77" s="870"/>
    </row>
    <row r="78" spans="1:8" s="894" customFormat="1" ht="12" customHeight="1" thickTop="1" x14ac:dyDescent="0.2">
      <c r="A78" s="1800"/>
      <c r="B78" s="1795"/>
      <c r="C78" s="1791"/>
      <c r="D78" s="1796" t="s">
        <v>2053</v>
      </c>
      <c r="E78" s="1793"/>
      <c r="F78" s="899">
        <v>2747.99</v>
      </c>
      <c r="G78" s="900"/>
      <c r="H78" s="870"/>
    </row>
    <row r="79" spans="1:8" s="894" customFormat="1" ht="12" customHeight="1" thickBot="1" x14ac:dyDescent="0.25">
      <c r="A79" s="1801"/>
      <c r="B79" s="1795"/>
      <c r="C79" s="1791"/>
      <c r="D79" s="1796" t="s">
        <v>2008</v>
      </c>
      <c r="E79" s="1793" t="s">
        <v>1015</v>
      </c>
      <c r="F79" s="1802">
        <f>IF(F78&gt;0,F77/F78," Complete Line 78")</f>
        <v>14908.208909057166</v>
      </c>
      <c r="G79" s="870"/>
    </row>
    <row r="80" spans="1:8" s="894" customFormat="1" ht="8.25" customHeight="1" thickTop="1" x14ac:dyDescent="0.2">
      <c r="A80" s="901"/>
      <c r="B80" s="870"/>
      <c r="C80" s="872"/>
      <c r="D80" s="902"/>
      <c r="E80" s="869"/>
      <c r="F80" s="903"/>
      <c r="G80" s="870"/>
    </row>
    <row r="81" spans="1:7" s="894" customFormat="1" ht="12" thickBot="1" x14ac:dyDescent="0.25">
      <c r="A81" s="2425" t="s">
        <v>1167</v>
      </c>
      <c r="B81" s="2426"/>
      <c r="C81" s="2426"/>
      <c r="D81" s="2426"/>
      <c r="E81" s="2426"/>
      <c r="F81" s="242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23187</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47079</v>
      </c>
      <c r="G94" s="913"/>
    </row>
    <row r="95" spans="1:7" x14ac:dyDescent="0.2">
      <c r="A95" s="909" t="s">
        <v>142</v>
      </c>
      <c r="B95" s="909" t="s">
        <v>177</v>
      </c>
      <c r="C95" s="911">
        <v>1700</v>
      </c>
      <c r="D95" s="919" t="str">
        <f>'Revenues 9-14'!A82</f>
        <v>Total District/School Activity Income</v>
      </c>
      <c r="E95" s="907"/>
      <c r="F95" s="1808">
        <f>SUM('Revenues 9-14'!C82,'Revenues 9-14'!D82)</f>
        <v>0</v>
      </c>
      <c r="G95" s="913"/>
    </row>
    <row r="96" spans="1:7" x14ac:dyDescent="0.2">
      <c r="A96" s="909" t="s">
        <v>479</v>
      </c>
      <c r="B96" s="909" t="s">
        <v>178</v>
      </c>
      <c r="C96" s="911">
        <f>'Revenues 9-14'!B84</f>
        <v>1811</v>
      </c>
      <c r="D96" s="912" t="str">
        <f>'Revenues 9-14'!A84</f>
        <v>Rentals - Regular Textbooks</v>
      </c>
      <c r="E96" s="907"/>
      <c r="F96" s="1808">
        <f>'Revenues 9-14'!C84</f>
        <v>18361</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900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904997</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0</v>
      </c>
      <c r="G106" s="913"/>
    </row>
    <row r="107" spans="1:7" x14ac:dyDescent="0.2">
      <c r="A107" s="922" t="s">
        <v>685</v>
      </c>
      <c r="B107" s="909" t="s">
        <v>843</v>
      </c>
      <c r="C107" s="921">
        <v>3300</v>
      </c>
      <c r="D107" s="912" t="str">
        <f>'Revenues 9-14'!A144</f>
        <v>Total Bilingual Ed</v>
      </c>
      <c r="E107" s="907"/>
      <c r="F107" s="1808">
        <f>SUM('Revenues 9-14'!C144,'Revenues 9-14'!G144)</f>
        <v>291801</v>
      </c>
      <c r="G107" s="913"/>
    </row>
    <row r="108" spans="1:7" x14ac:dyDescent="0.2">
      <c r="A108" s="909" t="s">
        <v>479</v>
      </c>
      <c r="B108" s="909" t="s">
        <v>844</v>
      </c>
      <c r="C108" s="921">
        <f>'Revenues 9-14'!B145</f>
        <v>3360</v>
      </c>
      <c r="D108" s="912" t="str">
        <f>'Revenues 9-14'!A145</f>
        <v>State Free Lunch &amp; Breakfast</v>
      </c>
      <c r="E108" s="907"/>
      <c r="F108" s="1808">
        <f>'Revenues 9-14'!C145</f>
        <v>33319</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799338</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20448</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2072476</v>
      </c>
      <c r="G129" s="931"/>
    </row>
    <row r="130" spans="1:7" x14ac:dyDescent="0.2">
      <c r="A130" s="928" t="s">
        <v>689</v>
      </c>
      <c r="B130" s="928" t="s">
        <v>804</v>
      </c>
      <c r="C130" s="933">
        <v>4300</v>
      </c>
      <c r="D130" s="934" t="str">
        <f>'Revenues 9-14'!A211</f>
        <v>Total Title I</v>
      </c>
      <c r="E130" s="907"/>
      <c r="F130" s="1808">
        <f>SUM('Revenues 9-14'!C211,'Revenues 9-14'!D211,'Revenues 9-14'!F211,'Revenues 9-14'!G211)</f>
        <v>3224795</v>
      </c>
      <c r="G130" s="931"/>
    </row>
    <row r="131" spans="1:7" x14ac:dyDescent="0.2">
      <c r="A131" s="928" t="s">
        <v>689</v>
      </c>
      <c r="B131" s="928" t="s">
        <v>805</v>
      </c>
      <c r="C131" s="933">
        <v>4400</v>
      </c>
      <c r="D131" s="934" t="str">
        <f>'Revenues 9-14'!A216</f>
        <v>Total Title IV</v>
      </c>
      <c r="E131" s="907"/>
      <c r="F131" s="1808">
        <f>SUM('Revenues 9-14'!C216,'Revenues 9-14'!D216,'Revenues 9-14'!F216,'Revenues 9-14'!G216)</f>
        <v>13937</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652728</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58307</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1497762</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1497762</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86190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220283</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107747</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227428</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9" t="s">
        <v>5</v>
      </c>
      <c r="B175" s="1940" t="s">
        <v>2052</v>
      </c>
      <c r="C175" s="1941">
        <v>3100</v>
      </c>
      <c r="D175" s="1942" t="s">
        <v>2055</v>
      </c>
      <c r="E175" s="907"/>
      <c r="F175" s="1926"/>
      <c r="G175" s="928"/>
    </row>
    <row r="176" spans="1:7" x14ac:dyDescent="0.2">
      <c r="A176" s="1939" t="s">
        <v>685</v>
      </c>
      <c r="B176" s="1940" t="s">
        <v>2052</v>
      </c>
      <c r="C176" s="1941">
        <v>3300</v>
      </c>
      <c r="D176" s="1942" t="s">
        <v>2056</v>
      </c>
      <c r="E176" s="907"/>
      <c r="F176" s="1926"/>
      <c r="G176" s="928"/>
    </row>
    <row r="177" spans="1:7" ht="6" customHeight="1" x14ac:dyDescent="0.2">
      <c r="A177" s="928"/>
      <c r="B177" s="928"/>
      <c r="C177" s="950"/>
      <c r="D177" s="928"/>
      <c r="E177" s="907"/>
      <c r="F177" s="951"/>
      <c r="G177" s="948"/>
    </row>
    <row r="178" spans="1:7" x14ac:dyDescent="0.2">
      <c r="A178" s="1789"/>
      <c r="B178" s="1803"/>
      <c r="C178" s="1804"/>
      <c r="D178" s="1805" t="s">
        <v>2009</v>
      </c>
      <c r="E178" s="1806" t="s">
        <v>1015</v>
      </c>
      <c r="F178" s="1807">
        <f>SUM(F84:F136,F161:F176)</f>
        <v>10301083</v>
      </c>
    </row>
    <row r="179" spans="1:7" ht="12" customHeight="1" x14ac:dyDescent="0.2">
      <c r="A179" s="1789"/>
      <c r="B179" s="1803"/>
      <c r="C179" s="1804"/>
      <c r="D179" s="1805" t="s">
        <v>2010</v>
      </c>
      <c r="E179" s="1806"/>
      <c r="F179" s="1808">
        <f>'PCTC-OEPP 27-28'!F77-F178</f>
        <v>30666526</v>
      </c>
    </row>
    <row r="180" spans="1:7" ht="12" customHeight="1" x14ac:dyDescent="0.2">
      <c r="A180" s="1789"/>
      <c r="B180" s="1803"/>
      <c r="C180" s="1804"/>
      <c r="D180" s="1805" t="s">
        <v>1920</v>
      </c>
      <c r="E180" s="1806"/>
      <c r="F180" s="1808">
        <f>'Cap Outlay Deprec 26'!I18</f>
        <v>647295.9</v>
      </c>
    </row>
    <row r="181" spans="1:7" ht="12" customHeight="1" x14ac:dyDescent="0.2">
      <c r="A181" s="1789"/>
      <c r="B181" s="1803"/>
      <c r="C181" s="1804"/>
      <c r="D181" s="1805" t="s">
        <v>2011</v>
      </c>
      <c r="E181" s="1806"/>
      <c r="F181" s="1808">
        <f>F179+F180</f>
        <v>31313821.899999999</v>
      </c>
    </row>
    <row r="182" spans="1:7" ht="12" customHeight="1" x14ac:dyDescent="0.2">
      <c r="A182" s="1789"/>
      <c r="B182" s="1809"/>
      <c r="C182" s="1804"/>
      <c r="D182" s="1805" t="str">
        <f>D78</f>
        <v>9 Month ADA from District Average Daily Attendance/Prior General State Aid Inquiry 2017-2018</v>
      </c>
      <c r="E182" s="1806"/>
      <c r="F182" s="1810">
        <f>'PCTC-OEPP 27-28'!F78</f>
        <v>2747.99</v>
      </c>
      <c r="G182" s="931"/>
    </row>
    <row r="183" spans="1:7" ht="12" customHeight="1" thickBot="1" x14ac:dyDescent="0.25">
      <c r="A183" s="1789"/>
      <c r="B183" s="1809"/>
      <c r="C183" s="1804"/>
      <c r="D183" s="1805" t="s">
        <v>2012</v>
      </c>
      <c r="E183" s="1806" t="s">
        <v>1626</v>
      </c>
      <c r="F183" s="1811">
        <f>F181/F182</f>
        <v>11395.173162929996</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3" customFormat="1" ht="12.2" customHeight="1" x14ac:dyDescent="0.2">
      <c r="A186" s="1943" t="s">
        <v>2059</v>
      </c>
      <c r="B186" s="1944"/>
      <c r="C186" s="1945"/>
      <c r="D186" s="1944"/>
      <c r="E186" s="1945"/>
      <c r="F186" s="1944"/>
      <c r="G186" s="1944"/>
    </row>
    <row r="187" spans="1:7" s="1943" customFormat="1" ht="12.2" customHeight="1" x14ac:dyDescent="0.2">
      <c r="A187" s="1946" t="s">
        <v>2060</v>
      </c>
      <c r="C187" s="1945"/>
      <c r="D187" s="1944"/>
      <c r="E187" s="1945"/>
      <c r="F187" s="1944"/>
      <c r="G187" s="1944"/>
    </row>
    <row r="188" spans="1:7" ht="12" customHeight="1" x14ac:dyDescent="0.2">
      <c r="C188" s="950"/>
      <c r="D188" s="931"/>
      <c r="E188" s="950"/>
      <c r="F188" s="931"/>
      <c r="G188" s="931"/>
    </row>
    <row r="189" spans="1:7" x14ac:dyDescent="0.2">
      <c r="A189" s="1947" t="s">
        <v>2058</v>
      </c>
      <c r="B189" s="1948"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8"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topLeftCell="A10" workbookViewId="0">
      <selection activeCell="B52" sqref="B52"/>
    </sheetView>
  </sheetViews>
  <sheetFormatPr defaultRowHeight="15" x14ac:dyDescent="0.25"/>
  <cols>
    <col min="1" max="1" width="52" style="1561" customWidth="1"/>
    <col min="2" max="2" width="16.42578125" style="1562" bestFit="1" customWidth="1"/>
    <col min="3" max="3" width="37.570312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1936</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439" t="s">
        <v>1921</v>
      </c>
      <c r="B4" s="2440"/>
      <c r="C4" s="2440"/>
      <c r="D4" s="2440"/>
      <c r="E4" s="2440"/>
      <c r="F4" s="2440"/>
      <c r="G4" s="2441"/>
    </row>
    <row r="5" spans="1:7" x14ac:dyDescent="0.25">
      <c r="A5" s="2442"/>
      <c r="B5" s="2443"/>
      <c r="C5" s="2443"/>
      <c r="D5" s="2443"/>
      <c r="E5" s="2443"/>
      <c r="F5" s="2443"/>
      <c r="G5" s="2444"/>
    </row>
    <row r="6" spans="1:7" ht="18.75" x14ac:dyDescent="0.25">
      <c r="A6" s="1553" t="s">
        <v>1922</v>
      </c>
      <c r="B6" s="1554"/>
      <c r="C6" s="1554"/>
      <c r="D6" s="1554"/>
      <c r="E6" s="1554"/>
      <c r="F6" s="1554"/>
      <c r="G6" s="1555"/>
    </row>
    <row r="7" spans="1:7" ht="30.75" customHeight="1" x14ac:dyDescent="0.25">
      <c r="A7" s="2445" t="s">
        <v>2069</v>
      </c>
      <c r="B7" s="2446"/>
      <c r="C7" s="2446"/>
      <c r="D7" s="2446"/>
      <c r="E7" s="2446"/>
      <c r="F7" s="2446"/>
      <c r="G7" s="2447"/>
    </row>
    <row r="8" spans="1:7" ht="15.75" customHeight="1" x14ac:dyDescent="0.25">
      <c r="A8" s="2448" t="s">
        <v>2018</v>
      </c>
      <c r="B8" s="2449"/>
      <c r="C8" s="2449"/>
      <c r="D8" s="2449"/>
      <c r="E8" s="2449"/>
      <c r="F8" s="2449"/>
      <c r="G8" s="2450"/>
    </row>
    <row r="9" spans="1:7" ht="35.25" customHeight="1" x14ac:dyDescent="0.25">
      <c r="A9" s="2445" t="s">
        <v>2072</v>
      </c>
      <c r="B9" s="2446"/>
      <c r="C9" s="2446"/>
      <c r="D9" s="2446"/>
      <c r="E9" s="2446"/>
      <c r="F9" s="2446"/>
      <c r="G9" s="2447"/>
    </row>
    <row r="10" spans="1:7" ht="15" customHeight="1" x14ac:dyDescent="0.25">
      <c r="A10" s="1556" t="s">
        <v>1923</v>
      </c>
      <c r="B10" s="1557"/>
      <c r="C10" s="1557"/>
      <c r="D10" s="1557"/>
      <c r="E10" s="1557"/>
      <c r="F10" s="1557"/>
      <c r="G10" s="1558"/>
    </row>
    <row r="11" spans="1:7" ht="17.25" customHeight="1" x14ac:dyDescent="0.25">
      <c r="A11" s="2445" t="s">
        <v>2071</v>
      </c>
      <c r="B11" s="2446"/>
      <c r="C11" s="2446"/>
      <c r="D11" s="2446"/>
      <c r="E11" s="2446"/>
      <c r="F11" s="2446"/>
      <c r="G11" s="2447"/>
    </row>
    <row r="12" spans="1:7" ht="15" customHeight="1" x14ac:dyDescent="0.25">
      <c r="A12" s="1556" t="s">
        <v>1928</v>
      </c>
      <c r="B12" s="1557"/>
      <c r="C12" s="1557"/>
      <c r="D12" s="1557"/>
      <c r="E12" s="1557"/>
      <c r="F12" s="1557"/>
      <c r="G12" s="1558"/>
    </row>
    <row r="13" spans="1:7" ht="32.25" customHeight="1" x14ac:dyDescent="0.25">
      <c r="A13" s="2436" t="s">
        <v>1929</v>
      </c>
      <c r="B13" s="2437"/>
      <c r="C13" s="2437"/>
      <c r="D13" s="2437"/>
      <c r="E13" s="2437"/>
      <c r="F13" s="2437"/>
      <c r="G13" s="2438"/>
    </row>
    <row r="14" spans="1:7" x14ac:dyDescent="0.25">
      <c r="A14" s="1680" t="s">
        <v>1937</v>
      </c>
      <c r="B14" s="1681"/>
      <c r="C14" s="1681"/>
      <c r="D14" s="1681"/>
      <c r="E14" s="1681"/>
      <c r="F14" s="1681"/>
      <c r="G14" s="1682"/>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1938</v>
      </c>
      <c r="B16" s="1668" t="s">
        <v>1927</v>
      </c>
      <c r="C16" s="1669" t="s">
        <v>1925</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103" t="s">
        <v>2229</v>
      </c>
      <c r="B17" s="2106" t="s">
        <v>2228</v>
      </c>
      <c r="C17" s="2105" t="s">
        <v>2231</v>
      </c>
      <c r="D17" s="1864">
        <v>34112</v>
      </c>
      <c r="E17" s="1559">
        <f t="shared" ref="E17:E141" si="1">IF(D17&lt;=25000,D17,IF(D17&gt;25000,25000,0))</f>
        <v>25000</v>
      </c>
      <c r="F17" s="1812">
        <f t="shared" si="0"/>
        <v>25000</v>
      </c>
      <c r="G17" s="1813">
        <f>IF(F17=0,0,D17-F17)</f>
        <v>9112</v>
      </c>
      <c r="H17" s="1666"/>
    </row>
    <row r="18" spans="1:8" x14ac:dyDescent="0.25">
      <c r="A18" s="2103" t="s">
        <v>2229</v>
      </c>
      <c r="B18" s="2106" t="s">
        <v>2228</v>
      </c>
      <c r="C18" s="2105" t="s">
        <v>2230</v>
      </c>
      <c r="D18" s="1864">
        <v>7910</v>
      </c>
      <c r="E18" s="1559">
        <f t="shared" ref="E18:E140" si="2">IF(D18&lt;=25000,D18,IF(D18&gt;25000,25000,0))</f>
        <v>7910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7910</v>
      </c>
      <c r="G18" s="1813">
        <f t="shared" ref="G18:G140" si="4">IF(F18=0,0,D18-F18)</f>
        <v>0</v>
      </c>
    </row>
    <row r="19" spans="1:8" x14ac:dyDescent="0.25">
      <c r="A19" s="2103" t="s">
        <v>2229</v>
      </c>
      <c r="B19" s="2106" t="s">
        <v>2228</v>
      </c>
      <c r="C19" s="2105" t="s">
        <v>2232</v>
      </c>
      <c r="D19" s="1864">
        <v>12983</v>
      </c>
      <c r="E19" s="1559">
        <f t="shared" si="2"/>
        <v>12983</v>
      </c>
      <c r="F19" s="1812">
        <f t="shared" si="3"/>
        <v>12983</v>
      </c>
      <c r="G19" s="1813">
        <f t="shared" si="4"/>
        <v>0</v>
      </c>
    </row>
    <row r="20" spans="1:8" x14ac:dyDescent="0.25">
      <c r="A20" s="2103" t="s">
        <v>2229</v>
      </c>
      <c r="B20" s="2106" t="s">
        <v>2228</v>
      </c>
      <c r="C20" s="2105" t="s">
        <v>2233</v>
      </c>
      <c r="D20" s="1864">
        <v>34200</v>
      </c>
      <c r="E20" s="1559">
        <f t="shared" si="2"/>
        <v>25000</v>
      </c>
      <c r="F20" s="1812">
        <f t="shared" si="3"/>
        <v>25000</v>
      </c>
      <c r="G20" s="1813">
        <f t="shared" si="4"/>
        <v>9200</v>
      </c>
    </row>
    <row r="21" spans="1:8" x14ac:dyDescent="0.25">
      <c r="A21" s="2103" t="s">
        <v>2229</v>
      </c>
      <c r="B21" s="2106" t="s">
        <v>2228</v>
      </c>
      <c r="C21" s="2105" t="s">
        <v>2236</v>
      </c>
      <c r="D21" s="1864">
        <v>32915</v>
      </c>
      <c r="E21" s="1559">
        <f t="shared" si="2"/>
        <v>25000</v>
      </c>
      <c r="F21" s="1812">
        <f t="shared" si="3"/>
        <v>25000</v>
      </c>
      <c r="G21" s="1813">
        <f t="shared" si="4"/>
        <v>7915</v>
      </c>
    </row>
    <row r="22" spans="1:8" x14ac:dyDescent="0.25">
      <c r="A22" s="2103" t="s">
        <v>2229</v>
      </c>
      <c r="B22" s="2106" t="s">
        <v>2228</v>
      </c>
      <c r="C22" s="2105" t="s">
        <v>2237</v>
      </c>
      <c r="D22" s="1864">
        <v>6214</v>
      </c>
      <c r="E22" s="1559">
        <f t="shared" si="2"/>
        <v>6214</v>
      </c>
      <c r="F22" s="1812">
        <f t="shared" si="3"/>
        <v>6214</v>
      </c>
      <c r="G22" s="1813">
        <f t="shared" si="4"/>
        <v>0</v>
      </c>
    </row>
    <row r="23" spans="1:8" x14ac:dyDescent="0.25">
      <c r="A23" s="2103" t="s">
        <v>2229</v>
      </c>
      <c r="B23" s="2106" t="s">
        <v>2228</v>
      </c>
      <c r="C23" s="2105" t="s">
        <v>2238</v>
      </c>
      <c r="D23" s="1864">
        <v>151638</v>
      </c>
      <c r="E23" s="1559">
        <f t="shared" si="2"/>
        <v>25000</v>
      </c>
      <c r="F23" s="1812">
        <f t="shared" si="3"/>
        <v>25000</v>
      </c>
      <c r="G23" s="1813">
        <f t="shared" si="4"/>
        <v>126638</v>
      </c>
    </row>
    <row r="24" spans="1:8" x14ac:dyDescent="0.25">
      <c r="A24" s="2103" t="s">
        <v>2229</v>
      </c>
      <c r="B24" s="2106" t="s">
        <v>2228</v>
      </c>
      <c r="C24" s="2105" t="s">
        <v>2239</v>
      </c>
      <c r="D24" s="1864">
        <v>223122</v>
      </c>
      <c r="E24" s="1559">
        <f t="shared" si="2"/>
        <v>25000</v>
      </c>
      <c r="F24" s="1812">
        <f t="shared" si="3"/>
        <v>25000</v>
      </c>
      <c r="G24" s="1813">
        <f t="shared" si="4"/>
        <v>198122</v>
      </c>
    </row>
    <row r="25" spans="1:8" x14ac:dyDescent="0.25">
      <c r="A25" s="2103" t="s">
        <v>2240</v>
      </c>
      <c r="B25" s="2106" t="s">
        <v>2241</v>
      </c>
      <c r="C25" s="2105" t="s">
        <v>2085</v>
      </c>
      <c r="D25" s="1864">
        <v>586974</v>
      </c>
      <c r="E25" s="1559">
        <f t="shared" si="2"/>
        <v>25000</v>
      </c>
      <c r="F25" s="1812">
        <f t="shared" si="3"/>
        <v>25000</v>
      </c>
      <c r="G25" s="1813">
        <f t="shared" si="4"/>
        <v>561974</v>
      </c>
    </row>
    <row r="26" spans="1:8" x14ac:dyDescent="0.25">
      <c r="A26" s="2103" t="s">
        <v>2240</v>
      </c>
      <c r="B26" s="2106" t="s">
        <v>2241</v>
      </c>
      <c r="C26" s="2105" t="s">
        <v>2242</v>
      </c>
      <c r="D26" s="1864">
        <v>92093</v>
      </c>
      <c r="E26" s="1559">
        <f t="shared" si="2"/>
        <v>25000</v>
      </c>
      <c r="F26" s="1812">
        <f t="shared" si="3"/>
        <v>25000</v>
      </c>
      <c r="G26" s="1813">
        <f t="shared" si="4"/>
        <v>67093</v>
      </c>
    </row>
    <row r="27" spans="1:8" x14ac:dyDescent="0.25">
      <c r="A27" s="2103" t="s">
        <v>2240</v>
      </c>
      <c r="B27" s="2106" t="s">
        <v>2241</v>
      </c>
      <c r="C27" s="2105" t="s">
        <v>2243</v>
      </c>
      <c r="D27" s="1864">
        <v>11250</v>
      </c>
      <c r="E27" s="1559">
        <f t="shared" si="2"/>
        <v>11250</v>
      </c>
      <c r="F27" s="1812">
        <f t="shared" si="3"/>
        <v>11250</v>
      </c>
      <c r="G27" s="1813">
        <f t="shared" si="4"/>
        <v>0</v>
      </c>
    </row>
    <row r="28" spans="1:8" x14ac:dyDescent="0.25">
      <c r="A28" s="2103" t="s">
        <v>2240</v>
      </c>
      <c r="B28" s="2106" t="s">
        <v>2241</v>
      </c>
      <c r="C28" s="2105" t="s">
        <v>2244</v>
      </c>
      <c r="D28" s="1864">
        <v>115166</v>
      </c>
      <c r="E28" s="1559">
        <f t="shared" si="2"/>
        <v>25000</v>
      </c>
      <c r="F28" s="1812">
        <f t="shared" si="3"/>
        <v>25000</v>
      </c>
      <c r="G28" s="1813">
        <f t="shared" si="4"/>
        <v>90166</v>
      </c>
    </row>
    <row r="29" spans="1:8" x14ac:dyDescent="0.25">
      <c r="A29" s="2103" t="s">
        <v>2251</v>
      </c>
      <c r="B29" s="2106" t="s">
        <v>2245</v>
      </c>
      <c r="C29" s="2105" t="s">
        <v>2246</v>
      </c>
      <c r="D29" s="1864">
        <v>51029</v>
      </c>
      <c r="E29" s="1559">
        <f t="shared" si="2"/>
        <v>25000</v>
      </c>
      <c r="F29" s="1812">
        <f t="shared" si="3"/>
        <v>25000</v>
      </c>
      <c r="G29" s="1813">
        <f t="shared" si="4"/>
        <v>26029</v>
      </c>
    </row>
    <row r="30" spans="1:8" x14ac:dyDescent="0.25">
      <c r="A30" s="2103" t="s">
        <v>2251</v>
      </c>
      <c r="B30" s="2106" t="s">
        <v>2245</v>
      </c>
      <c r="C30" s="2105" t="s">
        <v>2247</v>
      </c>
      <c r="D30" s="1864">
        <v>14080</v>
      </c>
      <c r="E30" s="1559">
        <f t="shared" si="2"/>
        <v>14080</v>
      </c>
      <c r="F30" s="1812">
        <f t="shared" si="3"/>
        <v>14080</v>
      </c>
      <c r="G30" s="1813">
        <f t="shared" si="4"/>
        <v>0</v>
      </c>
    </row>
    <row r="31" spans="1:8" x14ac:dyDescent="0.25">
      <c r="A31" s="2103" t="s">
        <v>2252</v>
      </c>
      <c r="B31" s="2106" t="s">
        <v>2245</v>
      </c>
      <c r="C31" s="2105" t="s">
        <v>2248</v>
      </c>
      <c r="D31" s="1864">
        <v>17400</v>
      </c>
      <c r="E31" s="1559">
        <f t="shared" si="2"/>
        <v>17400</v>
      </c>
      <c r="F31" s="1812">
        <f t="shared" si="3"/>
        <v>17400</v>
      </c>
      <c r="G31" s="1813">
        <f t="shared" si="4"/>
        <v>0</v>
      </c>
    </row>
    <row r="32" spans="1:8" x14ac:dyDescent="0.25">
      <c r="A32" s="2103" t="s">
        <v>2252</v>
      </c>
      <c r="B32" s="2106" t="s">
        <v>2245</v>
      </c>
      <c r="C32" s="2105" t="s">
        <v>2249</v>
      </c>
      <c r="D32" s="1864">
        <v>22166</v>
      </c>
      <c r="E32" s="1559">
        <f t="shared" si="2"/>
        <v>22166</v>
      </c>
      <c r="F32" s="1812">
        <f t="shared" si="3"/>
        <v>22166</v>
      </c>
      <c r="G32" s="1813">
        <f t="shared" si="4"/>
        <v>0</v>
      </c>
    </row>
    <row r="33" spans="1:7" x14ac:dyDescent="0.25">
      <c r="A33" s="2103" t="s">
        <v>2252</v>
      </c>
      <c r="B33" s="2106" t="s">
        <v>2245</v>
      </c>
      <c r="C33" s="2105" t="s">
        <v>2250</v>
      </c>
      <c r="D33" s="1864">
        <v>126974</v>
      </c>
      <c r="E33" s="1559">
        <f t="shared" si="2"/>
        <v>25000</v>
      </c>
      <c r="F33" s="1812">
        <f t="shared" si="3"/>
        <v>25000</v>
      </c>
      <c r="G33" s="1813">
        <f t="shared" si="4"/>
        <v>101974</v>
      </c>
    </row>
    <row r="34" spans="1:7" x14ac:dyDescent="0.25">
      <c r="A34" s="2103" t="s">
        <v>2253</v>
      </c>
      <c r="B34" s="2106" t="s">
        <v>2254</v>
      </c>
      <c r="C34" s="2105" t="s">
        <v>2255</v>
      </c>
      <c r="D34" s="1864">
        <v>3192</v>
      </c>
      <c r="E34" s="1559">
        <f t="shared" si="2"/>
        <v>3192</v>
      </c>
      <c r="F34" s="1812">
        <f t="shared" si="3"/>
        <v>3192</v>
      </c>
      <c r="G34" s="1813">
        <f t="shared" si="4"/>
        <v>0</v>
      </c>
    </row>
    <row r="35" spans="1:7" x14ac:dyDescent="0.25">
      <c r="A35" s="2103" t="s">
        <v>2253</v>
      </c>
      <c r="B35" s="2106" t="s">
        <v>2254</v>
      </c>
      <c r="C35" s="2105" t="s">
        <v>2256</v>
      </c>
      <c r="D35" s="1864">
        <v>190926</v>
      </c>
      <c r="E35" s="1559">
        <f t="shared" si="2"/>
        <v>25000</v>
      </c>
      <c r="F35" s="1812">
        <f t="shared" si="3"/>
        <v>25000</v>
      </c>
      <c r="G35" s="1813">
        <f t="shared" si="4"/>
        <v>165926</v>
      </c>
    </row>
    <row r="36" spans="1:7" x14ac:dyDescent="0.25">
      <c r="A36" s="2103" t="s">
        <v>2253</v>
      </c>
      <c r="B36" s="2106" t="s">
        <v>2254</v>
      </c>
      <c r="C36" s="2105" t="s">
        <v>2257</v>
      </c>
      <c r="D36" s="1864">
        <v>382213</v>
      </c>
      <c r="E36" s="1559">
        <f t="shared" si="2"/>
        <v>25000</v>
      </c>
      <c r="F36" s="1812">
        <f t="shared" si="3"/>
        <v>25000</v>
      </c>
      <c r="G36" s="1813">
        <f t="shared" si="4"/>
        <v>357213</v>
      </c>
    </row>
    <row r="37" spans="1:7" x14ac:dyDescent="0.25">
      <c r="A37" s="2103" t="s">
        <v>2253</v>
      </c>
      <c r="B37" s="2106" t="s">
        <v>2254</v>
      </c>
      <c r="C37" s="2105" t="s">
        <v>2258</v>
      </c>
      <c r="D37" s="1864">
        <v>729</v>
      </c>
      <c r="E37" s="1559">
        <f t="shared" si="2"/>
        <v>729</v>
      </c>
      <c r="F37" s="1812">
        <f t="shared" si="3"/>
        <v>729</v>
      </c>
      <c r="G37" s="1813">
        <f t="shared" si="4"/>
        <v>0</v>
      </c>
    </row>
    <row r="38" spans="1:7" x14ac:dyDescent="0.25">
      <c r="A38" s="2103" t="s">
        <v>2259</v>
      </c>
      <c r="B38" s="2104" t="s">
        <v>2260</v>
      </c>
      <c r="C38" s="2105" t="s">
        <v>2247</v>
      </c>
      <c r="D38" s="1864">
        <v>3880</v>
      </c>
      <c r="E38" s="1559">
        <f t="shared" si="2"/>
        <v>3880</v>
      </c>
      <c r="F38" s="1812">
        <f t="shared" si="3"/>
        <v>3880</v>
      </c>
      <c r="G38" s="1813">
        <f t="shared" si="4"/>
        <v>0</v>
      </c>
    </row>
    <row r="39" spans="1:7" x14ac:dyDescent="0.25">
      <c r="A39" s="2107" t="s">
        <v>2261</v>
      </c>
      <c r="B39" s="2108" t="s">
        <v>2262</v>
      </c>
      <c r="C39" s="2109" t="s">
        <v>2263</v>
      </c>
      <c r="D39" s="1864">
        <v>319</v>
      </c>
      <c r="E39" s="1559">
        <f t="shared" si="2"/>
        <v>319</v>
      </c>
      <c r="F39" s="1812">
        <f t="shared" si="3"/>
        <v>319</v>
      </c>
      <c r="G39" s="1813">
        <f t="shared" si="4"/>
        <v>0</v>
      </c>
    </row>
    <row r="40" spans="1:7" x14ac:dyDescent="0.25">
      <c r="A40" s="2107" t="s">
        <v>2261</v>
      </c>
      <c r="B40" s="2108" t="s">
        <v>2262</v>
      </c>
      <c r="C40" s="2109" t="s">
        <v>2264</v>
      </c>
      <c r="D40" s="1864">
        <v>213259</v>
      </c>
      <c r="E40" s="1559">
        <f t="shared" si="2"/>
        <v>25000</v>
      </c>
      <c r="F40" s="1812">
        <f t="shared" si="3"/>
        <v>25000</v>
      </c>
      <c r="G40" s="1813">
        <f t="shared" si="4"/>
        <v>188259</v>
      </c>
    </row>
    <row r="41" spans="1:7" x14ac:dyDescent="0.25">
      <c r="A41" s="2107" t="s">
        <v>2261</v>
      </c>
      <c r="B41" s="2108" t="s">
        <v>2262</v>
      </c>
      <c r="C41" s="2109" t="s">
        <v>2265</v>
      </c>
      <c r="D41" s="1864">
        <v>181183</v>
      </c>
      <c r="E41" s="1559">
        <f t="shared" si="2"/>
        <v>25000</v>
      </c>
      <c r="F41" s="1812">
        <f t="shared" si="3"/>
        <v>25000</v>
      </c>
      <c r="G41" s="1813">
        <f t="shared" si="4"/>
        <v>156183</v>
      </c>
    </row>
    <row r="42" spans="1:7" x14ac:dyDescent="0.25">
      <c r="A42" s="2107" t="s">
        <v>2261</v>
      </c>
      <c r="B42" s="2108" t="s">
        <v>2262</v>
      </c>
      <c r="C42" s="2109" t="s">
        <v>2266</v>
      </c>
      <c r="D42" s="1864">
        <v>137952</v>
      </c>
      <c r="E42" s="1559">
        <f t="shared" si="2"/>
        <v>25000</v>
      </c>
      <c r="F42" s="1812">
        <f t="shared" si="3"/>
        <v>25000</v>
      </c>
      <c r="G42" s="1813">
        <f t="shared" si="4"/>
        <v>112952</v>
      </c>
    </row>
    <row r="43" spans="1:7" x14ac:dyDescent="0.25">
      <c r="A43" s="2107" t="s">
        <v>2261</v>
      </c>
      <c r="B43" s="2108" t="s">
        <v>2262</v>
      </c>
      <c r="C43" s="2109" t="s">
        <v>2267</v>
      </c>
      <c r="D43" s="1864">
        <v>116118</v>
      </c>
      <c r="E43" s="1559">
        <f t="shared" si="2"/>
        <v>25000</v>
      </c>
      <c r="F43" s="1812">
        <f t="shared" si="3"/>
        <v>25000</v>
      </c>
      <c r="G43" s="1813">
        <f t="shared" si="4"/>
        <v>91118</v>
      </c>
    </row>
    <row r="44" spans="1:7" x14ac:dyDescent="0.25">
      <c r="A44" s="2107" t="s">
        <v>2261</v>
      </c>
      <c r="B44" s="2108" t="s">
        <v>2262</v>
      </c>
      <c r="C44" s="2109" t="s">
        <v>2268</v>
      </c>
      <c r="D44" s="1864">
        <v>29686</v>
      </c>
      <c r="E44" s="1559">
        <f t="shared" si="2"/>
        <v>25000</v>
      </c>
      <c r="F44" s="1812">
        <f t="shared" si="3"/>
        <v>25000</v>
      </c>
      <c r="G44" s="1813">
        <f t="shared" si="4"/>
        <v>4686</v>
      </c>
    </row>
    <row r="45" spans="1:7" x14ac:dyDescent="0.25">
      <c r="A45" s="2107" t="s">
        <v>2261</v>
      </c>
      <c r="B45" s="2108" t="s">
        <v>2262</v>
      </c>
      <c r="C45" s="2109" t="s">
        <v>2269</v>
      </c>
      <c r="D45" s="1864">
        <v>13261</v>
      </c>
      <c r="E45" s="1559">
        <f t="shared" si="2"/>
        <v>13261</v>
      </c>
      <c r="F45" s="1812">
        <f t="shared" si="3"/>
        <v>13261</v>
      </c>
      <c r="G45" s="1813">
        <f t="shared" si="4"/>
        <v>0</v>
      </c>
    </row>
    <row r="46" spans="1:7" x14ac:dyDescent="0.25">
      <c r="A46" s="2107" t="s">
        <v>2261</v>
      </c>
      <c r="B46" s="2108" t="s">
        <v>2262</v>
      </c>
      <c r="C46" s="2109" t="s">
        <v>2270</v>
      </c>
      <c r="D46" s="1864">
        <v>198688</v>
      </c>
      <c r="E46" s="1559">
        <f t="shared" si="2"/>
        <v>25000</v>
      </c>
      <c r="F46" s="1812">
        <f t="shared" si="3"/>
        <v>25000</v>
      </c>
      <c r="G46" s="1813">
        <f t="shared" si="4"/>
        <v>173688</v>
      </c>
    </row>
    <row r="47" spans="1:7" x14ac:dyDescent="0.25">
      <c r="A47" s="2107" t="s">
        <v>2271</v>
      </c>
      <c r="B47" s="2108" t="s">
        <v>2272</v>
      </c>
      <c r="C47" s="2109" t="s">
        <v>2273</v>
      </c>
      <c r="D47" s="1864">
        <v>8040</v>
      </c>
      <c r="E47" s="1559">
        <f t="shared" si="2"/>
        <v>8040</v>
      </c>
      <c r="F47" s="1812">
        <f t="shared" si="3"/>
        <v>8040</v>
      </c>
      <c r="G47" s="1813">
        <f t="shared" si="4"/>
        <v>0</v>
      </c>
    </row>
    <row r="48" spans="1:7" x14ac:dyDescent="0.25">
      <c r="A48" s="2107" t="s">
        <v>2274</v>
      </c>
      <c r="B48" s="2108" t="s">
        <v>2275</v>
      </c>
      <c r="C48" s="2109" t="s">
        <v>2276</v>
      </c>
      <c r="D48" s="1864">
        <v>154856</v>
      </c>
      <c r="E48" s="1559">
        <f t="shared" si="2"/>
        <v>25000</v>
      </c>
      <c r="F48" s="1812">
        <f t="shared" si="3"/>
        <v>25000</v>
      </c>
      <c r="G48" s="1813">
        <f t="shared" si="4"/>
        <v>129856</v>
      </c>
    </row>
    <row r="49" spans="1:7" x14ac:dyDescent="0.25">
      <c r="A49" s="2107" t="s">
        <v>2274</v>
      </c>
      <c r="B49" s="2108" t="s">
        <v>2275</v>
      </c>
      <c r="C49" s="2109" t="s">
        <v>2277</v>
      </c>
      <c r="D49" s="1864">
        <v>40185</v>
      </c>
      <c r="E49" s="1559">
        <f t="shared" si="2"/>
        <v>25000</v>
      </c>
      <c r="F49" s="1812">
        <f t="shared" si="3"/>
        <v>25000</v>
      </c>
      <c r="G49" s="1813">
        <f t="shared" si="4"/>
        <v>15185</v>
      </c>
    </row>
    <row r="50" spans="1:7" x14ac:dyDescent="0.25">
      <c r="A50" s="2107" t="s">
        <v>2274</v>
      </c>
      <c r="B50" s="2108" t="s">
        <v>2275</v>
      </c>
      <c r="C50" s="2109" t="s">
        <v>2278</v>
      </c>
      <c r="D50" s="1864">
        <v>285684</v>
      </c>
      <c r="E50" s="1559">
        <f t="shared" si="2"/>
        <v>25000</v>
      </c>
      <c r="F50" s="1812">
        <f t="shared" si="3"/>
        <v>25000</v>
      </c>
      <c r="G50" s="1813">
        <f t="shared" si="4"/>
        <v>260684</v>
      </c>
    </row>
    <row r="51" spans="1:7" x14ac:dyDescent="0.25">
      <c r="A51" s="2107" t="s">
        <v>2279</v>
      </c>
      <c r="B51" s="2108" t="s">
        <v>2280</v>
      </c>
      <c r="C51" s="2109" t="s">
        <v>2281</v>
      </c>
      <c r="D51" s="1864">
        <v>157564</v>
      </c>
      <c r="E51" s="1559">
        <f t="shared" si="2"/>
        <v>25000</v>
      </c>
      <c r="F51" s="1812">
        <f t="shared" si="3"/>
        <v>25000</v>
      </c>
      <c r="G51" s="1813">
        <f t="shared" si="4"/>
        <v>132564</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2103"/>
      <c r="B95" s="2104"/>
      <c r="C95" s="2105"/>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3657961</v>
      </c>
      <c r="E141" s="1560">
        <f t="shared" si="1"/>
        <v>25000</v>
      </c>
      <c r="F141" s="1814">
        <f>SUM(F17:F140)</f>
        <v>671424</v>
      </c>
      <c r="G141" s="1815">
        <f>SUM(G17:G140)</f>
        <v>2986537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7"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451" t="s">
        <v>1777</v>
      </c>
      <c r="B5" s="2452"/>
      <c r="C5" s="2452"/>
      <c r="D5" s="2452"/>
      <c r="E5" s="2452"/>
      <c r="F5" s="2452"/>
      <c r="G5" s="2453"/>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29101.54</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2070</v>
      </c>
      <c r="B10" s="972"/>
      <c r="C10" s="977"/>
      <c r="D10" s="973"/>
      <c r="E10" s="974">
        <f>'Expenditures 15-22'!F63-179070.41</f>
        <v>970753.59</v>
      </c>
      <c r="F10" s="975"/>
      <c r="G10" s="976"/>
      <c r="H10" s="162"/>
      <c r="I10" s="162"/>
    </row>
    <row r="11" spans="1:9" s="669" customFormat="1" ht="22.5" customHeight="1" x14ac:dyDescent="0.2">
      <c r="A11" s="2456" t="s">
        <v>1940</v>
      </c>
      <c r="B11" s="2457"/>
      <c r="C11" s="2457"/>
      <c r="D11" s="2458"/>
      <c r="E11" s="978">
        <v>179070.41</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9900</v>
      </c>
      <c r="F13" s="975"/>
      <c r="G13" s="976"/>
      <c r="H13" s="162"/>
      <c r="I13" s="162"/>
    </row>
    <row r="14" spans="1:9" s="669" customFormat="1" ht="12" customHeight="1" x14ac:dyDescent="0.2">
      <c r="A14" s="971" t="s">
        <v>213</v>
      </c>
      <c r="B14" s="972"/>
      <c r="C14" s="972"/>
      <c r="D14" s="973"/>
      <c r="E14" s="974">
        <v>7250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23509934</v>
      </c>
      <c r="F19" s="1819"/>
      <c r="G19" s="1821">
        <f>'Expenditures 15-22'!K33-SUM('Expenditures 15-22'!G33,'Expenditures 15-22'!I33)+'Expenditures 15-22'!D229</f>
        <v>23509934</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1395320</v>
      </c>
      <c r="F21" s="1822"/>
      <c r="G21" s="1825">
        <f>'Expenditures 15-22'!K42-SUM('Expenditures 15-22'!G42,'Expenditures 15-22'!I42)+'Expenditures 15-22'!K120-SUM('Expenditures 15-22'!G120,'Expenditures 15-22'!I120)+'Expenditures 15-22'!K180-SUM('Expenditures 15-22'!G180,'Expenditures 15-22'!I180)+'Expenditures 15-22'!D238</f>
        <v>1395320</v>
      </c>
      <c r="H21" s="988"/>
      <c r="I21" s="162"/>
    </row>
    <row r="22" spans="1:9" s="669" customFormat="1" ht="12" customHeight="1" x14ac:dyDescent="0.2">
      <c r="A22" s="995" t="s">
        <v>585</v>
      </c>
      <c r="B22" s="996"/>
      <c r="C22" s="994">
        <v>2200</v>
      </c>
      <c r="D22" s="1822"/>
      <c r="E22" s="1824">
        <f>'Expenditures 15-22'!K47-SUM('Expenditures 15-22'!G47,'Expenditures 15-22'!I47)+'Expenditures 15-22'!D243</f>
        <v>1249062</v>
      </c>
      <c r="F22" s="1822"/>
      <c r="G22" s="1825">
        <f>'Expenditures 15-22'!K47-SUM('Expenditures 15-22'!G47,'Expenditures 15-22'!I47)+'Expenditures 15-22'!D243</f>
        <v>1249062</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3422719</v>
      </c>
      <c r="F23" s="1822"/>
      <c r="G23" s="1824">
        <f>'Expenditures 15-22'!K53-SUM('Expenditures 15-22'!G53,'Expenditures 15-22'!I53)+'Expenditures 15-22'!D257+'Expenditures 15-22'!K330-SUM('Expenditures 15-22'!G330,'Expenditures 15-22'!I330)</f>
        <v>3422719</v>
      </c>
      <c r="H23" s="988"/>
      <c r="I23" s="162"/>
    </row>
    <row r="24" spans="1:9" s="669" customFormat="1" ht="12" customHeight="1" x14ac:dyDescent="0.2">
      <c r="A24" s="995" t="s">
        <v>587</v>
      </c>
      <c r="B24" s="996"/>
      <c r="C24" s="994">
        <v>2400</v>
      </c>
      <c r="D24" s="1822"/>
      <c r="E24" s="1824">
        <f>'Expenditures 15-22'!K57-SUM('Expenditures 15-22'!G57,'Expenditures 15-22'!I57)+'Expenditures 15-22'!D261</f>
        <v>1797163</v>
      </c>
      <c r="F24" s="1822"/>
      <c r="G24" s="1825">
        <f>'Expenditures 15-22'!K57-SUM('Expenditures 15-22'!G57,'Expenditures 15-22'!I57)+'Expenditures 15-22'!D261</f>
        <v>1797163</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254871</v>
      </c>
      <c r="E26" s="1824">
        <f>'Expenditures 15-22'!K122-SUM('Expenditures 15-22'!G122,'Expenditures 15-22'!I122)+E7</f>
        <v>0</v>
      </c>
      <c r="F26" s="1824">
        <f>'Expenditures 15-22'!K59-SUM('Expenditures 15-22'!G59,'Expenditures 15-22'!I59)+'Expenditures 15-22'!D263-E7</f>
        <v>254871</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355679.46</v>
      </c>
      <c r="E27" s="1824">
        <f>E8</f>
        <v>29101.54</v>
      </c>
      <c r="F27" s="1824">
        <f>'Expenditures 15-22'!K60-SUM('Expenditures 15-22'!G60,'Expenditures 15-22'!I60)+'Expenditures 15-22'!D264-E8</f>
        <v>355679.46</v>
      </c>
      <c r="G27" s="1825">
        <f>E8</f>
        <v>29101.54</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3992289</v>
      </c>
      <c r="F28" s="1826">
        <f>'Expenditures 15-22'!K61-SUM('Expenditures 15-22'!G61,'Expenditures 15-22'!I61)+'Expenditures 15-22'!K124-SUM('Expenditures 15-22'!G124,'Expenditures 15-22'!I124)+'Expenditures 15-22'!D266-E9</f>
        <v>3992289</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1404555</v>
      </c>
      <c r="F29" s="1822"/>
      <c r="G29" s="1825">
        <f>'Expenditures 15-22'!K62-SUM('Expenditures 15-22'!G62,'Expenditures 15-22'!I62)+'Expenditures 15-22'!K125-SUM('Expenditures 15-22'!G125,'Expenditures 15-22'!I125)+'Expenditures 15-22'!K182-SUM('Expenditures 15-22'!G182,'Expenditures 15-22'!I182)+'Expenditures 15-22'!D267</f>
        <v>1404555</v>
      </c>
      <c r="H29" s="986"/>
    </row>
    <row r="30" spans="1:9" ht="12" customHeight="1" x14ac:dyDescent="0.2">
      <c r="A30" s="995" t="s">
        <v>102</v>
      </c>
      <c r="B30" s="998"/>
      <c r="C30" s="994">
        <v>2560</v>
      </c>
      <c r="D30" s="1822"/>
      <c r="E30" s="1824">
        <f>'Expenditures 15-22'!K63-SUM('Expenditures 15-22'!G63,'Expenditures 15-22'!I63)+'Expenditures 15-22'!D268-E10</f>
        <v>939874.41</v>
      </c>
      <c r="F30" s="1822"/>
      <c r="G30" s="1824">
        <f>'Expenditures 15-22'!K63-SUM('Expenditures 15-22'!G63,'Expenditures 15-22'!I63)+'Expenditures 15-22'!D268-E10</f>
        <v>939874.41</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1550</v>
      </c>
      <c r="F35" s="1822"/>
      <c r="G35" s="1824">
        <f>'Expenditures 15-22'!K69-SUM('Expenditures 15-22'!G69,'Expenditures 15-22'!I69)+'Expenditures 15-22'!D274</f>
        <v>1550</v>
      </c>
    </row>
    <row r="36" spans="1:7" ht="12" customHeight="1" x14ac:dyDescent="0.2">
      <c r="A36" s="995" t="s">
        <v>423</v>
      </c>
      <c r="B36" s="998"/>
      <c r="C36" s="994">
        <v>2640</v>
      </c>
      <c r="D36" s="1824">
        <f>'Expenditures 15-22'!K70-SUM('Expenditures 15-22'!G70,'Expenditures 15-22'!I70)+'Expenditures 15-22'!D275-E13</f>
        <v>9150</v>
      </c>
      <c r="E36" s="1824">
        <f>E13</f>
        <v>9900</v>
      </c>
      <c r="F36" s="1824">
        <f>'Expenditures 15-22'!K70-SUM('Expenditures 15-22'!G70,'Expenditures 15-22'!I70)+'Expenditures 15-22'!D275-E13</f>
        <v>9150</v>
      </c>
      <c r="G36" s="1824">
        <f>E13</f>
        <v>9900</v>
      </c>
    </row>
    <row r="37" spans="1:7" ht="12" customHeight="1" x14ac:dyDescent="0.2">
      <c r="A37" s="995" t="s">
        <v>424</v>
      </c>
      <c r="B37" s="998"/>
      <c r="C37" s="994">
        <v>2660</v>
      </c>
      <c r="D37" s="1824">
        <f>'Expenditures 15-22'!K71-SUM('Expenditures 15-22'!G71,'Expenditures 15-22'!I71)+'Expenditures 15-22'!D276-E14</f>
        <v>0</v>
      </c>
      <c r="E37" s="1824">
        <f>E14</f>
        <v>7250</v>
      </c>
      <c r="F37" s="1824">
        <f>'Expenditures 15-22'!K71-SUM('Expenditures 15-22'!G71,'Expenditures 15-22'!I71)+'Expenditures 15-22'!D276-E14</f>
        <v>0</v>
      </c>
      <c r="G37" s="1824">
        <f>E14</f>
        <v>7250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3007</v>
      </c>
      <c r="F38" s="1822"/>
      <c r="G38" s="1824">
        <f>'Expenditures 15-22'!K73-SUM('Expenditures 15-22'!G73,'Expenditures 15-22'!I73)+'Expenditures 15-22'!K128-SUM('Expenditures 15-22'!G128,'Expenditures 15-22'!I128)+'Expenditures 15-22'!K183-SUM('Expenditures 15-22'!G183,'Expenditures 15-22'!I183)+'Expenditures 15-22'!D278</f>
        <v>3007</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295436</v>
      </c>
      <c r="F39" s="1822"/>
      <c r="G39" s="1824">
        <f>'Expenditures 15-22'!K75-SUM('Expenditures 15-22'!G75,'Expenditures 15-22'!I75)+'Expenditures 15-22'!K130-SUM('Expenditures 15-22'!G130,'Expenditures 15-22'!I130)+'Expenditures 15-22'!K185-SUM('Expenditures 15-22'!G185,'Expenditures 15-22'!I185)+'Expenditures 15-22'!D280</f>
        <v>295436</v>
      </c>
    </row>
    <row r="40" spans="1:7" ht="12" customHeight="1" x14ac:dyDescent="0.2">
      <c r="A40" s="991" t="s">
        <v>1926</v>
      </c>
      <c r="B40" s="992"/>
      <c r="C40" s="994"/>
      <c r="D40" s="1822"/>
      <c r="E40" s="1826">
        <f>-'Contracts Paid in CY 29'!G141</f>
        <v>-2986537</v>
      </c>
      <c r="F40" s="1822"/>
      <c r="G40" s="1826">
        <f>-'Contracts Paid in CY 29'!G141</f>
        <v>-2986537</v>
      </c>
    </row>
    <row r="41" spans="1:7" ht="12" customHeight="1" x14ac:dyDescent="0.2">
      <c r="A41" s="999" t="s">
        <v>158</v>
      </c>
      <c r="B41" s="1000"/>
      <c r="C41" s="1001"/>
      <c r="D41" s="1826">
        <f>SUM(D19:D39)</f>
        <v>619700.46</v>
      </c>
      <c r="E41" s="1826">
        <f>SUM(E19:E40)</f>
        <v>35070623.949999996</v>
      </c>
      <c r="F41" s="1826">
        <f>SUM(F19:F39)</f>
        <v>4611989.46</v>
      </c>
      <c r="G41" s="1826">
        <f>SUM(G19:G40)</f>
        <v>31078334.949999996</v>
      </c>
    </row>
    <row r="42" spans="1:7" x14ac:dyDescent="0.2">
      <c r="A42" s="988"/>
      <c r="B42" s="162"/>
      <c r="C42" s="1002"/>
      <c r="D42" s="2454" t="s">
        <v>543</v>
      </c>
      <c r="E42" s="2455"/>
      <c r="F42" s="1003" t="s">
        <v>544</v>
      </c>
      <c r="G42" s="1004"/>
    </row>
    <row r="43" spans="1:7" ht="12" customHeight="1" x14ac:dyDescent="0.2">
      <c r="A43" s="988"/>
      <c r="B43" s="162"/>
      <c r="C43" s="1002"/>
      <c r="D43" s="1827" t="s">
        <v>493</v>
      </c>
      <c r="E43" s="1828">
        <f>D41</f>
        <v>619700.46</v>
      </c>
      <c r="F43" s="1827" t="s">
        <v>495</v>
      </c>
      <c r="G43" s="1828">
        <f>F41</f>
        <v>4611989.46</v>
      </c>
    </row>
    <row r="44" spans="1:7" ht="12" customHeight="1" x14ac:dyDescent="0.2">
      <c r="A44" s="988"/>
      <c r="B44" s="162"/>
      <c r="C44" s="1002"/>
      <c r="D44" s="1827" t="s">
        <v>494</v>
      </c>
      <c r="E44" s="1828">
        <f>E41</f>
        <v>35070623.949999996</v>
      </c>
      <c r="F44" s="1827" t="s">
        <v>494</v>
      </c>
      <c r="G44" s="1828">
        <f>G41</f>
        <v>31078334.949999996</v>
      </c>
    </row>
    <row r="45" spans="1:7" ht="12" customHeight="1" x14ac:dyDescent="0.2">
      <c r="A45" s="988"/>
      <c r="B45" s="162"/>
      <c r="C45" s="162"/>
      <c r="D45" s="1829" t="s">
        <v>1063</v>
      </c>
      <c r="E45" s="1830">
        <f>(E43/E44)</f>
        <v>1.767007227711442E-2</v>
      </c>
      <c r="F45" s="1829" t="s">
        <v>1063</v>
      </c>
      <c r="G45" s="1830">
        <f>(G43/G44)</f>
        <v>0.14839885944404499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Normal="100" workbookViewId="0">
      <pane ySplit="4" topLeftCell="A5" activePane="bottomLeft" state="frozen"/>
      <selection activeCell="A47" sqref="A47"/>
      <selection pane="bottomLeft" activeCell="L27" sqref="L27"/>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473" t="s">
        <v>1446</v>
      </c>
      <c r="B1" s="2473"/>
      <c r="C1" s="2473"/>
      <c r="D1" s="2473"/>
      <c r="E1" s="2473"/>
      <c r="F1" s="2473"/>
    </row>
    <row r="2" spans="1:10" x14ac:dyDescent="0.2">
      <c r="A2" s="1907" t="s">
        <v>2042</v>
      </c>
      <c r="B2" s="1868"/>
      <c r="C2" s="1907"/>
      <c r="D2" s="1868"/>
      <c r="E2" s="1868"/>
      <c r="F2" s="1869"/>
    </row>
    <row r="3" spans="1:10" x14ac:dyDescent="0.2">
      <c r="A3" s="1907" t="s">
        <v>1699</v>
      </c>
      <c r="B3" s="1868"/>
      <c r="C3" s="1907"/>
      <c r="D3" s="1868"/>
      <c r="E3" s="1868"/>
      <c r="F3" s="1869"/>
    </row>
    <row r="4" spans="1:10" ht="3.75" customHeight="1" x14ac:dyDescent="0.2">
      <c r="A4" s="1868"/>
      <c r="B4" s="1868"/>
      <c r="C4" s="1868"/>
      <c r="D4" s="1868"/>
      <c r="E4" s="1868"/>
      <c r="F4" s="1869"/>
    </row>
    <row r="5" spans="1:10" ht="15" x14ac:dyDescent="0.25">
      <c r="A5" s="2474" t="s">
        <v>1627</v>
      </c>
      <c r="B5" s="2475"/>
      <c r="C5" s="2476"/>
      <c r="D5" s="2476"/>
      <c r="E5" s="2476"/>
      <c r="F5" s="2476"/>
    </row>
    <row r="6" spans="1:10" ht="12" customHeight="1" x14ac:dyDescent="0.25">
      <c r="A6" s="1870"/>
      <c r="B6" s="1871"/>
      <c r="C6" s="2477" t="str">
        <f>COVER!A17</f>
        <v>Chicago Heights School District 170</v>
      </c>
      <c r="D6" s="2477"/>
      <c r="E6" s="2477"/>
      <c r="F6" s="1872"/>
    </row>
    <row r="7" spans="1:10" ht="11.25" customHeight="1" thickBot="1" x14ac:dyDescent="0.3">
      <c r="A7" s="1870"/>
      <c r="B7" s="1871"/>
      <c r="C7" s="2478">
        <f>COVER!A13</f>
        <v>17016170002</v>
      </c>
      <c r="D7" s="2478"/>
      <c r="E7" s="2478"/>
      <c r="F7" s="1872"/>
    </row>
    <row r="8" spans="1:10" ht="25.5" customHeight="1" thickBot="1" x14ac:dyDescent="0.25">
      <c r="A8" s="1913" t="s">
        <v>2019</v>
      </c>
      <c r="B8" s="1873"/>
      <c r="C8" s="1909" t="s">
        <v>1779</v>
      </c>
      <c r="D8" s="1908" t="s">
        <v>1780</v>
      </c>
      <c r="E8" s="1910" t="s">
        <v>1447</v>
      </c>
      <c r="F8" s="1908" t="s">
        <v>1781</v>
      </c>
      <c r="H8" s="1874" t="b">
        <v>0</v>
      </c>
    </row>
    <row r="9" spans="1:10" ht="15.75" customHeight="1" x14ac:dyDescent="0.2">
      <c r="A9" s="1875" t="s">
        <v>1623</v>
      </c>
      <c r="B9" s="1876"/>
      <c r="C9" s="1877"/>
      <c r="D9" s="1877"/>
      <c r="E9" s="1878"/>
      <c r="F9" s="1879"/>
    </row>
    <row r="10" spans="1:10" ht="27.75" customHeight="1" x14ac:dyDescent="0.2">
      <c r="A10" s="1880" t="s">
        <v>1778</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t="s">
        <v>2074</v>
      </c>
      <c r="D19" s="1885" t="s">
        <v>2074</v>
      </c>
      <c r="E19" s="1888"/>
      <c r="F19" s="1887" t="s">
        <v>2085</v>
      </c>
      <c r="H19" s="1898">
        <f t="shared" si="0"/>
        <v>5</v>
      </c>
      <c r="I19" s="1898">
        <f t="shared" si="1"/>
        <v>5</v>
      </c>
      <c r="J19" s="1898">
        <f t="shared" si="2"/>
        <v>0</v>
      </c>
    </row>
    <row r="20" spans="1:12" ht="12" customHeight="1" x14ac:dyDescent="0.2">
      <c r="A20" s="1883" t="s">
        <v>1609</v>
      </c>
      <c r="B20" s="1884"/>
      <c r="C20" s="1885" t="s">
        <v>2074</v>
      </c>
      <c r="D20" s="1885" t="s">
        <v>2074</v>
      </c>
      <c r="E20" s="1888"/>
      <c r="F20" s="1887" t="s">
        <v>2084</v>
      </c>
      <c r="H20" s="1898">
        <f t="shared" si="0"/>
        <v>5</v>
      </c>
      <c r="I20" s="1898">
        <f t="shared" si="1"/>
        <v>5</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2074</v>
      </c>
      <c r="D26" s="1885" t="s">
        <v>2074</v>
      </c>
      <c r="E26" s="1888"/>
      <c r="F26" s="1887" t="s">
        <v>2086</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t="s">
        <v>2074</v>
      </c>
      <c r="D33" s="1885" t="s">
        <v>2074</v>
      </c>
      <c r="E33" s="1888"/>
      <c r="F33" s="1887" t="s">
        <v>2087</v>
      </c>
      <c r="H33" s="1898">
        <f t="shared" si="0"/>
        <v>5</v>
      </c>
      <c r="I33" s="1898">
        <f t="shared" si="1"/>
        <v>5</v>
      </c>
      <c r="J33" s="1898">
        <f t="shared" si="2"/>
        <v>0</v>
      </c>
    </row>
    <row r="34" spans="1:11" ht="12" customHeight="1" x14ac:dyDescent="0.25">
      <c r="A34" s="1890"/>
      <c r="B34" s="1890"/>
      <c r="C34" s="1890"/>
      <c r="D34" s="1890"/>
      <c r="E34" s="1890"/>
      <c r="F34" s="1890"/>
      <c r="H34" s="1898">
        <f>SUM(H11:H32)</f>
        <v>15</v>
      </c>
      <c r="I34" s="1898">
        <f>SUM(I11:I32)</f>
        <v>15</v>
      </c>
      <c r="J34" s="1898">
        <f>SUM(J11:J32)</f>
        <v>0</v>
      </c>
      <c r="K34" s="1898">
        <f>SUM(H34:J34)</f>
        <v>30</v>
      </c>
    </row>
    <row r="35" spans="1:11" ht="12" customHeight="1" x14ac:dyDescent="0.2">
      <c r="A35" s="1891" t="s">
        <v>1459</v>
      </c>
      <c r="B35" s="1892"/>
      <c r="C35" s="2479"/>
      <c r="D35" s="2479"/>
      <c r="E35" s="2479"/>
      <c r="F35" s="2480"/>
    </row>
    <row r="36" spans="1:11" ht="12" customHeight="1" x14ac:dyDescent="0.2">
      <c r="A36" s="2462"/>
      <c r="B36" s="2463"/>
      <c r="C36" s="2463"/>
      <c r="D36" s="2463"/>
      <c r="E36" s="2463"/>
      <c r="F36" s="2464"/>
    </row>
    <row r="37" spans="1:11" ht="12" customHeight="1" x14ac:dyDescent="0.2">
      <c r="A37" s="2462"/>
      <c r="B37" s="2463"/>
      <c r="C37" s="2463"/>
      <c r="D37" s="2463"/>
      <c r="E37" s="2463"/>
      <c r="F37" s="2464"/>
    </row>
    <row r="38" spans="1:11" ht="12" customHeight="1" x14ac:dyDescent="0.2">
      <c r="A38" s="2465"/>
      <c r="B38" s="2466"/>
      <c r="C38" s="2466"/>
      <c r="D38" s="2466"/>
      <c r="E38" s="2466"/>
      <c r="F38" s="2467"/>
    </row>
    <row r="39" spans="1:11" ht="4.5" hidden="1" customHeight="1" x14ac:dyDescent="0.2">
      <c r="A39" s="1893"/>
      <c r="B39" s="1893"/>
      <c r="C39" s="1893"/>
      <c r="D39" s="1893"/>
      <c r="E39" s="1893"/>
      <c r="F39" s="1893"/>
    </row>
    <row r="40" spans="1:11" s="1890" customFormat="1" ht="12" customHeight="1" x14ac:dyDescent="0.25">
      <c r="A40" s="1894" t="s">
        <v>1458</v>
      </c>
      <c r="B40" s="1895"/>
      <c r="C40" s="2468"/>
      <c r="D40" s="2468"/>
      <c r="E40" s="2468"/>
      <c r="F40" s="2469"/>
      <c r="H40" s="1899"/>
      <c r="I40" s="1899"/>
      <c r="J40" s="1899"/>
      <c r="K40" s="1899"/>
    </row>
    <row r="41" spans="1:11" s="1890" customFormat="1" ht="12" customHeight="1" x14ac:dyDescent="0.25">
      <c r="A41" s="2470"/>
      <c r="B41" s="2471"/>
      <c r="C41" s="2471"/>
      <c r="D41" s="2471"/>
      <c r="E41" s="2471"/>
      <c r="F41" s="2472"/>
      <c r="H41" s="1899"/>
      <c r="I41" s="1899"/>
      <c r="J41" s="1899"/>
      <c r="K41" s="1899"/>
    </row>
    <row r="42" spans="1:11" s="1890" customFormat="1" ht="12" customHeight="1" x14ac:dyDescent="0.25">
      <c r="A42" s="2470"/>
      <c r="B42" s="2471"/>
      <c r="C42" s="2471"/>
      <c r="D42" s="2471"/>
      <c r="E42" s="2471"/>
      <c r="F42" s="2472"/>
      <c r="H42" s="1899"/>
      <c r="I42" s="1899"/>
      <c r="J42" s="1899"/>
      <c r="K42" s="1899"/>
    </row>
    <row r="43" spans="1:11" s="1890" customFormat="1" ht="15" x14ac:dyDescent="0.25">
      <c r="A43" s="2459"/>
      <c r="B43" s="2460"/>
      <c r="C43" s="2460"/>
      <c r="D43" s="2460"/>
      <c r="E43" s="2460"/>
      <c r="F43" s="2461"/>
      <c r="H43" s="1899"/>
      <c r="I43" s="1899"/>
      <c r="J43" s="1899"/>
      <c r="K43" s="1899"/>
    </row>
    <row r="44" spans="1:11" s="1890" customFormat="1" ht="12" hidden="1" customHeight="1" x14ac:dyDescent="0.25">
      <c r="A44" s="2459"/>
      <c r="B44" s="2460"/>
      <c r="C44" s="2460"/>
      <c r="D44" s="2460"/>
      <c r="E44" s="2460"/>
      <c r="F44" s="2461"/>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H21" sqref="H2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1"/>
      <c r="C6" s="1661"/>
      <c r="D6" s="1661"/>
      <c r="E6" s="1662"/>
      <c r="F6" s="1016"/>
      <c r="G6" s="1010"/>
      <c r="H6" s="1017" t="s">
        <v>1086</v>
      </c>
      <c r="I6" s="2486" t="str">
        <f>COVER!A17</f>
        <v>Chicago Heights School District 170</v>
      </c>
      <c r="J6" s="2487"/>
      <c r="Q6" s="1683"/>
    </row>
    <row r="7" spans="1:17" x14ac:dyDescent="0.2">
      <c r="A7" s="2488" t="s">
        <v>924</v>
      </c>
      <c r="B7" s="2489"/>
      <c r="C7" s="2489"/>
      <c r="D7" s="2489"/>
      <c r="E7" s="2490"/>
      <c r="F7" s="1018"/>
      <c r="G7" s="1010"/>
      <c r="H7" s="1017" t="s">
        <v>390</v>
      </c>
      <c r="I7" s="2491">
        <f>COVER!A13</f>
        <v>17016170002</v>
      </c>
      <c r="J7" s="2491"/>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5" t="s">
        <v>1700</v>
      </c>
      <c r="F9" s="1024"/>
      <c r="G9" s="1024"/>
      <c r="H9" s="1916"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492" t="s">
        <v>502</v>
      </c>
      <c r="B11" s="2493"/>
      <c r="C11" s="249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671457</v>
      </c>
      <c r="F12" s="1040"/>
      <c r="G12" s="1831">
        <f t="shared" ref="G12:G18" si="0">SUM(E12:F12)</f>
        <v>671457</v>
      </c>
      <c r="H12" s="1041">
        <v>690050</v>
      </c>
      <c r="I12" s="1040"/>
      <c r="J12" s="1831">
        <f t="shared" ref="J12:J18" si="1">SUM(H12:I12)</f>
        <v>690050</v>
      </c>
    </row>
    <row r="13" spans="1:17" ht="15" customHeight="1" x14ac:dyDescent="0.2">
      <c r="A13" s="1036">
        <v>2</v>
      </c>
      <c r="B13" s="1037" t="s">
        <v>44</v>
      </c>
      <c r="C13" s="1038"/>
      <c r="D13" s="1039">
        <v>2330</v>
      </c>
      <c r="E13" s="1831">
        <f>'Expenditures 15-22'!K51</f>
        <v>384290</v>
      </c>
      <c r="F13" s="1040"/>
      <c r="G13" s="1831">
        <f t="shared" si="0"/>
        <v>384290</v>
      </c>
      <c r="H13" s="1041">
        <v>398000</v>
      </c>
      <c r="I13" s="1040"/>
      <c r="J13" s="1831">
        <f t="shared" si="1"/>
        <v>398000</v>
      </c>
    </row>
    <row r="14" spans="1:17" ht="15" customHeight="1" x14ac:dyDescent="0.2">
      <c r="A14" s="1036">
        <v>3</v>
      </c>
      <c r="B14" s="1037" t="s">
        <v>45</v>
      </c>
      <c r="C14" s="1038"/>
      <c r="D14" s="1042">
        <v>2490</v>
      </c>
      <c r="E14" s="1831">
        <f>'Expenditures 15-22'!K56</f>
        <v>0</v>
      </c>
      <c r="F14" s="1040"/>
      <c r="G14" s="1831">
        <f t="shared" si="0"/>
        <v>0</v>
      </c>
      <c r="H14" s="1041">
        <v>0</v>
      </c>
      <c r="I14" s="1040"/>
      <c r="J14" s="1831">
        <f t="shared" si="1"/>
        <v>0</v>
      </c>
    </row>
    <row r="15" spans="1:17" ht="15" customHeight="1" x14ac:dyDescent="0.2">
      <c r="A15" s="1036">
        <v>4</v>
      </c>
      <c r="B15" s="1037" t="s">
        <v>1128</v>
      </c>
      <c r="C15" s="1038"/>
      <c r="D15" s="1039">
        <v>2510</v>
      </c>
      <c r="E15" s="1831">
        <f>'Expenditures 15-22'!K59</f>
        <v>239835</v>
      </c>
      <c r="F15" s="1831">
        <f>'Expenditures 15-22'!K122</f>
        <v>0</v>
      </c>
      <c r="G15" s="1831">
        <f t="shared" si="0"/>
        <v>239835</v>
      </c>
      <c r="H15" s="1041">
        <v>239900</v>
      </c>
      <c r="I15" s="1041">
        <v>0</v>
      </c>
      <c r="J15" s="1831">
        <f t="shared" si="1"/>
        <v>239900</v>
      </c>
    </row>
    <row r="16" spans="1:17" ht="15" customHeight="1" x14ac:dyDescent="0.2">
      <c r="A16" s="1036">
        <v>5</v>
      </c>
      <c r="B16" s="1037" t="s">
        <v>103</v>
      </c>
      <c r="C16" s="1038"/>
      <c r="D16" s="1039">
        <v>2570</v>
      </c>
      <c r="E16" s="1831">
        <f>'Expenditures 15-22'!K64</f>
        <v>0</v>
      </c>
      <c r="F16" s="1040"/>
      <c r="G16" s="1831">
        <f t="shared" si="0"/>
        <v>0</v>
      </c>
      <c r="H16" s="1041">
        <v>0</v>
      </c>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v>0</v>
      </c>
      <c r="I17" s="1040"/>
      <c r="J17" s="1831">
        <f t="shared" si="1"/>
        <v>0</v>
      </c>
    </row>
    <row r="18" spans="1:10" ht="22.5" customHeight="1" x14ac:dyDescent="0.2">
      <c r="A18" s="1043">
        <v>7</v>
      </c>
      <c r="B18" s="2495" t="s">
        <v>7</v>
      </c>
      <c r="C18" s="2496"/>
      <c r="D18" s="2497"/>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1295582</v>
      </c>
      <c r="F19" s="1833">
        <f t="shared" si="2"/>
        <v>0</v>
      </c>
      <c r="G19" s="1833">
        <f t="shared" si="2"/>
        <v>1295582</v>
      </c>
      <c r="H19" s="1833">
        <f t="shared" si="2"/>
        <v>1327950</v>
      </c>
      <c r="I19" s="1833">
        <f t="shared" si="2"/>
        <v>0</v>
      </c>
      <c r="J19" s="1833">
        <f t="shared" si="2"/>
        <v>1327950</v>
      </c>
    </row>
    <row r="20" spans="1:10" ht="13.5" thickTop="1" x14ac:dyDescent="0.2">
      <c r="A20" s="1036">
        <v>9</v>
      </c>
      <c r="B20" s="2498" t="s">
        <v>1702</v>
      </c>
      <c r="C20" s="2498"/>
      <c r="D20" s="2499"/>
      <c r="E20" s="1047"/>
      <c r="F20" s="1047"/>
      <c r="G20" s="1047"/>
      <c r="H20" s="1047"/>
      <c r="I20" s="1047"/>
      <c r="J20" s="1834">
        <f>IF(AND(G19&gt;0,J19&gt;0),(((J19-G19)/G19)),"Enter Budget Data")</f>
        <v>2.4983366548778849E-2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504"/>
      <c r="D26" s="2504"/>
      <c r="E26" s="1051"/>
      <c r="F26" s="2503"/>
      <c r="G26" s="2503"/>
    </row>
    <row r="27" spans="1:10" x14ac:dyDescent="0.2">
      <c r="B27" s="1048"/>
      <c r="C27" s="1052" t="s">
        <v>1093</v>
      </c>
      <c r="D27" s="1053"/>
      <c r="E27" s="1054"/>
      <c r="F27" s="2500" t="s">
        <v>1589</v>
      </c>
      <c r="G27" s="2500"/>
    </row>
    <row r="28" spans="1:10" ht="28.5" customHeight="1" x14ac:dyDescent="0.2">
      <c r="B28" s="1048"/>
      <c r="C28" s="2502"/>
      <c r="D28" s="2502"/>
      <c r="E28" s="1055"/>
      <c r="F28" s="2502"/>
      <c r="G28" s="2502"/>
    </row>
    <row r="29" spans="1:10" x14ac:dyDescent="0.2">
      <c r="B29" s="1048"/>
      <c r="C29" s="1056" t="s">
        <v>1642</v>
      </c>
      <c r="E29" s="1057"/>
      <c r="F29" s="2501" t="s">
        <v>1590</v>
      </c>
      <c r="G29" s="250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483" t="s">
        <v>134</v>
      </c>
      <c r="D33" s="2484"/>
      <c r="E33" s="2484"/>
      <c r="F33" s="2484"/>
      <c r="G33" s="2484"/>
      <c r="H33" s="2484"/>
      <c r="I33" s="2484"/>
    </row>
    <row r="34" spans="1:10" ht="10.35" customHeight="1" x14ac:dyDescent="0.2">
      <c r="C34" s="2484"/>
      <c r="D34" s="2484"/>
      <c r="E34" s="2484"/>
      <c r="F34" s="2484"/>
      <c r="G34" s="2484"/>
      <c r="H34" s="2484"/>
      <c r="I34" s="2484"/>
    </row>
    <row r="35" spans="1:10" ht="7.5" customHeight="1" x14ac:dyDescent="0.2">
      <c r="C35" s="1063"/>
    </row>
    <row r="36" spans="1:10" ht="13.5" customHeight="1" x14ac:dyDescent="0.2">
      <c r="B36" s="1062"/>
      <c r="C36" s="2485" t="s">
        <v>1939</v>
      </c>
      <c r="D36" s="2484"/>
      <c r="E36" s="2484"/>
      <c r="F36" s="2484"/>
      <c r="G36" s="2484"/>
      <c r="H36" s="2484"/>
      <c r="I36" s="2484"/>
      <c r="J36" s="1064"/>
    </row>
    <row r="37" spans="1:10" ht="22.5" customHeight="1" x14ac:dyDescent="0.2">
      <c r="C37" s="2484"/>
      <c r="D37" s="2484"/>
      <c r="E37" s="2484"/>
      <c r="F37" s="2484"/>
      <c r="G37" s="2484"/>
      <c r="H37" s="2484"/>
      <c r="I37" s="2484"/>
      <c r="J37" s="1064"/>
    </row>
    <row r="38" spans="1:10" ht="7.5" customHeight="1" x14ac:dyDescent="0.2">
      <c r="C38" s="1063"/>
      <c r="D38" s="1065"/>
      <c r="E38" s="1066"/>
      <c r="F38" s="1067"/>
      <c r="G38" s="1066"/>
    </row>
    <row r="39" spans="1:10" ht="13.5" customHeight="1" x14ac:dyDescent="0.2">
      <c r="B39" s="1062"/>
      <c r="C39" s="2481" t="s">
        <v>937</v>
      </c>
      <c r="D39" s="2482"/>
      <c r="E39" s="2482"/>
      <c r="F39" s="2482"/>
      <c r="G39" s="2482"/>
      <c r="H39" s="2482"/>
      <c r="I39" s="248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D70"/>
  <sheetViews>
    <sheetView showGridLines="0" zoomScale="130" zoomScaleNormal="130" workbookViewId="0">
      <selection activeCell="F15" sqref="F15"/>
    </sheetView>
  </sheetViews>
  <sheetFormatPr defaultRowHeight="12.75" x14ac:dyDescent="0.2"/>
  <cols>
    <col min="1" max="1" width="3" style="329" customWidth="1"/>
    <col min="2" max="2" width="35" style="329" customWidth="1"/>
    <col min="3" max="3" width="3.140625" style="329" customWidth="1"/>
    <col min="4" max="16384" width="9.140625" style="329"/>
  </cols>
  <sheetData>
    <row r="2" spans="1:4" x14ac:dyDescent="0.2">
      <c r="A2" s="389" t="s">
        <v>276</v>
      </c>
    </row>
    <row r="3" spans="1:4" x14ac:dyDescent="0.2">
      <c r="A3" s="329" t="s">
        <v>277</v>
      </c>
    </row>
    <row r="5" spans="1:4" x14ac:dyDescent="0.2">
      <c r="A5" s="1069">
        <v>1</v>
      </c>
      <c r="B5" s="389" t="s">
        <v>2234</v>
      </c>
    </row>
    <row r="6" spans="1:4" x14ac:dyDescent="0.2">
      <c r="A6" s="1069"/>
      <c r="B6" s="329" t="s">
        <v>2235</v>
      </c>
      <c r="D6" s="2073">
        <v>3007</v>
      </c>
    </row>
    <row r="7" spans="1:4" x14ac:dyDescent="0.2">
      <c r="A7" s="1069">
        <v>2</v>
      </c>
      <c r="B7" s="389" t="s">
        <v>2170</v>
      </c>
    </row>
    <row r="8" spans="1:4" x14ac:dyDescent="0.2">
      <c r="A8" s="1069"/>
      <c r="B8" s="329" t="s">
        <v>2171</v>
      </c>
    </row>
    <row r="9" spans="1:4" x14ac:dyDescent="0.2">
      <c r="A9" s="1069">
        <v>3</v>
      </c>
      <c r="B9" s="389" t="s">
        <v>2172</v>
      </c>
    </row>
    <row r="10" spans="1:4" x14ac:dyDescent="0.2">
      <c r="A10" s="1069"/>
      <c r="B10" s="329" t="s">
        <v>2173</v>
      </c>
      <c r="D10" s="2073">
        <v>492321</v>
      </c>
    </row>
    <row r="11" spans="1:4" x14ac:dyDescent="0.2">
      <c r="A11" s="1069"/>
      <c r="B11" s="329" t="s">
        <v>2174</v>
      </c>
      <c r="D11" s="2074">
        <v>486</v>
      </c>
    </row>
    <row r="12" spans="1:4" x14ac:dyDescent="0.2">
      <c r="A12" s="1069"/>
      <c r="B12" s="329" t="s">
        <v>158</v>
      </c>
      <c r="D12" s="2073">
        <v>492807</v>
      </c>
    </row>
    <row r="13" spans="1:4" x14ac:dyDescent="0.2">
      <c r="A13" s="1069">
        <v>4</v>
      </c>
      <c r="B13" s="389" t="s">
        <v>2285</v>
      </c>
    </row>
    <row r="14" spans="1:4" x14ac:dyDescent="0.2">
      <c r="A14" s="1070"/>
      <c r="B14" s="329" t="s">
        <v>2286</v>
      </c>
      <c r="D14" s="2073">
        <v>786907</v>
      </c>
    </row>
    <row r="15" spans="1:4" x14ac:dyDescent="0.2">
      <c r="A15" s="1070"/>
      <c r="D15" s="180"/>
    </row>
    <row r="16" spans="1:4" x14ac:dyDescent="0.2">
      <c r="A16" s="1070"/>
      <c r="D16" s="2073"/>
    </row>
    <row r="17" spans="1:4" x14ac:dyDescent="0.2">
      <c r="A17" s="1070"/>
    </row>
    <row r="18" spans="1:4" x14ac:dyDescent="0.2">
      <c r="A18" s="1070"/>
      <c r="B18" s="389"/>
    </row>
    <row r="19" spans="1:4" x14ac:dyDescent="0.2">
      <c r="A19" s="1070"/>
    </row>
    <row r="20" spans="1:4" x14ac:dyDescent="0.2">
      <c r="A20" s="1070"/>
    </row>
    <row r="21" spans="1:4" x14ac:dyDescent="0.2">
      <c r="A21" s="1070"/>
      <c r="B21" s="389"/>
    </row>
    <row r="22" spans="1:4" x14ac:dyDescent="0.2">
      <c r="A22" s="1070"/>
      <c r="D22" s="2073"/>
    </row>
    <row r="23" spans="1:4" x14ac:dyDescent="0.2">
      <c r="A23" s="1070"/>
      <c r="D23" s="180"/>
    </row>
    <row r="24" spans="1:4" x14ac:dyDescent="0.2">
      <c r="A24" s="1070"/>
      <c r="D24" s="2073"/>
    </row>
    <row r="25" spans="1:4" x14ac:dyDescent="0.2">
      <c r="A25" s="1070"/>
    </row>
    <row r="26" spans="1:4" x14ac:dyDescent="0.2">
      <c r="A26" s="1070"/>
    </row>
    <row r="27" spans="1:4" x14ac:dyDescent="0.2">
      <c r="A27" s="1070"/>
    </row>
    <row r="28" spans="1:4" x14ac:dyDescent="0.2">
      <c r="A28" s="1070"/>
    </row>
    <row r="29" spans="1:4" x14ac:dyDescent="0.2">
      <c r="A29" s="1070"/>
    </row>
    <row r="30" spans="1:4" x14ac:dyDescent="0.2">
      <c r="A30" s="1070"/>
    </row>
    <row r="31" spans="1:4" x14ac:dyDescent="0.2">
      <c r="A31" s="1070"/>
    </row>
    <row r="32" spans="1:4"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c r="B69" s="258" t="str">
        <f>COVER!A17</f>
        <v>Chicago Heights School District 170</v>
      </c>
    </row>
    <row r="70" spans="1:2" x14ac:dyDescent="0.2">
      <c r="B70" s="1071">
        <f>COVER!A13</f>
        <v>17016170002</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E18" sqref="E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6" t="s">
        <v>1708</v>
      </c>
    </row>
    <row r="23" spans="1:5" x14ac:dyDescent="0.2">
      <c r="A23" s="168"/>
      <c r="B23" s="162" t="s">
        <v>1964</v>
      </c>
      <c r="D23" s="167" t="s">
        <v>658</v>
      </c>
      <c r="E23" s="1856"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22" t="s">
        <v>1125</v>
      </c>
      <c r="B35" s="2222"/>
      <c r="C35" s="2222"/>
      <c r="D35" s="2222"/>
      <c r="E35" s="22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19" t="s">
        <v>715</v>
      </c>
      <c r="B40" s="2219"/>
      <c r="C40" s="2219"/>
      <c r="D40" s="2219"/>
      <c r="E40" s="2219"/>
    </row>
    <row r="41" spans="1:5" x14ac:dyDescent="0.2">
      <c r="A41" s="2220" t="s">
        <v>1705</v>
      </c>
      <c r="B41" s="2220"/>
      <c r="C41" s="2220"/>
      <c r="D41" s="2220"/>
      <c r="E41" s="2220"/>
    </row>
    <row r="42" spans="1:5" ht="12.75" customHeight="1" x14ac:dyDescent="0.2">
      <c r="A42" s="2221" t="s">
        <v>1080</v>
      </c>
      <c r="B42" s="2221"/>
      <c r="C42" s="2221"/>
      <c r="D42" s="2221"/>
      <c r="E42" s="2221"/>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D20" sqref="D2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505" t="s">
        <v>1783</v>
      </c>
      <c r="B18" s="2505"/>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8371" r:id="rId4">
          <objectPr defaultSize="0" r:id="rId5">
            <anchor moveWithCells="1">
              <from>
                <xdr:col>1</xdr:col>
                <xdr:colOff>962025</xdr:colOff>
                <xdr:row>0</xdr:row>
                <xdr:rowOff>76200</xdr:rowOff>
              </from>
              <to>
                <xdr:col>1</xdr:col>
                <xdr:colOff>1876425</xdr:colOff>
                <xdr:row>4</xdr:row>
                <xdr:rowOff>114300</xdr:rowOff>
              </to>
            </anchor>
          </objectPr>
        </oleObject>
      </mc:Choice>
      <mc:Fallback>
        <oleObject progId="Acrobat Document" dvAspect="DVASPECT_ICON" shapeId="58371" r:id="rId4"/>
      </mc:Fallback>
    </mc:AlternateContent>
    <mc:AlternateContent xmlns:mc="http://schemas.openxmlformats.org/markup-compatibility/2006">
      <mc:Choice Requires="x14">
        <oleObject progId="Acrobat Document" dvAspect="DVASPECT_ICON" shapeId="58374" r:id="rId6">
          <objectPr defaultSize="0" r:id="rId7">
            <anchor moveWithCells="1">
              <from>
                <xdr:col>1</xdr:col>
                <xdr:colOff>2771775</xdr:colOff>
                <xdr:row>1</xdr:row>
                <xdr:rowOff>19050</xdr:rowOff>
              </from>
              <to>
                <xdr:col>1</xdr:col>
                <xdr:colOff>3686175</xdr:colOff>
                <xdr:row>5</xdr:row>
                <xdr:rowOff>57150</xdr:rowOff>
              </to>
            </anchor>
          </objectPr>
        </oleObject>
      </mc:Choice>
      <mc:Fallback>
        <oleObject progId="Acrobat Document" dvAspect="DVASPECT_ICON" shapeId="5837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D9" sqref="D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06" t="s">
        <v>1789</v>
      </c>
      <c r="B1" s="2507"/>
      <c r="C1" s="2507"/>
      <c r="D1" s="2507"/>
      <c r="E1" s="2507"/>
      <c r="F1" s="2508"/>
    </row>
    <row r="2" spans="1:8" ht="45" customHeight="1" x14ac:dyDescent="0.2">
      <c r="A2" s="2516" t="s">
        <v>1790</v>
      </c>
      <c r="B2" s="2517"/>
      <c r="C2" s="2517"/>
      <c r="D2" s="2517"/>
      <c r="E2" s="2517"/>
      <c r="F2" s="2518"/>
      <c r="G2" s="1075"/>
      <c r="H2" s="1075"/>
    </row>
    <row r="3" spans="1:8" ht="57" customHeight="1" x14ac:dyDescent="0.2">
      <c r="A3" s="2519" t="s">
        <v>1785</v>
      </c>
      <c r="B3" s="2520"/>
      <c r="C3" s="2520"/>
      <c r="D3" s="2520"/>
      <c r="E3" s="2520"/>
      <c r="F3" s="2521"/>
      <c r="G3" s="1075"/>
      <c r="H3" s="1075"/>
    </row>
    <row r="4" spans="1:8" ht="14.25" customHeight="1" x14ac:dyDescent="0.2">
      <c r="A4" s="2525" t="s">
        <v>2050</v>
      </c>
      <c r="B4" s="2526"/>
      <c r="C4" s="2526"/>
      <c r="D4" s="2526"/>
      <c r="E4" s="2526"/>
      <c r="F4" s="2527"/>
      <c r="G4" s="1075"/>
      <c r="H4" s="1075"/>
    </row>
    <row r="5" spans="1:8" ht="14.25" customHeight="1" x14ac:dyDescent="0.2">
      <c r="A5" s="2528" t="s">
        <v>2051</v>
      </c>
      <c r="B5" s="2529"/>
      <c r="C5" s="2529"/>
      <c r="D5" s="2529"/>
      <c r="E5" s="2529"/>
      <c r="F5" s="2530"/>
      <c r="G5" s="1075"/>
      <c r="H5" s="1075"/>
    </row>
    <row r="6" spans="1:8" s="1076" customFormat="1" ht="41.25" customHeight="1" x14ac:dyDescent="0.2">
      <c r="A6" s="2522" t="s">
        <v>1791</v>
      </c>
      <c r="B6" s="2523"/>
      <c r="C6" s="2523"/>
      <c r="D6" s="2523"/>
      <c r="E6" s="2523"/>
      <c r="F6" s="252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38839171</v>
      </c>
      <c r="C8" s="1835">
        <f>'Acct Summary 7-8'!D8</f>
        <v>4981024</v>
      </c>
      <c r="D8" s="1835">
        <f>'Acct Summary 7-8'!F8</f>
        <v>1682610</v>
      </c>
      <c r="E8" s="1835">
        <f>'Acct Summary 7-8'!I8</f>
        <v>80946</v>
      </c>
      <c r="F8" s="1835">
        <f>SUM(B8:E8)</f>
        <v>45583751</v>
      </c>
    </row>
    <row r="9" spans="1:8" s="1080" customFormat="1" ht="14.25" customHeight="1" thickBot="1" x14ac:dyDescent="0.25">
      <c r="A9" s="1079" t="s">
        <v>1436</v>
      </c>
      <c r="B9" s="1836">
        <f>'Acct Summary 7-8'!C17</f>
        <v>35868392</v>
      </c>
      <c r="C9" s="1836">
        <f>'Acct Summary 7-8'!D17</f>
        <v>2682231</v>
      </c>
      <c r="D9" s="1836">
        <f>'Acct Summary 7-8'!F17</f>
        <v>1226910</v>
      </c>
      <c r="E9" s="1835"/>
      <c r="F9" s="1835">
        <f>SUM(B9:E9)</f>
        <v>39777533</v>
      </c>
    </row>
    <row r="10" spans="1:8" s="1080" customFormat="1" ht="14.25" thickTop="1" thickBot="1" x14ac:dyDescent="0.25">
      <c r="A10" s="1081" t="s">
        <v>1437</v>
      </c>
      <c r="B10" s="1837">
        <f>(B8-B9)</f>
        <v>2970779</v>
      </c>
      <c r="C10" s="1837">
        <f>(C8-C9)</f>
        <v>2298793</v>
      </c>
      <c r="D10" s="1837">
        <f>(D8-D9)</f>
        <v>455700</v>
      </c>
      <c r="E10" s="1836">
        <f>(E8-E9)</f>
        <v>80946</v>
      </c>
      <c r="F10" s="1838">
        <f>SUM(F8-F9)</f>
        <v>5806218</v>
      </c>
    </row>
    <row r="11" spans="1:8" s="1080" customFormat="1" ht="14.25" thickTop="1" thickBot="1" x14ac:dyDescent="0.25">
      <c r="A11" s="1082" t="s">
        <v>1784</v>
      </c>
      <c r="B11" s="1839">
        <f>'Acct Summary 7-8'!C81</f>
        <v>18269953</v>
      </c>
      <c r="C11" s="1839">
        <f>'Acct Summary 7-8'!D81</f>
        <v>1510891</v>
      </c>
      <c r="D11" s="1839">
        <f>'Acct Summary 7-8'!F81</f>
        <v>2740549</v>
      </c>
      <c r="E11" s="1839">
        <f>'Acct Summary 7-8'!I81</f>
        <v>7748771</v>
      </c>
      <c r="F11" s="1840">
        <f>SUM(B11:E11)</f>
        <v>30270164</v>
      </c>
    </row>
    <row r="12" spans="1:8" ht="16.5" customHeight="1" thickTop="1" x14ac:dyDescent="0.2">
      <c r="A12" s="1083"/>
      <c r="B12" s="1084"/>
      <c r="C12" s="2510" t="str">
        <f>IF(AND(F10&lt;0,F11&gt;=0,ABS(F10*3)&gt;ABS(F11)),A16,IF(AND(F10&lt;0,F11&gt;0,ABS(F10*3)&lt;=ABS(F11)),A17,IF(AND(F10&lt;0,F11&lt;0),A16,IF(F11=0,A19,A18))))</f>
        <v>Balanced - no deficit reduction plan is required.</v>
      </c>
      <c r="D12" s="2511"/>
      <c r="E12" s="2511"/>
      <c r="F12" s="2512"/>
    </row>
    <row r="13" spans="1:8" ht="19.5" customHeight="1" x14ac:dyDescent="0.2">
      <c r="A13" s="1085"/>
      <c r="B13" s="1086"/>
      <c r="C13" s="2510"/>
      <c r="D13" s="2511"/>
      <c r="E13" s="2511"/>
      <c r="F13" s="2512"/>
      <c r="H13" s="1075"/>
    </row>
    <row r="14" spans="1:8" ht="19.5" customHeight="1" x14ac:dyDescent="0.2">
      <c r="A14" s="1085"/>
      <c r="B14" s="1086"/>
      <c r="C14" s="2510"/>
      <c r="D14" s="2511"/>
      <c r="E14" s="2511"/>
      <c r="F14" s="2512"/>
      <c r="H14" s="1075"/>
    </row>
    <row r="15" spans="1:8" ht="17.25" customHeight="1" x14ac:dyDescent="0.2">
      <c r="A15" s="1085"/>
      <c r="B15" s="1086"/>
      <c r="C15" s="2513"/>
      <c r="D15" s="2514"/>
      <c r="E15" s="2514"/>
      <c r="F15" s="2515"/>
      <c r="H15" s="1075"/>
    </row>
    <row r="16" spans="1:8" s="310" customFormat="1" ht="51.75" hidden="1" customHeight="1" x14ac:dyDescent="0.2">
      <c r="A16" s="2509" t="s">
        <v>1786</v>
      </c>
      <c r="B16" s="2509"/>
      <c r="C16" s="2509"/>
      <c r="D16" s="2509"/>
      <c r="E16" s="2509"/>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I13" sqref="I1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531" t="s">
        <v>686</v>
      </c>
      <c r="B3" s="2532"/>
      <c r="C3" s="2532"/>
      <c r="D3" s="2533"/>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542" t="s">
        <v>1584</v>
      </c>
      <c r="D7" s="2543"/>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534" t="s">
        <v>1065</v>
      </c>
      <c r="B15" s="2535"/>
      <c r="C15" s="2535"/>
      <c r="D15" s="2536"/>
    </row>
    <row r="16" spans="1:4" s="669" customFormat="1" ht="24" customHeight="1" x14ac:dyDescent="0.2">
      <c r="A16" s="2537" t="s">
        <v>684</v>
      </c>
      <c r="B16" s="2538"/>
      <c r="C16" s="2538"/>
      <c r="D16" s="2539"/>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546" t="s">
        <v>332</v>
      </c>
      <c r="D21" s="2547"/>
    </row>
    <row r="22" spans="1:10" ht="12.75" x14ac:dyDescent="0.2">
      <c r="A22" s="1140"/>
      <c r="B22" s="1141">
        <v>2</v>
      </c>
      <c r="C22" s="2544" t="s">
        <v>1605</v>
      </c>
      <c r="D22" s="254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548" t="s">
        <v>557</v>
      </c>
      <c r="D43" s="254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540" t="s">
        <v>817</v>
      </c>
      <c r="D56" s="254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540" t="s">
        <v>1796</v>
      </c>
      <c r="D70" s="254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17016170002</v>
      </c>
    </row>
    <row r="3" spans="1:2" x14ac:dyDescent="0.2">
      <c r="A3" t="s">
        <v>1013</v>
      </c>
      <c r="B3" s="138" t="str">
        <f>COVER!A15</f>
        <v>Cook</v>
      </c>
    </row>
    <row r="4" spans="1:2" x14ac:dyDescent="0.2">
      <c r="A4" t="s">
        <v>1064</v>
      </c>
      <c r="B4" s="138" t="str">
        <f>COVER!A17</f>
        <v>Chicago Heights School District 170</v>
      </c>
    </row>
    <row r="5" spans="1:2" x14ac:dyDescent="0.2">
      <c r="A5" t="s">
        <v>728</v>
      </c>
      <c r="B5" s="138" t="str">
        <f>COVER!A38</f>
        <v>Thomas Amadio</v>
      </c>
    </row>
    <row r="6" spans="1:2" x14ac:dyDescent="0.2">
      <c r="A6" t="s">
        <v>733</v>
      </c>
      <c r="B6" s="138">
        <f>COVER!P35</f>
        <v>0</v>
      </c>
    </row>
    <row r="7" spans="1:2" x14ac:dyDescent="0.2">
      <c r="A7" t="s">
        <v>729</v>
      </c>
      <c r="B7" s="138" t="str">
        <f>COVER!I38</f>
        <v>Dr. Robert G. Grossi</v>
      </c>
    </row>
    <row r="8" spans="1:2" x14ac:dyDescent="0.2">
      <c r="A8" t="s">
        <v>730</v>
      </c>
      <c r="B8" s="138" t="str">
        <f>COVER!T38</f>
        <v>Dr. Vanessa Kinder (ISC#4)</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f>COVER!T23</f>
        <v>0</v>
      </c>
    </row>
    <row r="16" spans="1:2" x14ac:dyDescent="0.2">
      <c r="A16" t="s">
        <v>442</v>
      </c>
      <c r="B16" s="138" t="str">
        <f>COVER!T13</f>
        <v>GW &amp; Associates, P.C.</v>
      </c>
    </row>
    <row r="17" spans="1:2" x14ac:dyDescent="0.2">
      <c r="A17" t="s">
        <v>939</v>
      </c>
      <c r="B17" s="138" t="str">
        <f>COVER!T15</f>
        <v>John Wysocki, CPA</v>
      </c>
    </row>
    <row r="18" spans="1:2" x14ac:dyDescent="0.2">
      <c r="A18" t="s">
        <v>1212</v>
      </c>
      <c r="B18" s="138" t="str">
        <f>COVER!T17</f>
        <v>4415 West Harrison Street</v>
      </c>
    </row>
    <row r="19" spans="1:2" x14ac:dyDescent="0.2">
      <c r="A19" t="s">
        <v>941</v>
      </c>
      <c r="B19" s="138" t="str">
        <f>COVER!T25</f>
        <v>john.wysocki@cpagwa.com</v>
      </c>
    </row>
    <row r="20" spans="1:2" x14ac:dyDescent="0.2">
      <c r="A20" t="s">
        <v>942</v>
      </c>
      <c r="B20" s="138" t="str">
        <f>COVER!T19</f>
        <v>Hillside</v>
      </c>
    </row>
    <row r="21" spans="1:2" x14ac:dyDescent="0.2">
      <c r="A21" t="s">
        <v>500</v>
      </c>
      <c r="B21" s="138" t="str">
        <f>COVER!X19</f>
        <v>IL</v>
      </c>
    </row>
    <row r="22" spans="1:2" x14ac:dyDescent="0.2">
      <c r="A22" t="s">
        <v>943</v>
      </c>
      <c r="B22" s="138">
        <f>COVER!Z19</f>
        <v>60162</v>
      </c>
    </row>
    <row r="23" spans="1:2" x14ac:dyDescent="0.2">
      <c r="A23" t="s">
        <v>1214</v>
      </c>
      <c r="B23" s="138" t="str">
        <f>COVER!T21</f>
        <v>(708)755-8182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34335</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18269953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18269953</v>
      </c>
      <c r="D92" s="2" t="str">
        <f t="shared" si="0"/>
        <v>Error?</v>
      </c>
    </row>
    <row r="93" spans="1:4" x14ac:dyDescent="0.2">
      <c r="A93" s="5">
        <v>32</v>
      </c>
      <c r="B93" s="138">
        <f>'Assets-Liab 5-6'!C41</f>
        <v>18269953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1510891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1510891</v>
      </c>
      <c r="D123" s="2" t="str">
        <f t="shared" si="0"/>
        <v>Error?</v>
      </c>
    </row>
    <row r="124" spans="1:4" x14ac:dyDescent="0.2">
      <c r="A124" s="5">
        <v>63</v>
      </c>
      <c r="B124" s="138">
        <f>'Assets-Liab 5-6'!D41</f>
        <v>1510891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1201493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1201493</v>
      </c>
      <c r="C139" s="2" t="s">
        <v>594</v>
      </c>
      <c r="D139" s="2" t="str">
        <f t="shared" si="1"/>
        <v>Error?</v>
      </c>
    </row>
    <row r="140" spans="1:4" x14ac:dyDescent="0.2">
      <c r="A140" s="5">
        <v>79</v>
      </c>
      <c r="B140" s="138">
        <f>'Assets-Liab 5-6'!E39</f>
        <v>-1201493</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2740549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2740549</v>
      </c>
      <c r="D170" s="2" t="str">
        <f t="shared" si="1"/>
        <v>Error?</v>
      </c>
    </row>
    <row r="171" spans="1:4" x14ac:dyDescent="0.2">
      <c r="A171" s="5">
        <v>110</v>
      </c>
      <c r="B171" s="138">
        <f>'Assets-Liab 5-6'!F41</f>
        <v>2740549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73160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73160</v>
      </c>
      <c r="C188" s="2" t="s">
        <v>594</v>
      </c>
      <c r="D188" s="2" t="str">
        <f t="shared" si="1"/>
        <v>Error?</v>
      </c>
    </row>
    <row r="189" spans="1:4" x14ac:dyDescent="0.2">
      <c r="A189" s="5">
        <v>128</v>
      </c>
      <c r="B189" s="138">
        <f>'Assets-Liab 5-6'!G39</f>
        <v>-73160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50045084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50045084</v>
      </c>
      <c r="D212" s="2" t="str">
        <f t="shared" si="2"/>
        <v>Error?</v>
      </c>
    </row>
    <row r="213" spans="1:4" x14ac:dyDescent="0.2">
      <c r="A213" s="12">
        <v>152</v>
      </c>
      <c r="B213" s="138">
        <f>'Assets-Liab 5-6'!H41</f>
        <v>50045084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332904</v>
      </c>
      <c r="D273" s="2" t="str">
        <f t="shared" si="3"/>
        <v>Error?</v>
      </c>
    </row>
    <row r="274" spans="1:4" x14ac:dyDescent="0.2">
      <c r="A274" s="5">
        <v>213</v>
      </c>
      <c r="B274" s="138">
        <f>'Assets-Liab 5-6'!M17</f>
        <v>16593797</v>
      </c>
      <c r="D274" s="2" t="str">
        <f t="shared" si="3"/>
        <v>Error?</v>
      </c>
    </row>
    <row r="275" spans="1:4" x14ac:dyDescent="0.2">
      <c r="A275" s="5">
        <v>214</v>
      </c>
      <c r="B275" s="138">
        <f>'Assets-Liab 5-6'!M18</f>
        <v>437554</v>
      </c>
      <c r="D275" s="2" t="str">
        <f t="shared" si="3"/>
        <v>Error?</v>
      </c>
    </row>
    <row r="276" spans="1:4" x14ac:dyDescent="0.2">
      <c r="A276" s="5">
        <v>215</v>
      </c>
      <c r="B276" s="138">
        <f>'Assets-Liab 5-6'!M19</f>
        <v>487408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18628908</v>
      </c>
      <c r="C279" s="2" t="s">
        <v>594</v>
      </c>
      <c r="D279" s="2" t="str">
        <f t="shared" si="3"/>
        <v>Error?</v>
      </c>
    </row>
    <row r="280" spans="1:4" x14ac:dyDescent="0.2">
      <c r="A280" s="5">
        <v>219</v>
      </c>
      <c r="B280" s="138">
        <f>'Assets-Liab 5-6'!M40</f>
        <v>18628908</v>
      </c>
      <c r="D280" s="2" t="str">
        <f t="shared" si="3"/>
        <v>Error?</v>
      </c>
    </row>
    <row r="281" spans="1:4" x14ac:dyDescent="0.2">
      <c r="A281" s="5">
        <v>220</v>
      </c>
      <c r="B281" s="138">
        <f>'Assets-Liab 5-6'!M41</f>
        <v>18628908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52800000</v>
      </c>
      <c r="D283" s="2" t="str">
        <f t="shared" si="3"/>
        <v>Error?</v>
      </c>
    </row>
    <row r="284" spans="1:4" x14ac:dyDescent="0.2">
      <c r="A284" s="5">
        <v>223</v>
      </c>
      <c r="B284" s="138">
        <f>'Assets-Liab 5-6'!N23</f>
        <v>52800000</v>
      </c>
      <c r="C284" s="2" t="s">
        <v>594</v>
      </c>
      <c r="D284" s="2" t="str">
        <f t="shared" si="3"/>
        <v>Error?</v>
      </c>
    </row>
    <row r="285" spans="1:4" x14ac:dyDescent="0.2">
      <c r="A285" s="5">
        <v>224</v>
      </c>
      <c r="B285" s="138">
        <f>'Assets-Liab 5-6'!N36</f>
        <v>52800000</v>
      </c>
      <c r="D285" s="2" t="str">
        <f t="shared" si="3"/>
        <v>Error?</v>
      </c>
    </row>
    <row r="286" spans="1:4" x14ac:dyDescent="0.2">
      <c r="A286" s="10">
        <v>225</v>
      </c>
      <c r="D286" s="2" t="str">
        <f t="shared" si="3"/>
        <v>OK</v>
      </c>
    </row>
    <row r="287" spans="1:4" x14ac:dyDescent="0.2">
      <c r="A287" s="5">
        <v>226</v>
      </c>
      <c r="B287" s="138">
        <f>'Assets-Liab 5-6'!N37</f>
        <v>52800000</v>
      </c>
      <c r="C287" s="2" t="s">
        <v>594</v>
      </c>
      <c r="D287" s="2" t="str">
        <f t="shared" si="3"/>
        <v>Error?</v>
      </c>
    </row>
    <row r="288" spans="1:4" x14ac:dyDescent="0.2">
      <c r="A288" s="5">
        <v>227</v>
      </c>
      <c r="B288" s="138">
        <f>'Assets-Liab 5-6'!N41</f>
        <v>52800000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1130490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12275776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800608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7799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15673086</v>
      </c>
      <c r="C720" s="2" t="s">
        <v>594</v>
      </c>
      <c r="D720" s="2" t="str">
        <f t="shared" si="10"/>
        <v>Error?</v>
      </c>
    </row>
    <row r="721" spans="1:4" x14ac:dyDescent="0.2">
      <c r="A721" s="5">
        <v>660</v>
      </c>
      <c r="B721" s="138">
        <f>'Expenditures 15-22'!C36</f>
        <v>502794</v>
      </c>
      <c r="D721" s="2" t="str">
        <f t="shared" si="10"/>
        <v>Error?</v>
      </c>
    </row>
    <row r="722" spans="1:4" x14ac:dyDescent="0.2">
      <c r="A722" s="5">
        <v>661</v>
      </c>
      <c r="B722" s="138">
        <f>'Expenditures 15-22'!C37</f>
        <v>47480</v>
      </c>
      <c r="D722" s="2" t="str">
        <f t="shared" si="10"/>
        <v>Error?</v>
      </c>
    </row>
    <row r="723" spans="1:4" x14ac:dyDescent="0.2">
      <c r="A723" s="5">
        <v>662</v>
      </c>
      <c r="B723" s="138">
        <f>'Expenditures 15-22'!C38</f>
        <v>39081</v>
      </c>
      <c r="D723" s="2" t="str">
        <f t="shared" si="10"/>
        <v>Error?</v>
      </c>
    </row>
    <row r="724" spans="1:4" x14ac:dyDescent="0.2">
      <c r="A724" s="5">
        <v>663</v>
      </c>
      <c r="B724" s="138">
        <f>'Expenditures 15-22'!C39</f>
        <v>237374</v>
      </c>
      <c r="D724" s="2" t="str">
        <f t="shared" si="10"/>
        <v>Error?</v>
      </c>
    </row>
    <row r="725" spans="1:4" x14ac:dyDescent="0.2">
      <c r="A725" s="5">
        <v>664</v>
      </c>
      <c r="B725" s="138">
        <f>'Expenditures 15-22'!C40</f>
        <v>291516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1118245</v>
      </c>
      <c r="C727" s="2" t="s">
        <v>594</v>
      </c>
      <c r="D727" s="2" t="str">
        <f t="shared" si="10"/>
        <v>Error?</v>
      </c>
    </row>
    <row r="728" spans="1:4" x14ac:dyDescent="0.2">
      <c r="A728" s="5">
        <v>667</v>
      </c>
      <c r="B728" s="138">
        <f>'Expenditures 15-22'!C44</f>
        <v>664584</v>
      </c>
      <c r="D728" s="2" t="str">
        <f t="shared" si="10"/>
        <v>Error?</v>
      </c>
    </row>
    <row r="729" spans="1:4" x14ac:dyDescent="0.2">
      <c r="A729" s="5">
        <v>668</v>
      </c>
      <c r="B729" s="138">
        <f>'Expenditures 15-22'!C45</f>
        <v>30435</v>
      </c>
      <c r="D729" s="2" t="str">
        <f t="shared" si="10"/>
        <v>Error?</v>
      </c>
    </row>
    <row r="730" spans="1:4" x14ac:dyDescent="0.2">
      <c r="A730" s="5">
        <v>669</v>
      </c>
      <c r="B730" s="138">
        <f>'Expenditures 15-22'!C46</f>
        <v>11385</v>
      </c>
      <c r="D730" s="2" t="str">
        <f t="shared" si="10"/>
        <v>Error?</v>
      </c>
    </row>
    <row r="731" spans="1:4" x14ac:dyDescent="0.2">
      <c r="A731" s="5">
        <v>670</v>
      </c>
      <c r="B731" s="138">
        <f>'Expenditures 15-22'!C47</f>
        <v>706404</v>
      </c>
      <c r="C731" s="2" t="s">
        <v>594</v>
      </c>
      <c r="D731" s="2" t="str">
        <f t="shared" si="10"/>
        <v>Error?</v>
      </c>
    </row>
    <row r="732" spans="1:4" x14ac:dyDescent="0.2">
      <c r="A732" s="5">
        <v>671</v>
      </c>
      <c r="B732" s="138">
        <f>'Expenditures 15-22'!C49</f>
        <v>41589</v>
      </c>
      <c r="D732" s="2" t="str">
        <f t="shared" si="10"/>
        <v>Error?</v>
      </c>
    </row>
    <row r="733" spans="1:4" x14ac:dyDescent="0.2">
      <c r="A733" s="5">
        <v>672</v>
      </c>
      <c r="B733" s="138">
        <f>'Expenditures 15-22'!C50</f>
        <v>540088</v>
      </c>
      <c r="D733" s="2" t="str">
        <f t="shared" si="10"/>
        <v>Error?</v>
      </c>
    </row>
    <row r="734" spans="1:4" x14ac:dyDescent="0.2">
      <c r="A734" s="5">
        <v>673</v>
      </c>
      <c r="B734" s="138">
        <f>'Expenditures 15-22'!C53</f>
        <v>1469711</v>
      </c>
      <c r="C734" s="2" t="s">
        <v>594</v>
      </c>
      <c r="D734" s="2" t="str">
        <f t="shared" si="10"/>
        <v>Error?</v>
      </c>
    </row>
    <row r="735" spans="1:4" x14ac:dyDescent="0.2">
      <c r="A735" s="5">
        <v>674</v>
      </c>
      <c r="B735" s="138">
        <f>'Expenditures 15-22'!C55</f>
        <v>1441742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1441742</v>
      </c>
      <c r="C737" s="2" t="s">
        <v>594</v>
      </c>
      <c r="D737" s="2" t="str">
        <f t="shared" si="10"/>
        <v>Error?</v>
      </c>
    </row>
    <row r="738" spans="1:4" x14ac:dyDescent="0.2">
      <c r="A738" s="5">
        <v>677</v>
      </c>
      <c r="B738" s="138">
        <f>'Expenditures 15-22'!C59</f>
        <v>182835</v>
      </c>
      <c r="D738" s="2" t="str">
        <f t="shared" si="10"/>
        <v>Error?</v>
      </c>
    </row>
    <row r="739" spans="1:4" x14ac:dyDescent="0.2">
      <c r="A739" s="5">
        <v>678</v>
      </c>
      <c r="B739" s="138">
        <f>'Expenditures 15-22'!C60</f>
        <v>267189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35031</v>
      </c>
      <c r="D741" s="2" t="str">
        <f t="shared" si="10"/>
        <v>Error?</v>
      </c>
    </row>
    <row r="742" spans="1:4" x14ac:dyDescent="0.2">
      <c r="A742" s="5">
        <v>681</v>
      </c>
      <c r="B742" s="138">
        <f>'Expenditures 15-22'!C63</f>
        <v>579101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1064156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5800258</v>
      </c>
      <c r="C755" s="2" t="s">
        <v>594</v>
      </c>
      <c r="D755" s="2" t="str">
        <f t="shared" si="10"/>
        <v>Error?</v>
      </c>
    </row>
    <row r="756" spans="1:4" x14ac:dyDescent="0.2">
      <c r="A756" s="5">
        <v>695</v>
      </c>
      <c r="B756" s="138">
        <f>'Expenditures 15-22'!C75</f>
        <v>132406</v>
      </c>
      <c r="D756" s="2" t="str">
        <f t="shared" si="10"/>
        <v>Error?</v>
      </c>
    </row>
    <row r="757" spans="1:4" x14ac:dyDescent="0.2">
      <c r="A757" s="5">
        <v>696</v>
      </c>
      <c r="B757" s="138">
        <f>'Expenditures 15-22'!C114</f>
        <v>21605750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3855114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289075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4756710</v>
      </c>
      <c r="C778" s="2" t="s">
        <v>594</v>
      </c>
      <c r="D778" s="2" t="str">
        <f t="shared" si="11"/>
        <v>Error?</v>
      </c>
    </row>
    <row r="779" spans="1:4" x14ac:dyDescent="0.2">
      <c r="A779" s="5">
        <v>718</v>
      </c>
      <c r="B779" s="138">
        <f>'Expenditures 15-22'!D36</f>
        <v>92389</v>
      </c>
      <c r="D779" s="2" t="str">
        <f t="shared" si="11"/>
        <v>Error?</v>
      </c>
    </row>
    <row r="780" spans="1:4" x14ac:dyDescent="0.2">
      <c r="A780" s="5">
        <v>719</v>
      </c>
      <c r="B780" s="138">
        <f>'Expenditures 15-22'!D37</f>
        <v>6752</v>
      </c>
      <c r="D780" s="2" t="str">
        <f t="shared" si="11"/>
        <v>Error?</v>
      </c>
    </row>
    <row r="781" spans="1:4" x14ac:dyDescent="0.2">
      <c r="A781" s="5">
        <v>720</v>
      </c>
      <c r="B781" s="138">
        <f>'Expenditures 15-22'!D38</f>
        <v>8555</v>
      </c>
      <c r="D781" s="2" t="str">
        <f t="shared" si="11"/>
        <v>Error?</v>
      </c>
    </row>
    <row r="782" spans="1:4" x14ac:dyDescent="0.2">
      <c r="A782" s="5">
        <v>721</v>
      </c>
      <c r="B782" s="138">
        <f>'Expenditures 15-22'!D39</f>
        <v>51914</v>
      </c>
      <c r="D782" s="2" t="str">
        <f t="shared" si="11"/>
        <v>Error?</v>
      </c>
    </row>
    <row r="783" spans="1:4" x14ac:dyDescent="0.2">
      <c r="A783" s="5">
        <v>722</v>
      </c>
      <c r="B783" s="138">
        <f>'Expenditures 15-22'!D40</f>
        <v>72967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232577</v>
      </c>
      <c r="C785" s="2" t="s">
        <v>594</v>
      </c>
      <c r="D785" s="2" t="str">
        <f t="shared" si="11"/>
        <v>Error?</v>
      </c>
    </row>
    <row r="786" spans="1:4" x14ac:dyDescent="0.2">
      <c r="A786" s="5">
        <v>725</v>
      </c>
      <c r="B786" s="138">
        <f>'Expenditures 15-22'!D44</f>
        <v>24899</v>
      </c>
      <c r="D786" s="2" t="str">
        <f t="shared" si="11"/>
        <v>Error?</v>
      </c>
    </row>
    <row r="787" spans="1:4" x14ac:dyDescent="0.2">
      <c r="A787" s="5">
        <v>726</v>
      </c>
      <c r="B787" s="138">
        <f>'Expenditures 15-22'!D45</f>
        <v>17944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42843</v>
      </c>
      <c r="C789" s="2" t="s">
        <v>594</v>
      </c>
      <c r="D789" s="2" t="str">
        <f t="shared" si="11"/>
        <v>Error?</v>
      </c>
    </row>
    <row r="790" spans="1:4" x14ac:dyDescent="0.2">
      <c r="A790" s="5">
        <v>729</v>
      </c>
      <c r="B790" s="138">
        <f>'Expenditures 15-22'!D49</f>
        <v>15951</v>
      </c>
      <c r="D790" s="2" t="str">
        <f t="shared" si="11"/>
        <v>Error?</v>
      </c>
    </row>
    <row r="791" spans="1:4" x14ac:dyDescent="0.2">
      <c r="A791" s="5">
        <v>730</v>
      </c>
      <c r="B791" s="138">
        <f>'Expenditures 15-22'!D50</f>
        <v>118374</v>
      </c>
      <c r="D791" s="2" t="str">
        <f t="shared" si="11"/>
        <v>Error?</v>
      </c>
    </row>
    <row r="792" spans="1:4" x14ac:dyDescent="0.2">
      <c r="A792" s="5">
        <v>731</v>
      </c>
      <c r="B792" s="138">
        <f>'Expenditures 15-22'!D53</f>
        <v>340478</v>
      </c>
      <c r="C792" s="2" t="s">
        <v>594</v>
      </c>
      <c r="D792" s="2" t="str">
        <f t="shared" si="11"/>
        <v>Error?</v>
      </c>
    </row>
    <row r="793" spans="1:4" x14ac:dyDescent="0.2">
      <c r="A793" s="5">
        <v>732</v>
      </c>
      <c r="B793" s="138">
        <f>'Expenditures 15-22'!D55</f>
        <v>284141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284141</v>
      </c>
      <c r="C795" s="2" t="s">
        <v>594</v>
      </c>
      <c r="D795" s="2" t="str">
        <f t="shared" si="11"/>
        <v>Error?</v>
      </c>
    </row>
    <row r="796" spans="1:4" x14ac:dyDescent="0.2">
      <c r="A796" s="5">
        <v>735</v>
      </c>
      <c r="B796" s="138">
        <f>'Expenditures 15-22'!D59</f>
        <v>41174</v>
      </c>
      <c r="D796" s="2" t="str">
        <f t="shared" si="11"/>
        <v>Error?</v>
      </c>
    </row>
    <row r="797" spans="1:4" x14ac:dyDescent="0.2">
      <c r="A797" s="5">
        <v>736</v>
      </c>
      <c r="B797" s="138">
        <f>'Expenditures 15-22'!D60</f>
        <v>70521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44</v>
      </c>
      <c r="D799" s="2" t="str">
        <f t="shared" si="11"/>
        <v>Error?</v>
      </c>
    </row>
    <row r="800" spans="1:4" x14ac:dyDescent="0.2">
      <c r="A800" s="5">
        <v>739</v>
      </c>
      <c r="B800" s="138">
        <f>'Expenditures 15-22'!D63</f>
        <v>67485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179224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145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145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1079408</v>
      </c>
      <c r="C813" s="2" t="s">
        <v>594</v>
      </c>
      <c r="D813" s="2" t="str">
        <f t="shared" si="11"/>
        <v>Error?</v>
      </c>
    </row>
    <row r="814" spans="1:4" x14ac:dyDescent="0.2">
      <c r="A814" s="5">
        <v>753</v>
      </c>
      <c r="B814" s="138">
        <f>'Expenditures 15-22'!D75</f>
        <v>64364</v>
      </c>
      <c r="D814" s="2" t="str">
        <f t="shared" si="11"/>
        <v>Error?</v>
      </c>
    </row>
    <row r="815" spans="1:4" x14ac:dyDescent="0.2">
      <c r="A815" s="5">
        <v>754</v>
      </c>
      <c r="B815" s="138">
        <f>'Expenditures 15-22'!D114</f>
        <v>5900482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415009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29216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1016206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1000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1000</v>
      </c>
      <c r="C843" s="2" t="s">
        <v>594</v>
      </c>
      <c r="D843" s="2" t="str">
        <f t="shared" si="12"/>
        <v>Error?</v>
      </c>
    </row>
    <row r="844" spans="1:4" x14ac:dyDescent="0.2">
      <c r="A844" s="5">
        <v>783</v>
      </c>
      <c r="B844" s="138">
        <f>'Expenditures 15-22'!E44</f>
        <v>418156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31592</v>
      </c>
      <c r="D846" s="2" t="str">
        <f t="shared" si="12"/>
        <v>Error?</v>
      </c>
    </row>
    <row r="847" spans="1:4" x14ac:dyDescent="0.2">
      <c r="A847" s="5">
        <v>786</v>
      </c>
      <c r="B847" s="138">
        <f>'Expenditures 15-22'!E47</f>
        <v>449748</v>
      </c>
      <c r="C847" s="2" t="s">
        <v>594</v>
      </c>
      <c r="D847" s="2" t="str">
        <f t="shared" si="12"/>
        <v>Error?</v>
      </c>
    </row>
    <row r="848" spans="1:4" x14ac:dyDescent="0.2">
      <c r="A848" s="5">
        <v>787</v>
      </c>
      <c r="B848" s="138">
        <f>'Expenditures 15-22'!E49</f>
        <v>1446303</v>
      </c>
      <c r="D848" s="2" t="str">
        <f t="shared" si="12"/>
        <v>Error?</v>
      </c>
    </row>
    <row r="849" spans="1:4" x14ac:dyDescent="0.2">
      <c r="A849" s="5">
        <v>788</v>
      </c>
      <c r="B849" s="138">
        <f>'Expenditures 15-22'!E50</f>
        <v>600</v>
      </c>
      <c r="D849" s="2" t="str">
        <f t="shared" si="12"/>
        <v>Error?</v>
      </c>
    </row>
    <row r="850" spans="1:4" x14ac:dyDescent="0.2">
      <c r="A850" s="5">
        <v>789</v>
      </c>
      <c r="B850" s="138">
        <f>'Expenditures 15-22'!E53</f>
        <v>1446903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15181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397772</v>
      </c>
      <c r="D856" s="2" t="str">
        <f t="shared" si="12"/>
        <v>Error?</v>
      </c>
    </row>
    <row r="857" spans="1:4" x14ac:dyDescent="0.2">
      <c r="A857" s="5">
        <v>796</v>
      </c>
      <c r="B857" s="138">
        <f>'Expenditures 15-22'!E62</f>
        <v>70095</v>
      </c>
      <c r="D857" s="2" t="str">
        <f t="shared" si="12"/>
        <v>Error?</v>
      </c>
    </row>
    <row r="858" spans="1:4" x14ac:dyDescent="0.2">
      <c r="A858" s="5">
        <v>797</v>
      </c>
      <c r="B858" s="138">
        <f>'Expenditures 15-22'!E63</f>
        <v>17375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500423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18756</v>
      </c>
      <c r="D865" s="2" t="str">
        <f t="shared" si="12"/>
        <v>Error?</v>
      </c>
    </row>
    <row r="866" spans="1:4" x14ac:dyDescent="0.2">
      <c r="A866" s="10">
        <v>805</v>
      </c>
      <c r="D866" s="2" t="str">
        <f t="shared" si="12"/>
        <v>OK</v>
      </c>
    </row>
    <row r="867" spans="1:4" x14ac:dyDescent="0.2">
      <c r="A867" s="5">
        <v>806</v>
      </c>
      <c r="B867" s="138">
        <f>'Expenditures 15-22'!E71</f>
        <v>7250</v>
      </c>
      <c r="D867" s="2" t="str">
        <f t="shared" si="12"/>
        <v>Error?</v>
      </c>
    </row>
    <row r="868" spans="1:4" x14ac:dyDescent="0.2">
      <c r="A868" s="10">
        <v>807</v>
      </c>
      <c r="D868" s="2" t="str">
        <f t="shared" si="12"/>
        <v>OK</v>
      </c>
    </row>
    <row r="869" spans="1:4" x14ac:dyDescent="0.2">
      <c r="A869" s="5">
        <v>808</v>
      </c>
      <c r="B869" s="138">
        <f>'Expenditures 15-22'!E72</f>
        <v>26006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2424080</v>
      </c>
      <c r="C871" s="2" t="s">
        <v>594</v>
      </c>
      <c r="D871" s="2" t="str">
        <f t="shared" si="12"/>
        <v>Error?</v>
      </c>
    </row>
    <row r="872" spans="1:4" x14ac:dyDescent="0.2">
      <c r="A872" s="5">
        <v>811</v>
      </c>
      <c r="B872" s="138">
        <f>'Expenditures 15-22'!E75</f>
        <v>28782</v>
      </c>
      <c r="D872" s="2" t="str">
        <f t="shared" si="12"/>
        <v>Error?</v>
      </c>
    </row>
    <row r="873" spans="1:4" x14ac:dyDescent="0.2">
      <c r="A873" s="5">
        <v>812</v>
      </c>
      <c r="B873" s="138">
        <f>'Expenditures 15-22'!E114</f>
        <v>3469068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358999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13485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1288559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4317</v>
      </c>
      <c r="D896" s="2" t="str">
        <f t="shared" si="13"/>
        <v>Error?</v>
      </c>
    </row>
    <row r="897" spans="1:4" x14ac:dyDescent="0.2">
      <c r="A897" s="5">
        <v>836</v>
      </c>
      <c r="B897" s="138">
        <f>'Expenditures 15-22'!F38</f>
        <v>8554</v>
      </c>
      <c r="D897" s="2" t="str">
        <f t="shared" si="13"/>
        <v>Error?</v>
      </c>
    </row>
    <row r="898" spans="1:4" x14ac:dyDescent="0.2">
      <c r="A898" s="5">
        <v>837</v>
      </c>
      <c r="B898" s="138">
        <f>'Expenditures 15-22'!F39</f>
        <v>4350</v>
      </c>
      <c r="D898" s="2" t="str">
        <f t="shared" si="13"/>
        <v>Error?</v>
      </c>
    </row>
    <row r="899" spans="1:4" x14ac:dyDescent="0.2">
      <c r="A899" s="5">
        <v>838</v>
      </c>
      <c r="B899" s="138">
        <f>'Expenditures 15-22'!F40</f>
        <v>3956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21177</v>
      </c>
      <c r="C901" s="2" t="s">
        <v>594</v>
      </c>
      <c r="D901" s="2" t="str">
        <f t="shared" si="13"/>
        <v>Error?</v>
      </c>
    </row>
    <row r="902" spans="1:4" x14ac:dyDescent="0.2">
      <c r="A902" s="5">
        <v>841</v>
      </c>
      <c r="B902" s="138">
        <f>'Expenditures 15-22'!F44</f>
        <v>9914</v>
      </c>
      <c r="D902" s="2" t="str">
        <f t="shared" si="13"/>
        <v>Error?</v>
      </c>
    </row>
    <row r="903" spans="1:4" x14ac:dyDescent="0.2">
      <c r="A903" s="5">
        <v>842</v>
      </c>
      <c r="B903" s="138">
        <f>'Expenditures 15-22'!F45</f>
        <v>16046</v>
      </c>
      <c r="D903" s="2" t="str">
        <f t="shared" si="13"/>
        <v>Error?</v>
      </c>
    </row>
    <row r="904" spans="1:4" x14ac:dyDescent="0.2">
      <c r="A904" s="5">
        <v>843</v>
      </c>
      <c r="B904" s="138">
        <f>'Expenditures 15-22'!F46</f>
        <v>918</v>
      </c>
      <c r="D904" s="2" t="str">
        <f t="shared" si="13"/>
        <v>Error?</v>
      </c>
    </row>
    <row r="905" spans="1:4" x14ac:dyDescent="0.2">
      <c r="A905" s="5">
        <v>844</v>
      </c>
      <c r="B905" s="138">
        <f>'Expenditures 15-22'!F47</f>
        <v>26878</v>
      </c>
      <c r="C905" s="2" t="s">
        <v>594</v>
      </c>
      <c r="D905" s="2" t="str">
        <f t="shared" si="13"/>
        <v>Error?</v>
      </c>
    </row>
    <row r="906" spans="1:4" x14ac:dyDescent="0.2">
      <c r="A906" s="5">
        <v>845</v>
      </c>
      <c r="B906" s="138">
        <f>'Expenditures 15-22'!F49</f>
        <v>27339</v>
      </c>
      <c r="D906" s="2" t="str">
        <f t="shared" si="13"/>
        <v>Error?</v>
      </c>
    </row>
    <row r="907" spans="1:4" x14ac:dyDescent="0.2">
      <c r="A907" s="5">
        <v>846</v>
      </c>
      <c r="B907" s="138">
        <f>'Expenditures 15-22'!F50</f>
        <v>3665</v>
      </c>
      <c r="D907" s="2" t="str">
        <f t="shared" si="13"/>
        <v>Error?</v>
      </c>
    </row>
    <row r="908" spans="1:4" x14ac:dyDescent="0.2">
      <c r="A908" s="5">
        <v>847</v>
      </c>
      <c r="B908" s="138">
        <f>'Expenditures 15-22'!F53</f>
        <v>31004</v>
      </c>
      <c r="C908" s="2" t="s">
        <v>594</v>
      </c>
      <c r="D908" s="2" t="str">
        <f t="shared" si="13"/>
        <v>Error?</v>
      </c>
    </row>
    <row r="909" spans="1:4" x14ac:dyDescent="0.2">
      <c r="A909" s="5">
        <v>848</v>
      </c>
      <c r="B909" s="138">
        <f>'Expenditures 15-22'!F55</f>
        <v>3506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3506</v>
      </c>
      <c r="C911" s="2" t="s">
        <v>594</v>
      </c>
      <c r="D911" s="2" t="str">
        <f t="shared" si="13"/>
        <v>Error?</v>
      </c>
    </row>
    <row r="912" spans="1:4" x14ac:dyDescent="0.2">
      <c r="A912" s="5">
        <v>851</v>
      </c>
      <c r="B912" s="138">
        <f>'Expenditures 15-22'!F59</f>
        <v>645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700070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1149824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1850539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1550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1550</v>
      </c>
      <c r="C927" s="2" t="s">
        <v>594</v>
      </c>
      <c r="D927" s="2" t="str">
        <f t="shared" si="13"/>
        <v>Error?</v>
      </c>
    </row>
    <row r="928" spans="1:4" x14ac:dyDescent="0.2">
      <c r="A928" s="5">
        <v>867</v>
      </c>
      <c r="B928" s="138">
        <f>'Expenditures 15-22'!F73</f>
        <v>3007</v>
      </c>
      <c r="D928" s="2" t="str">
        <f t="shared" si="13"/>
        <v>Error?</v>
      </c>
    </row>
    <row r="929" spans="1:4" x14ac:dyDescent="0.2">
      <c r="A929" s="5">
        <v>868</v>
      </c>
      <c r="B929" s="138">
        <f>'Expenditures 15-22'!F74</f>
        <v>1937661</v>
      </c>
      <c r="C929" s="2" t="s">
        <v>594</v>
      </c>
      <c r="D929" s="2" t="str">
        <f t="shared" si="13"/>
        <v>Error?</v>
      </c>
    </row>
    <row r="930" spans="1:4" x14ac:dyDescent="0.2">
      <c r="A930" s="5">
        <v>869</v>
      </c>
      <c r="B930" s="138">
        <f>'Expenditures 15-22'!F75</f>
        <v>47012</v>
      </c>
      <c r="D930" s="2" t="str">
        <f t="shared" si="13"/>
        <v>Error?</v>
      </c>
    </row>
    <row r="931" spans="1:4" x14ac:dyDescent="0.2">
      <c r="A931" s="5">
        <v>870</v>
      </c>
      <c r="B931" s="138">
        <f>'Expenditures 15-22'!F114</f>
        <v>3273232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7146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7800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57255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30955</v>
      </c>
      <c r="D988" s="2" t="str">
        <f t="shared" si="14"/>
        <v>Error?</v>
      </c>
    </row>
    <row r="989" spans="1:4" x14ac:dyDescent="0.2">
      <c r="A989" s="5">
        <v>928</v>
      </c>
      <c r="B989" s="138">
        <f>'Expenditures 15-22'!G114</f>
        <v>88210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38694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9416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52713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130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130</v>
      </c>
      <c r="C1021" s="2" t="s">
        <v>594</v>
      </c>
      <c r="D1021" s="2" t="str">
        <f t="shared" si="14"/>
        <v>Error?</v>
      </c>
    </row>
    <row r="1022" spans="1:4" x14ac:dyDescent="0.2">
      <c r="A1022" s="5">
        <v>961</v>
      </c>
      <c r="B1022" s="138">
        <f>'Expenditures 15-22'!H49</f>
        <v>17822</v>
      </c>
      <c r="D1022" s="2" t="str">
        <f t="shared" si="14"/>
        <v>Error?</v>
      </c>
    </row>
    <row r="1023" spans="1:4" x14ac:dyDescent="0.2">
      <c r="A1023" s="5">
        <v>962</v>
      </c>
      <c r="B1023" s="138">
        <f>'Expenditures 15-22'!H50</f>
        <v>6832</v>
      </c>
      <c r="D1023" s="2" t="str">
        <f t="shared" ref="D1023:D1086" si="15">IF(ISBLANK(B1023),"OK",IF(A1023-B1023=0,"OK","Error?"))</f>
        <v>Error?</v>
      </c>
    </row>
    <row r="1024" spans="1:4" x14ac:dyDescent="0.2">
      <c r="A1024" s="5">
        <v>963</v>
      </c>
      <c r="B1024" s="138">
        <f>'Expenditures 15-22'!H53</f>
        <v>24654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24784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1387082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1464579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16966073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1089683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69724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22880007</v>
      </c>
      <c r="C1108" s="2" t="s">
        <v>594</v>
      </c>
      <c r="D1108" s="2" t="str">
        <f t="shared" si="16"/>
        <v>Error?</v>
      </c>
    </row>
    <row r="1109" spans="1:4" x14ac:dyDescent="0.2">
      <c r="A1109" s="5">
        <v>1048</v>
      </c>
      <c r="B1109" s="138">
        <f>'Expenditures 15-22'!K36</f>
        <v>595183</v>
      </c>
      <c r="C1109" s="2" t="s">
        <v>594</v>
      </c>
      <c r="D1109" s="2" t="str">
        <f t="shared" si="16"/>
        <v>Error?</v>
      </c>
    </row>
    <row r="1110" spans="1:4" x14ac:dyDescent="0.2">
      <c r="A1110" s="5">
        <v>1049</v>
      </c>
      <c r="B1110" s="138">
        <f>'Expenditures 15-22'!K37</f>
        <v>58549</v>
      </c>
      <c r="C1110" s="2" t="s">
        <v>594</v>
      </c>
      <c r="D1110" s="2" t="str">
        <f t="shared" si="16"/>
        <v>Error?</v>
      </c>
    </row>
    <row r="1111" spans="1:4" x14ac:dyDescent="0.2">
      <c r="A1111" s="5">
        <v>1050</v>
      </c>
      <c r="B1111" s="138">
        <f>'Expenditures 15-22'!K38</f>
        <v>56190</v>
      </c>
      <c r="C1111" s="2" t="s">
        <v>594</v>
      </c>
      <c r="D1111" s="2" t="str">
        <f t="shared" si="16"/>
        <v>Error?</v>
      </c>
    </row>
    <row r="1112" spans="1:4" x14ac:dyDescent="0.2">
      <c r="A1112" s="5">
        <v>1051</v>
      </c>
      <c r="B1112" s="138">
        <f>'Expenditures 15-22'!K39</f>
        <v>294638</v>
      </c>
      <c r="C1112" s="2" t="s">
        <v>594</v>
      </c>
      <c r="D1112" s="2" t="str">
        <f t="shared" si="16"/>
        <v>Error?</v>
      </c>
    </row>
    <row r="1113" spans="1:4" x14ac:dyDescent="0.2">
      <c r="A1113" s="5">
        <v>1052</v>
      </c>
      <c r="B1113" s="138">
        <f>'Expenditures 15-22'!K40</f>
        <v>368439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1372999</v>
      </c>
      <c r="C1115" s="2" t="s">
        <v>594</v>
      </c>
      <c r="D1115" s="2" t="str">
        <f t="shared" si="16"/>
        <v>Error?</v>
      </c>
    </row>
    <row r="1116" spans="1:4" x14ac:dyDescent="0.2">
      <c r="A1116" s="5">
        <v>1055</v>
      </c>
      <c r="B1116" s="138">
        <f>'Expenditures 15-22'!K44</f>
        <v>1117683</v>
      </c>
      <c r="C1116" s="2" t="s">
        <v>594</v>
      </c>
      <c r="D1116" s="2" t="str">
        <f t="shared" si="16"/>
        <v>Error?</v>
      </c>
    </row>
    <row r="1117" spans="1:4" x14ac:dyDescent="0.2">
      <c r="A1117" s="5">
        <v>1056</v>
      </c>
      <c r="B1117" s="138">
        <f>'Expenditures 15-22'!K45</f>
        <v>64425</v>
      </c>
      <c r="C1117" s="2" t="s">
        <v>594</v>
      </c>
      <c r="D1117" s="2" t="str">
        <f t="shared" si="16"/>
        <v>Error?</v>
      </c>
    </row>
    <row r="1118" spans="1:4" x14ac:dyDescent="0.2">
      <c r="A1118" s="5">
        <v>1057</v>
      </c>
      <c r="B1118" s="138">
        <f>'Expenditures 15-22'!K46</f>
        <v>43895</v>
      </c>
      <c r="C1118" s="2" t="s">
        <v>594</v>
      </c>
      <c r="D1118" s="2" t="str">
        <f t="shared" si="16"/>
        <v>Error?</v>
      </c>
    </row>
    <row r="1119" spans="1:4" x14ac:dyDescent="0.2">
      <c r="A1119" s="5">
        <v>1058</v>
      </c>
      <c r="B1119" s="138">
        <f>'Expenditures 15-22'!K47</f>
        <v>1226003</v>
      </c>
      <c r="C1119" s="2" t="s">
        <v>594</v>
      </c>
      <c r="D1119" s="2" t="str">
        <f t="shared" si="16"/>
        <v>Error?</v>
      </c>
    </row>
    <row r="1120" spans="1:4" x14ac:dyDescent="0.2">
      <c r="A1120" s="5">
        <v>1059</v>
      </c>
      <c r="B1120" s="138">
        <f>'Expenditures 15-22'!K49</f>
        <v>1549004</v>
      </c>
      <c r="C1120" s="2" t="s">
        <v>594</v>
      </c>
      <c r="D1120" s="2" t="str">
        <f t="shared" si="16"/>
        <v>Error?</v>
      </c>
    </row>
    <row r="1121" spans="1:4" x14ac:dyDescent="0.2">
      <c r="A1121" s="5">
        <v>1060</v>
      </c>
      <c r="B1121" s="138">
        <f>'Expenditures 15-22'!K50</f>
        <v>671457</v>
      </c>
      <c r="C1121" s="2" t="s">
        <v>594</v>
      </c>
      <c r="D1121" s="2" t="str">
        <f t="shared" si="16"/>
        <v>Error?</v>
      </c>
    </row>
    <row r="1122" spans="1:4" x14ac:dyDescent="0.2">
      <c r="A1122" s="5">
        <v>1061</v>
      </c>
      <c r="B1122" s="138">
        <f>'Expenditures 15-22'!K53</f>
        <v>3314648</v>
      </c>
      <c r="C1122" s="2" t="s">
        <v>594</v>
      </c>
      <c r="D1122" s="2" t="str">
        <f t="shared" si="16"/>
        <v>Error?</v>
      </c>
    </row>
    <row r="1123" spans="1:4" x14ac:dyDescent="0.2">
      <c r="A1123" s="5">
        <v>1062</v>
      </c>
      <c r="B1123" s="138">
        <f>'Expenditures 15-22'!K55</f>
        <v>1729389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1729389</v>
      </c>
      <c r="C1125" s="2" t="s">
        <v>594</v>
      </c>
      <c r="D1125" s="2" t="str">
        <f t="shared" si="16"/>
        <v>Error?</v>
      </c>
    </row>
    <row r="1126" spans="1:4" x14ac:dyDescent="0.2">
      <c r="A1126" s="5">
        <v>1065</v>
      </c>
      <c r="B1126" s="138">
        <f>'Expenditures 15-22'!K59</f>
        <v>239835</v>
      </c>
      <c r="C1126" s="2" t="s">
        <v>594</v>
      </c>
      <c r="D1126" s="2" t="str">
        <f t="shared" si="16"/>
        <v>Error?</v>
      </c>
    </row>
    <row r="1127" spans="1:4" x14ac:dyDescent="0.2">
      <c r="A1127" s="5">
        <v>1066</v>
      </c>
      <c r="B1127" s="138">
        <f>'Expenditures 15-22'!K60</f>
        <v>337710</v>
      </c>
      <c r="C1127" s="2" t="s">
        <v>594</v>
      </c>
      <c r="D1127" s="2" t="str">
        <f t="shared" si="16"/>
        <v>Error?</v>
      </c>
    </row>
    <row r="1128" spans="1:4" x14ac:dyDescent="0.2">
      <c r="A1128" s="5">
        <v>1067</v>
      </c>
      <c r="B1128" s="138">
        <f>'Expenditures 15-22'!K61</f>
        <v>1097842</v>
      </c>
      <c r="C1128" s="2" t="s">
        <v>594</v>
      </c>
      <c r="D1128" s="2" t="str">
        <f t="shared" si="16"/>
        <v>Error?</v>
      </c>
    </row>
    <row r="1129" spans="1:4" x14ac:dyDescent="0.2">
      <c r="A1129" s="5">
        <v>1068</v>
      </c>
      <c r="B1129" s="138">
        <f>'Expenditures 15-22'!K62</f>
        <v>105170</v>
      </c>
      <c r="C1129" s="2" t="s">
        <v>594</v>
      </c>
      <c r="D1129" s="2" t="str">
        <f t="shared" si="16"/>
        <v>Error?</v>
      </c>
    </row>
    <row r="1130" spans="1:4" x14ac:dyDescent="0.2">
      <c r="A1130" s="5">
        <v>1069</v>
      </c>
      <c r="B1130" s="138">
        <f>'Expenditures 15-22'!K63</f>
        <v>1841781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3622338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1550</v>
      </c>
      <c r="C1136" s="2" t="s">
        <v>594</v>
      </c>
      <c r="D1136" s="2" t="str">
        <f t="shared" si="16"/>
        <v>Error?</v>
      </c>
    </row>
    <row r="1137" spans="1:4" x14ac:dyDescent="0.2">
      <c r="A1137" s="5">
        <v>1076</v>
      </c>
      <c r="B1137" s="138">
        <f>'Expenditures 15-22'!K70</f>
        <v>18901</v>
      </c>
      <c r="C1137" s="2" t="s">
        <v>594</v>
      </c>
      <c r="D1137" s="2" t="str">
        <f t="shared" si="16"/>
        <v>Error?</v>
      </c>
    </row>
    <row r="1138" spans="1:4" x14ac:dyDescent="0.2">
      <c r="A1138" s="10">
        <v>1077</v>
      </c>
      <c r="D1138" s="2" t="str">
        <f t="shared" si="16"/>
        <v>OK</v>
      </c>
    </row>
    <row r="1139" spans="1:4" x14ac:dyDescent="0.2">
      <c r="A1139" s="5">
        <v>1078</v>
      </c>
      <c r="B1139" s="138">
        <f>'Expenditures 15-22'!K71</f>
        <v>8949</v>
      </c>
      <c r="C1139" s="2" t="s">
        <v>594</v>
      </c>
      <c r="D1139" s="2" t="str">
        <f t="shared" si="16"/>
        <v>Error?</v>
      </c>
    </row>
    <row r="1140" spans="1:4" x14ac:dyDescent="0.2">
      <c r="A1140" s="10">
        <v>1079</v>
      </c>
      <c r="D1140" s="2" t="str">
        <f t="shared" si="16"/>
        <v>OK</v>
      </c>
    </row>
    <row r="1141" spans="1:4" x14ac:dyDescent="0.2">
      <c r="A1141" s="5">
        <v>1080</v>
      </c>
      <c r="B1141" s="138">
        <f>'Expenditures 15-22'!K72</f>
        <v>29400</v>
      </c>
      <c r="C1141" s="2" t="s">
        <v>594</v>
      </c>
      <c r="D1141" s="2" t="str">
        <f t="shared" si="16"/>
        <v>Error?</v>
      </c>
    </row>
    <row r="1142" spans="1:4" x14ac:dyDescent="0.2">
      <c r="A1142" s="5">
        <v>1081</v>
      </c>
      <c r="B1142" s="138">
        <f>'Expenditures 15-22'!K73</f>
        <v>3007</v>
      </c>
      <c r="C1142" s="2" t="s">
        <v>594</v>
      </c>
      <c r="D1142" s="2" t="str">
        <f t="shared" si="16"/>
        <v>Error?</v>
      </c>
    </row>
    <row r="1143" spans="1:4" x14ac:dyDescent="0.2">
      <c r="A1143" s="5">
        <v>1082</v>
      </c>
      <c r="B1143" s="138">
        <f>'Expenditures 15-22'!K74</f>
        <v>11297784</v>
      </c>
      <c r="C1143" s="2" t="s">
        <v>594</v>
      </c>
      <c r="D1143" s="2" t="str">
        <f t="shared" si="16"/>
        <v>Error?</v>
      </c>
    </row>
    <row r="1144" spans="1:4" x14ac:dyDescent="0.2">
      <c r="A1144" s="5">
        <v>1083</v>
      </c>
      <c r="B1144" s="138">
        <f>'Expenditures 15-22'!K75</f>
        <v>303519</v>
      </c>
      <c r="C1144" s="2" t="s">
        <v>594</v>
      </c>
      <c r="D1144" s="2" t="str">
        <f t="shared" si="16"/>
        <v>Error?</v>
      </c>
    </row>
    <row r="1145" spans="1:4" x14ac:dyDescent="0.2">
      <c r="A1145" s="5">
        <v>1084</v>
      </c>
      <c r="B1145" s="138">
        <f>'Expenditures 15-22'!K102</f>
        <v>1387082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35868392</v>
      </c>
      <c r="C1152" s="2" t="s">
        <v>594</v>
      </c>
      <c r="D1152" s="2" t="str">
        <f t="shared" si="17"/>
        <v>Error?</v>
      </c>
    </row>
    <row r="1153" spans="1:4" x14ac:dyDescent="0.2">
      <c r="A1153" s="5">
        <v>1092</v>
      </c>
      <c r="B1153" s="138">
        <f>'Expenditures 15-22'!K115</f>
        <v>2970779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1905753</v>
      </c>
      <c r="D1221" s="2" t="str">
        <f t="shared" si="18"/>
        <v>Error?</v>
      </c>
    </row>
    <row r="1222" spans="1:4" x14ac:dyDescent="0.2">
      <c r="A1222" s="10">
        <v>1161</v>
      </c>
      <c r="D1222" s="2" t="str">
        <f t="shared" si="18"/>
        <v>OK</v>
      </c>
    </row>
    <row r="1223" spans="1:4" x14ac:dyDescent="0.2">
      <c r="A1223" s="5">
        <v>1162</v>
      </c>
      <c r="B1223" s="138">
        <f>'Expenditures 15-22'!C127</f>
        <v>1905753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1905753</v>
      </c>
      <c r="C1225" s="2" t="s">
        <v>594</v>
      </c>
      <c r="D1225" s="2" t="str">
        <f t="shared" si="18"/>
        <v>Error?</v>
      </c>
    </row>
    <row r="1226" spans="1:4" x14ac:dyDescent="0.2">
      <c r="A1226" s="5">
        <v>1165</v>
      </c>
      <c r="B1226" s="138">
        <f>'Expenditures 15-22'!C151</f>
        <v>1905753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259157</v>
      </c>
      <c r="D1229" s="2" t="str">
        <f t="shared" si="18"/>
        <v>Error?</v>
      </c>
    </row>
    <row r="1230" spans="1:4" x14ac:dyDescent="0.2">
      <c r="A1230" s="10">
        <v>1169</v>
      </c>
      <c r="D1230" s="2" t="str">
        <f t="shared" si="18"/>
        <v>OK</v>
      </c>
    </row>
    <row r="1231" spans="1:4" x14ac:dyDescent="0.2">
      <c r="A1231" s="5">
        <v>1170</v>
      </c>
      <c r="B1231" s="138">
        <f>'Expenditures 15-22'!D127</f>
        <v>259157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259157</v>
      </c>
      <c r="C1233" s="2" t="s">
        <v>594</v>
      </c>
      <c r="D1233" s="2" t="str">
        <f t="shared" si="18"/>
        <v>Error?</v>
      </c>
    </row>
    <row r="1234" spans="1:4" x14ac:dyDescent="0.2">
      <c r="A1234" s="5">
        <v>1173</v>
      </c>
      <c r="B1234" s="138">
        <f>'Expenditures 15-22'!D151</f>
        <v>259157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230341</v>
      </c>
      <c r="D1237" s="2" t="str">
        <f t="shared" si="18"/>
        <v>Error?</v>
      </c>
    </row>
    <row r="1238" spans="1:4" x14ac:dyDescent="0.2">
      <c r="A1238" s="10">
        <v>1177</v>
      </c>
      <c r="D1238" s="2" t="str">
        <f t="shared" si="18"/>
        <v>OK</v>
      </c>
    </row>
    <row r="1239" spans="1:4" x14ac:dyDescent="0.2">
      <c r="A1239" s="5">
        <v>1178</v>
      </c>
      <c r="B1239" s="138">
        <f>'Expenditures 15-22'!E127</f>
        <v>230341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230341</v>
      </c>
      <c r="C1241" s="2" t="s">
        <v>594</v>
      </c>
      <c r="D1241" s="2" t="str">
        <f t="shared" si="18"/>
        <v>Error?</v>
      </c>
    </row>
    <row r="1242" spans="1:4" x14ac:dyDescent="0.2">
      <c r="A1242" s="5">
        <v>1181</v>
      </c>
      <c r="B1242" s="138">
        <f>'Expenditures 15-22'!E151</f>
        <v>230341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164331</v>
      </c>
      <c r="D1245" s="2" t="str">
        <f t="shared" si="18"/>
        <v>Error?</v>
      </c>
    </row>
    <row r="1246" spans="1:4" x14ac:dyDescent="0.2">
      <c r="A1246" s="10">
        <v>1185</v>
      </c>
      <c r="D1246" s="2" t="str">
        <f t="shared" si="18"/>
        <v>OK</v>
      </c>
    </row>
    <row r="1247" spans="1:4" x14ac:dyDescent="0.2">
      <c r="A1247" s="5">
        <v>1186</v>
      </c>
      <c r="B1247" s="138">
        <f>'Expenditures 15-22'!F127</f>
        <v>164331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164331</v>
      </c>
      <c r="C1249" s="2" t="s">
        <v>594</v>
      </c>
      <c r="D1249" s="2" t="str">
        <f t="shared" si="18"/>
        <v>Error?</v>
      </c>
    </row>
    <row r="1250" spans="1:4" x14ac:dyDescent="0.2">
      <c r="A1250" s="5">
        <v>1189</v>
      </c>
      <c r="B1250" s="138">
        <f>'Expenditures 15-22'!F151</f>
        <v>164331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122299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122299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122299</v>
      </c>
      <c r="C1258" s="2" t="s">
        <v>594</v>
      </c>
      <c r="D1258" s="2" t="str">
        <f t="shared" si="18"/>
        <v>Error?</v>
      </c>
    </row>
    <row r="1259" spans="1:4" x14ac:dyDescent="0.2">
      <c r="A1259" s="5">
        <v>1198</v>
      </c>
      <c r="B1259" s="138">
        <f>'Expenditures 15-22'!G151</f>
        <v>122299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2682231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2682231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2682231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2682231</v>
      </c>
      <c r="C1288" s="2" t="s">
        <v>594</v>
      </c>
      <c r="D1288" s="2" t="str">
        <f t="shared" si="19"/>
        <v>Error?</v>
      </c>
    </row>
    <row r="1289" spans="1:4" x14ac:dyDescent="0.2">
      <c r="A1289" s="5">
        <v>1228</v>
      </c>
      <c r="B1289" s="138">
        <f>'Expenditures 15-22'!K152</f>
        <v>2298793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2438728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54180000</v>
      </c>
      <c r="D1315" s="2" t="str">
        <f t="shared" si="19"/>
        <v>Error?</v>
      </c>
    </row>
    <row r="1316" spans="1:4" x14ac:dyDescent="0.2">
      <c r="A1316" s="5">
        <v>1255</v>
      </c>
      <c r="B1316" s="138">
        <f>'Expenditures 15-22'!H171</f>
        <v>786907</v>
      </c>
      <c r="D1316" s="2" t="str">
        <f t="shared" si="19"/>
        <v>Error?</v>
      </c>
    </row>
    <row r="1317" spans="1:4" x14ac:dyDescent="0.2">
      <c r="A1317" s="5">
        <v>1256</v>
      </c>
      <c r="B1317" s="138">
        <f>'Expenditures 15-22'!H172</f>
        <v>57405635</v>
      </c>
      <c r="C1317" s="2" t="s">
        <v>594</v>
      </c>
      <c r="D1317" s="2" t="str">
        <f t="shared" si="19"/>
        <v>Error?</v>
      </c>
    </row>
    <row r="1318" spans="1:4" x14ac:dyDescent="0.2">
      <c r="A1318" s="5">
        <v>1257</v>
      </c>
      <c r="B1318" s="138">
        <f>'Expenditures 15-22'!H174</f>
        <v>57405635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2438728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54180000</v>
      </c>
      <c r="C1329" s="2" t="s">
        <v>594</v>
      </c>
      <c r="D1329" s="2" t="str">
        <f t="shared" si="19"/>
        <v>Error?</v>
      </c>
    </row>
    <row r="1330" spans="1:4" x14ac:dyDescent="0.2">
      <c r="A1330" s="5">
        <v>1269</v>
      </c>
      <c r="B1330" s="138">
        <f>'Expenditures 15-22'!K171</f>
        <v>786907</v>
      </c>
      <c r="C1330" s="2" t="s">
        <v>594</v>
      </c>
      <c r="D1330" s="2" t="str">
        <f t="shared" si="19"/>
        <v>Error?</v>
      </c>
    </row>
    <row r="1331" spans="1:4" x14ac:dyDescent="0.2">
      <c r="A1331" s="5">
        <v>1270</v>
      </c>
      <c r="B1331" s="138">
        <f>'Expenditures 15-22'!K172</f>
        <v>57405635</v>
      </c>
      <c r="C1331" s="2" t="s">
        <v>594</v>
      </c>
      <c r="D1331" s="2" t="str">
        <f t="shared" si="19"/>
        <v>Error?</v>
      </c>
    </row>
    <row r="1332" spans="1:4" x14ac:dyDescent="0.2">
      <c r="A1332" s="5">
        <v>1271</v>
      </c>
      <c r="B1332" s="138">
        <f>'Expenditures 15-22'!K174</f>
        <v>57405635</v>
      </c>
      <c r="C1332" s="2" t="s">
        <v>594</v>
      </c>
      <c r="D1332" s="2" t="str">
        <f t="shared" si="19"/>
        <v>Error?</v>
      </c>
    </row>
    <row r="1333" spans="1:4" x14ac:dyDescent="0.2">
      <c r="A1333" s="5">
        <v>1272</v>
      </c>
      <c r="B1333" s="138">
        <f>'Expenditures 15-22'!K175</f>
        <v>-55048043</v>
      </c>
      <c r="C1333" s="2" t="s">
        <v>594</v>
      </c>
      <c r="D1333" s="2" t="str">
        <f t="shared" si="19"/>
        <v>Error?</v>
      </c>
    </row>
    <row r="1334" spans="1:4" x14ac:dyDescent="0.2">
      <c r="A1334" s="10">
        <v>1273</v>
      </c>
      <c r="D1334" s="2" t="str">
        <f t="shared" si="19"/>
        <v>OK</v>
      </c>
    </row>
    <row r="1335" spans="1:4" x14ac:dyDescent="0.2">
      <c r="A1335" s="5">
        <v>1274</v>
      </c>
      <c r="B1335" s="138">
        <f>'Expenditures 15-22'!C182</f>
        <v>373914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373914</v>
      </c>
      <c r="C1339" s="2" t="s">
        <v>594</v>
      </c>
      <c r="D1339" s="2" t="str">
        <f t="shared" si="19"/>
        <v>Error?</v>
      </c>
    </row>
    <row r="1340" spans="1:4" x14ac:dyDescent="0.2">
      <c r="A1340" s="5">
        <v>1279</v>
      </c>
      <c r="B1340" s="138">
        <f>'Expenditures 15-22'!C210</f>
        <v>373914</v>
      </c>
      <c r="C1340" s="2" t="s">
        <v>594</v>
      </c>
      <c r="D1340" s="2" t="str">
        <f t="shared" si="19"/>
        <v>Error?</v>
      </c>
    </row>
    <row r="1341" spans="1:4" x14ac:dyDescent="0.2">
      <c r="A1341" s="5">
        <v>1280</v>
      </c>
      <c r="B1341" s="138">
        <f>'Expenditures 15-22'!D182</f>
        <v>104261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104261</v>
      </c>
      <c r="C1345" s="2" t="s">
        <v>594</v>
      </c>
      <c r="D1345" s="2" t="str">
        <f t="shared" si="20"/>
        <v>Error?</v>
      </c>
    </row>
    <row r="1346" spans="1:4" x14ac:dyDescent="0.2">
      <c r="A1346" s="5">
        <v>1285</v>
      </c>
      <c r="B1346" s="138">
        <f>'Expenditures 15-22'!D210</f>
        <v>104261</v>
      </c>
      <c r="C1346" s="2" t="s">
        <v>594</v>
      </c>
      <c r="D1346" s="2" t="str">
        <f t="shared" si="20"/>
        <v>Error?</v>
      </c>
    </row>
    <row r="1347" spans="1:4" x14ac:dyDescent="0.2">
      <c r="A1347" s="5">
        <v>1286</v>
      </c>
      <c r="B1347" s="138">
        <f>'Expenditures 15-22'!E182</f>
        <v>549175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549175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549175</v>
      </c>
      <c r="C1353" s="2" t="s">
        <v>594</v>
      </c>
      <c r="D1353" s="2" t="str">
        <f t="shared" si="20"/>
        <v>Error?</v>
      </c>
    </row>
    <row r="1354" spans="1:4" x14ac:dyDescent="0.2">
      <c r="A1354" s="5">
        <v>1293</v>
      </c>
      <c r="B1354" s="138">
        <f>'Expenditures 15-22'!F182</f>
        <v>41402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41402</v>
      </c>
      <c r="C1358" s="2" t="s">
        <v>594</v>
      </c>
      <c r="D1358" s="2" t="str">
        <f t="shared" si="20"/>
        <v>Error?</v>
      </c>
    </row>
    <row r="1359" spans="1:4" x14ac:dyDescent="0.2">
      <c r="A1359" s="5">
        <v>1298</v>
      </c>
      <c r="B1359" s="138">
        <f>'Expenditures 15-22'!F210</f>
        <v>41402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158158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158158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158158</v>
      </c>
      <c r="C1376" s="2" t="s">
        <v>594</v>
      </c>
      <c r="D1376" s="2" t="str">
        <f t="shared" si="20"/>
        <v>Error?</v>
      </c>
    </row>
    <row r="1377" spans="1:4" x14ac:dyDescent="0.2">
      <c r="A1377" s="5">
        <v>1316</v>
      </c>
      <c r="B1377" s="138">
        <f>'Expenditures 15-22'!K182</f>
        <v>1226910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1226910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1226910</v>
      </c>
      <c r="C1388" s="2" t="s">
        <v>594</v>
      </c>
      <c r="D1388" s="2" t="str">
        <f t="shared" si="20"/>
        <v>Error?</v>
      </c>
    </row>
    <row r="1389" spans="1:4" x14ac:dyDescent="0.2">
      <c r="A1389" s="5">
        <v>1328</v>
      </c>
      <c r="B1389" s="138">
        <f>'Expenditures 15-22'!K211</f>
        <v>455700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30099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722660</v>
      </c>
      <c r="C1410" s="2" t="s">
        <v>594</v>
      </c>
      <c r="D1410" s="2" t="str">
        <f t="shared" si="21"/>
        <v>Error?</v>
      </c>
    </row>
    <row r="1411" spans="1:4" x14ac:dyDescent="0.2">
      <c r="A1411" s="5">
        <v>1350</v>
      </c>
      <c r="B1411" s="138">
        <f>'Expenditures 15-22'!D232</f>
        <v>7211</v>
      </c>
      <c r="D1411" s="2" t="str">
        <f t="shared" si="21"/>
        <v>Error?</v>
      </c>
    </row>
    <row r="1412" spans="1:4" x14ac:dyDescent="0.2">
      <c r="A1412" s="5">
        <v>1351</v>
      </c>
      <c r="B1412" s="138">
        <f>'Expenditures 15-22'!D233</f>
        <v>676</v>
      </c>
      <c r="D1412" s="2" t="str">
        <f t="shared" si="21"/>
        <v>Error?</v>
      </c>
    </row>
    <row r="1413" spans="1:4" x14ac:dyDescent="0.2">
      <c r="A1413" s="5">
        <v>1352</v>
      </c>
      <c r="B1413" s="138">
        <f>'Expenditures 15-22'!D234</f>
        <v>6884</v>
      </c>
      <c r="D1413" s="2" t="str">
        <f t="shared" si="21"/>
        <v>Error?</v>
      </c>
    </row>
    <row r="1414" spans="1:4" x14ac:dyDescent="0.2">
      <c r="A1414" s="5">
        <v>1353</v>
      </c>
      <c r="B1414" s="138">
        <f>'Expenditures 15-22'!D235</f>
        <v>3390</v>
      </c>
      <c r="D1414" s="2" t="str">
        <f t="shared" si="21"/>
        <v>Error?</v>
      </c>
    </row>
    <row r="1415" spans="1:4" x14ac:dyDescent="0.2">
      <c r="A1415" s="5">
        <v>1354</v>
      </c>
      <c r="B1415" s="138">
        <f>'Expenditures 15-22'!D236</f>
        <v>4160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22321</v>
      </c>
      <c r="C1417" s="2" t="s">
        <v>594</v>
      </c>
      <c r="D1417" s="2" t="str">
        <f t="shared" si="21"/>
        <v>Error?</v>
      </c>
    </row>
    <row r="1418" spans="1:4" x14ac:dyDescent="0.2">
      <c r="A1418" s="5">
        <v>1357</v>
      </c>
      <c r="B1418" s="138">
        <f>'Expenditures 15-22'!D240</f>
        <v>17548</v>
      </c>
      <c r="D1418" s="2" t="str">
        <f t="shared" si="21"/>
        <v>Error?</v>
      </c>
    </row>
    <row r="1419" spans="1:4" x14ac:dyDescent="0.2">
      <c r="A1419" s="5">
        <v>1358</v>
      </c>
      <c r="B1419" s="138">
        <f>'Expenditures 15-22'!D241</f>
        <v>5376</v>
      </c>
      <c r="D1419" s="2" t="str">
        <f t="shared" si="21"/>
        <v>Error?</v>
      </c>
    </row>
    <row r="1420" spans="1:4" x14ac:dyDescent="0.2">
      <c r="A1420" s="5">
        <v>1359</v>
      </c>
      <c r="B1420" s="138">
        <f>'Expenditures 15-22'!D242</f>
        <v>135</v>
      </c>
      <c r="D1420" s="2" t="str">
        <f t="shared" si="21"/>
        <v>Error?</v>
      </c>
    </row>
    <row r="1421" spans="1:4" x14ac:dyDescent="0.2">
      <c r="A1421" s="5">
        <v>1360</v>
      </c>
      <c r="B1421" s="138">
        <f>'Expenditures 15-22'!D243</f>
        <v>23059</v>
      </c>
      <c r="C1421" s="2" t="s">
        <v>594</v>
      </c>
      <c r="D1421" s="2" t="str">
        <f t="shared" si="21"/>
        <v>Error?</v>
      </c>
    </row>
    <row r="1422" spans="1:4" x14ac:dyDescent="0.2">
      <c r="A1422" s="5">
        <v>1361</v>
      </c>
      <c r="B1422" s="138">
        <f>'Expenditures 15-22'!D245</f>
        <v>7384</v>
      </c>
      <c r="D1422" s="2" t="str">
        <f t="shared" si="21"/>
        <v>Error?</v>
      </c>
    </row>
    <row r="1423" spans="1:4" x14ac:dyDescent="0.2">
      <c r="A1423" s="5">
        <v>1362</v>
      </c>
      <c r="B1423" s="138">
        <f>'Expenditures 15-22'!D246</f>
        <v>23626</v>
      </c>
      <c r="D1423" s="2" t="str">
        <f t="shared" si="21"/>
        <v>Error?</v>
      </c>
    </row>
    <row r="1424" spans="1:4" x14ac:dyDescent="0.2">
      <c r="A1424" s="5">
        <v>1363</v>
      </c>
      <c r="B1424" s="138">
        <f>'Expenditures 15-22'!D257</f>
        <v>109969</v>
      </c>
      <c r="C1424" s="2" t="s">
        <v>594</v>
      </c>
      <c r="D1424" s="2" t="str">
        <f t="shared" si="21"/>
        <v>Error?</v>
      </c>
    </row>
    <row r="1425" spans="1:4" x14ac:dyDescent="0.2">
      <c r="A1425" s="5">
        <v>1364</v>
      </c>
      <c r="B1425" s="138">
        <f>'Expenditures 15-22'!D259</f>
        <v>67774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67774</v>
      </c>
      <c r="C1427" s="2" t="s">
        <v>594</v>
      </c>
      <c r="D1427" s="2" t="str">
        <f t="shared" si="21"/>
        <v>Error?</v>
      </c>
    </row>
    <row r="1428" spans="1:4" x14ac:dyDescent="0.2">
      <c r="A1428" s="5">
        <v>1367</v>
      </c>
      <c r="B1428" s="138">
        <f>'Expenditures 15-22'!D263</f>
        <v>15036</v>
      </c>
      <c r="D1428" s="2" t="str">
        <f t="shared" si="21"/>
        <v>Error?</v>
      </c>
    </row>
    <row r="1429" spans="1:4" x14ac:dyDescent="0.2">
      <c r="A1429" s="5">
        <v>1368</v>
      </c>
      <c r="B1429" s="138">
        <f>'Expenditures 15-22'!D264</f>
        <v>47071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334865</v>
      </c>
      <c r="D1431" s="2" t="str">
        <f t="shared" si="21"/>
        <v>Error?</v>
      </c>
    </row>
    <row r="1432" spans="1:4" x14ac:dyDescent="0.2">
      <c r="A1432" s="5">
        <v>1371</v>
      </c>
      <c r="B1432" s="138">
        <f>'Expenditures 15-22'!D267</f>
        <v>72475</v>
      </c>
      <c r="D1432" s="2" t="str">
        <f t="shared" si="21"/>
        <v>Error?</v>
      </c>
    </row>
    <row r="1433" spans="1:4" x14ac:dyDescent="0.2">
      <c r="A1433" s="5">
        <v>1372</v>
      </c>
      <c r="B1433" s="138">
        <f>'Expenditures 15-22'!D268</f>
        <v>96843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566290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149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149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789562</v>
      </c>
      <c r="C1446" s="2" t="s">
        <v>594</v>
      </c>
      <c r="D1446" s="2" t="str">
        <f t="shared" si="21"/>
        <v>Error?</v>
      </c>
    </row>
    <row r="1447" spans="1:4" x14ac:dyDescent="0.2">
      <c r="A1447" s="5">
        <v>1386</v>
      </c>
      <c r="B1447" s="138">
        <f>'Expenditures 15-22'!D280</f>
        <v>22872</v>
      </c>
      <c r="D1447" s="2" t="str">
        <f t="shared" si="21"/>
        <v>Error?</v>
      </c>
    </row>
    <row r="1448" spans="1:4" x14ac:dyDescent="0.2">
      <c r="A1448" s="5">
        <v>1387</v>
      </c>
      <c r="B1448" s="138">
        <f>'Expenditures 15-22'!D295</f>
        <v>1535094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30099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722660</v>
      </c>
      <c r="C1474" s="2" t="s">
        <v>594</v>
      </c>
      <c r="D1474" s="2" t="str">
        <f t="shared" si="22"/>
        <v>Error?</v>
      </c>
    </row>
    <row r="1475" spans="1:4" x14ac:dyDescent="0.2">
      <c r="A1475" s="5">
        <v>1414</v>
      </c>
      <c r="B1475" s="138">
        <f>'Expenditures 15-22'!K232</f>
        <v>7211</v>
      </c>
      <c r="C1475" s="2" t="s">
        <v>594</v>
      </c>
      <c r="D1475" s="2" t="str">
        <f t="shared" si="22"/>
        <v>Error?</v>
      </c>
    </row>
    <row r="1476" spans="1:4" x14ac:dyDescent="0.2">
      <c r="A1476" s="5">
        <v>1415</v>
      </c>
      <c r="B1476" s="138">
        <f>'Expenditures 15-22'!K233</f>
        <v>676</v>
      </c>
      <c r="C1476" s="2" t="s">
        <v>594</v>
      </c>
      <c r="D1476" s="2" t="str">
        <f t="shared" si="22"/>
        <v>Error?</v>
      </c>
    </row>
    <row r="1477" spans="1:4" x14ac:dyDescent="0.2">
      <c r="A1477" s="5">
        <v>1416</v>
      </c>
      <c r="B1477" s="138">
        <f>'Expenditures 15-22'!K234</f>
        <v>6884</v>
      </c>
      <c r="C1477" s="2" t="s">
        <v>594</v>
      </c>
      <c r="D1477" s="2" t="str">
        <f t="shared" si="22"/>
        <v>Error?</v>
      </c>
    </row>
    <row r="1478" spans="1:4" x14ac:dyDescent="0.2">
      <c r="A1478" s="5">
        <v>1417</v>
      </c>
      <c r="B1478" s="138">
        <f>'Expenditures 15-22'!K235</f>
        <v>3390</v>
      </c>
      <c r="C1478" s="2" t="s">
        <v>594</v>
      </c>
      <c r="D1478" s="2" t="str">
        <f t="shared" si="22"/>
        <v>Error?</v>
      </c>
    </row>
    <row r="1479" spans="1:4" x14ac:dyDescent="0.2">
      <c r="A1479" s="5">
        <v>1418</v>
      </c>
      <c r="B1479" s="138">
        <f>'Expenditures 15-22'!K236</f>
        <v>4160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22321</v>
      </c>
      <c r="C1481" s="2" t="s">
        <v>594</v>
      </c>
      <c r="D1481" s="2" t="str">
        <f t="shared" si="22"/>
        <v>Error?</v>
      </c>
    </row>
    <row r="1482" spans="1:4" x14ac:dyDescent="0.2">
      <c r="A1482" s="5">
        <v>1421</v>
      </c>
      <c r="B1482" s="138">
        <f>'Expenditures 15-22'!K240</f>
        <v>17548</v>
      </c>
      <c r="C1482" s="2" t="s">
        <v>594</v>
      </c>
      <c r="D1482" s="2" t="str">
        <f t="shared" si="22"/>
        <v>Error?</v>
      </c>
    </row>
    <row r="1483" spans="1:4" x14ac:dyDescent="0.2">
      <c r="A1483" s="5">
        <v>1422</v>
      </c>
      <c r="B1483" s="138">
        <f>'Expenditures 15-22'!K241</f>
        <v>5376</v>
      </c>
      <c r="C1483" s="2" t="s">
        <v>594</v>
      </c>
      <c r="D1483" s="2" t="str">
        <f t="shared" si="22"/>
        <v>Error?</v>
      </c>
    </row>
    <row r="1484" spans="1:4" x14ac:dyDescent="0.2">
      <c r="A1484" s="5">
        <v>1423</v>
      </c>
      <c r="B1484" s="138">
        <f>'Expenditures 15-22'!K242</f>
        <v>135</v>
      </c>
      <c r="C1484" s="2" t="s">
        <v>594</v>
      </c>
      <c r="D1484" s="2" t="str">
        <f t="shared" si="22"/>
        <v>Error?</v>
      </c>
    </row>
    <row r="1485" spans="1:4" x14ac:dyDescent="0.2">
      <c r="A1485" s="5">
        <v>1424</v>
      </c>
      <c r="B1485" s="138">
        <f>'Expenditures 15-22'!K243</f>
        <v>23059</v>
      </c>
      <c r="C1485" s="2" t="s">
        <v>594</v>
      </c>
      <c r="D1485" s="2" t="str">
        <f t="shared" si="22"/>
        <v>Error?</v>
      </c>
    </row>
    <row r="1486" spans="1:4" x14ac:dyDescent="0.2">
      <c r="A1486" s="5">
        <v>1425</v>
      </c>
      <c r="B1486" s="138">
        <f>'Expenditures 15-22'!K245</f>
        <v>7384</v>
      </c>
      <c r="C1486" s="2" t="s">
        <v>594</v>
      </c>
      <c r="D1486" s="2" t="str">
        <f t="shared" si="22"/>
        <v>Error?</v>
      </c>
    </row>
    <row r="1487" spans="1:4" x14ac:dyDescent="0.2">
      <c r="A1487" s="5">
        <v>1426</v>
      </c>
      <c r="B1487" s="138">
        <f>'Expenditures 15-22'!K246</f>
        <v>23626</v>
      </c>
      <c r="C1487" s="2" t="s">
        <v>594</v>
      </c>
      <c r="D1487" s="2" t="str">
        <f t="shared" si="22"/>
        <v>Error?</v>
      </c>
    </row>
    <row r="1488" spans="1:4" x14ac:dyDescent="0.2">
      <c r="A1488" s="5">
        <v>1427</v>
      </c>
      <c r="B1488" s="138">
        <f>'Expenditures 15-22'!K257</f>
        <v>109969</v>
      </c>
      <c r="C1488" s="2" t="s">
        <v>594</v>
      </c>
      <c r="D1488" s="2" t="str">
        <f t="shared" si="22"/>
        <v>Error?</v>
      </c>
    </row>
    <row r="1489" spans="1:4" x14ac:dyDescent="0.2">
      <c r="A1489" s="5">
        <v>1428</v>
      </c>
      <c r="B1489" s="138">
        <f>'Expenditures 15-22'!K259</f>
        <v>67774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67774</v>
      </c>
      <c r="C1491" s="2" t="s">
        <v>594</v>
      </c>
      <c r="D1491" s="2" t="str">
        <f t="shared" si="22"/>
        <v>Error?</v>
      </c>
    </row>
    <row r="1492" spans="1:4" x14ac:dyDescent="0.2">
      <c r="A1492" s="5">
        <v>1431</v>
      </c>
      <c r="B1492" s="138">
        <f>'Expenditures 15-22'!K263</f>
        <v>15036</v>
      </c>
      <c r="C1492" s="2" t="s">
        <v>594</v>
      </c>
      <c r="D1492" s="2" t="str">
        <f t="shared" si="22"/>
        <v>Error?</v>
      </c>
    </row>
    <row r="1493" spans="1:4" x14ac:dyDescent="0.2">
      <c r="A1493" s="5">
        <v>1432</v>
      </c>
      <c r="B1493" s="138">
        <f>'Expenditures 15-22'!K264</f>
        <v>47071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334865</v>
      </c>
      <c r="C1495" s="2" t="s">
        <v>594</v>
      </c>
      <c r="D1495" s="2" t="str">
        <f t="shared" si="22"/>
        <v>Error?</v>
      </c>
    </row>
    <row r="1496" spans="1:4" x14ac:dyDescent="0.2">
      <c r="A1496" s="5">
        <v>1435</v>
      </c>
      <c r="B1496" s="138">
        <f>'Expenditures 15-22'!K267</f>
        <v>72475</v>
      </c>
      <c r="C1496" s="2" t="s">
        <v>594</v>
      </c>
      <c r="D1496" s="2" t="str">
        <f t="shared" si="22"/>
        <v>Error?</v>
      </c>
    </row>
    <row r="1497" spans="1:4" x14ac:dyDescent="0.2">
      <c r="A1497" s="5">
        <v>1436</v>
      </c>
      <c r="B1497" s="138">
        <f>'Expenditures 15-22'!K268</f>
        <v>96843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566290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149</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149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789562</v>
      </c>
      <c r="C1510" s="2" t="s">
        <v>594</v>
      </c>
      <c r="D1510" s="2" t="str">
        <f t="shared" si="22"/>
        <v>Error?</v>
      </c>
    </row>
    <row r="1511" spans="1:4" x14ac:dyDescent="0.2">
      <c r="A1511" s="5">
        <v>1450</v>
      </c>
      <c r="B1511" s="138">
        <f>'Expenditures 15-22'!K280</f>
        <v>22872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1535094</v>
      </c>
      <c r="C1517" s="2" t="s">
        <v>594</v>
      </c>
      <c r="D1517" s="2" t="str">
        <f t="shared" si="22"/>
        <v>Error?</v>
      </c>
    </row>
    <row r="1518" spans="1:4" x14ac:dyDescent="0.2">
      <c r="A1518" s="5">
        <v>1457</v>
      </c>
      <c r="B1518" s="138">
        <f>'Expenditures 15-22'!K296</f>
        <v>-326513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1034758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1034758</v>
      </c>
      <c r="C1535" s="2" t="s">
        <v>594</v>
      </c>
      <c r="D1535" s="2" t="str">
        <f t="shared" ref="D1535:D1598" si="23">IF(ISBLANK(B1535),"OK",IF(A1535-B1535=0,"OK","Error?"))</f>
        <v>Error?</v>
      </c>
    </row>
    <row r="1536" spans="1:4" x14ac:dyDescent="0.2">
      <c r="A1536" s="5">
        <v>1475</v>
      </c>
      <c r="B1536" s="138">
        <f>'Expenditures 15-22'!E312</f>
        <v>1034758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1855862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1855862</v>
      </c>
      <c r="C1547" s="2" t="s">
        <v>594</v>
      </c>
      <c r="D1547" s="2" t="str">
        <f t="shared" si="23"/>
        <v>Error?</v>
      </c>
    </row>
    <row r="1548" spans="1:4" x14ac:dyDescent="0.2">
      <c r="A1548" s="5">
        <v>1487</v>
      </c>
      <c r="B1548" s="138">
        <f>'Expenditures 15-22'!G312</f>
        <v>1855862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2890620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2890620</v>
      </c>
      <c r="C1559" s="2" t="s">
        <v>594</v>
      </c>
      <c r="D1559" s="2" t="str">
        <f t="shared" si="23"/>
        <v>Error?</v>
      </c>
    </row>
    <row r="1560" spans="1:4" x14ac:dyDescent="0.2">
      <c r="A1560" s="5">
        <v>1499</v>
      </c>
      <c r="B1560" s="138">
        <f>'Expenditures 15-22'!K312</f>
        <v>2890620</v>
      </c>
      <c r="C1560" s="2" t="s">
        <v>594</v>
      </c>
      <c r="D1560" s="2" t="str">
        <f t="shared" si="23"/>
        <v>Error?</v>
      </c>
    </row>
    <row r="1561" spans="1:4" x14ac:dyDescent="0.2">
      <c r="A1561" s="5">
        <v>1500</v>
      </c>
      <c r="B1561" s="138">
        <f>'Expenditures 15-22'!K313</f>
        <v>-2151227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15299174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18269953</v>
      </c>
      <c r="C1630" s="2" t="s">
        <v>594</v>
      </c>
      <c r="D1630" s="2" t="str">
        <f t="shared" si="24"/>
        <v>Error?</v>
      </c>
    </row>
    <row r="1631" spans="1:4" x14ac:dyDescent="0.2">
      <c r="A1631" s="5">
        <v>1570</v>
      </c>
      <c r="B1631" s="138">
        <f>'Acct Summary 7-8'!D79</f>
        <v>-787902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1510891</v>
      </c>
      <c r="C1644" s="2" t="s">
        <v>594</v>
      </c>
      <c r="D1644" s="2" t="str">
        <f t="shared" si="24"/>
        <v>Error?</v>
      </c>
    </row>
    <row r="1645" spans="1:4" x14ac:dyDescent="0.2">
      <c r="A1645" s="5">
        <v>1584</v>
      </c>
      <c r="B1645" s="138">
        <f>'Acct Summary 7-8'!E79</f>
        <v>-83940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-1201493</v>
      </c>
      <c r="C1658" s="2" t="s">
        <v>594</v>
      </c>
      <c r="D1658" s="2" t="str">
        <f t="shared" si="24"/>
        <v>Error?</v>
      </c>
    </row>
    <row r="1659" spans="1:4" x14ac:dyDescent="0.2">
      <c r="A1659" s="5">
        <v>1598</v>
      </c>
      <c r="B1659" s="138">
        <f>'Acct Summary 7-8'!F79</f>
        <v>2284849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2740549</v>
      </c>
      <c r="C1672" s="2" t="s">
        <v>594</v>
      </c>
      <c r="D1672" s="2" t="str">
        <f t="shared" si="25"/>
        <v>Error?</v>
      </c>
    </row>
    <row r="1673" spans="1:4" x14ac:dyDescent="0.2">
      <c r="A1673" s="5">
        <v>1612</v>
      </c>
      <c r="B1673" s="138">
        <f>'Acct Summary 7-8'!G79</f>
        <v>253353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-73160</v>
      </c>
      <c r="C1686" s="2" t="s">
        <v>594</v>
      </c>
      <c r="D1686" s="2" t="str">
        <f t="shared" si="25"/>
        <v>Error?</v>
      </c>
    </row>
    <row r="1687" spans="1:4" x14ac:dyDescent="0.2">
      <c r="A1687" s="5">
        <v>1626</v>
      </c>
      <c r="B1687" s="138">
        <f>'Acct Summary 7-8'!H79</f>
        <v>52196311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50045084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6168065</v>
      </c>
      <c r="C1744" s="2" t="s">
        <v>594</v>
      </c>
      <c r="D1744" s="2" t="str">
        <f t="shared" si="26"/>
        <v>Error?</v>
      </c>
    </row>
    <row r="1745" spans="1:5" x14ac:dyDescent="0.2">
      <c r="A1745" s="5">
        <v>1684</v>
      </c>
      <c r="B1745" s="138">
        <f>'Tax Sched 23'!B5</f>
        <v>889787</v>
      </c>
      <c r="C1745" s="2" t="s">
        <v>594</v>
      </c>
      <c r="D1745" s="2" t="str">
        <f t="shared" si="26"/>
        <v>Error?</v>
      </c>
    </row>
    <row r="1746" spans="1:5" x14ac:dyDescent="0.2">
      <c r="A1746" s="5">
        <v>1685</v>
      </c>
      <c r="B1746" s="138">
        <f>'Tax Sched 23'!B6</f>
        <v>859822</v>
      </c>
      <c r="C1746" s="2" t="s">
        <v>594</v>
      </c>
      <c r="D1746" s="2" t="str">
        <f t="shared" si="26"/>
        <v>Error?</v>
      </c>
    </row>
    <row r="1747" spans="1:5" x14ac:dyDescent="0.2">
      <c r="A1747" s="5">
        <v>1686</v>
      </c>
      <c r="B1747" s="138">
        <f>'Tax Sched 23'!B7</f>
        <v>860085</v>
      </c>
      <c r="C1747" s="2" t="s">
        <v>594</v>
      </c>
      <c r="D1747" s="2" t="str">
        <f t="shared" si="26"/>
        <v>Error?</v>
      </c>
    </row>
    <row r="1748" spans="1:5" x14ac:dyDescent="0.2">
      <c r="A1748" s="5">
        <v>1687</v>
      </c>
      <c r="B1748" s="138">
        <f>'Tax Sched 23'!B8</f>
        <v>576770</v>
      </c>
      <c r="C1748" s="2" t="s">
        <v>594</v>
      </c>
      <c r="D1748" s="2" t="str">
        <f t="shared" si="26"/>
        <v>Error?</v>
      </c>
    </row>
    <row r="1749" spans="1:5" x14ac:dyDescent="0.2">
      <c r="A1749" s="5">
        <v>1688</v>
      </c>
      <c r="B1749" s="138">
        <f>'Tax Sched 23'!B10</f>
        <v>80946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-74421</v>
      </c>
      <c r="C1752" s="2" t="s">
        <v>594</v>
      </c>
      <c r="D1752" s="2" t="str">
        <f t="shared" si="26"/>
        <v>Error?</v>
      </c>
    </row>
    <row r="1753" spans="1:5" x14ac:dyDescent="0.2">
      <c r="A1753" s="5">
        <v>1692</v>
      </c>
      <c r="B1753" s="138">
        <f>'Tax Sched 23'!B12</f>
        <v>74866</v>
      </c>
      <c r="C1753" s="2" t="s">
        <v>594</v>
      </c>
      <c r="D1753" s="2" t="str">
        <f t="shared" si="26"/>
        <v>Error?</v>
      </c>
    </row>
    <row r="1754" spans="1:5" x14ac:dyDescent="0.2">
      <c r="A1754" s="5">
        <v>1693</v>
      </c>
      <c r="B1754" s="138">
        <f>'Tax Sched 23'!B14</f>
        <v>299357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10403221</v>
      </c>
      <c r="C1759" s="2" t="s">
        <v>594</v>
      </c>
      <c r="D1759" s="2" t="str">
        <f t="shared" si="26"/>
        <v>Error?</v>
      </c>
    </row>
    <row r="1760" spans="1:5" x14ac:dyDescent="0.2">
      <c r="A1760" s="5">
        <v>1699</v>
      </c>
      <c r="B1760" s="138">
        <f>'Tax Sched 23'!D4</f>
        <v>2625715</v>
      </c>
      <c r="C1760" s="2" t="s">
        <v>594</v>
      </c>
      <c r="D1760" s="2" t="str">
        <f t="shared" si="26"/>
        <v>Error?</v>
      </c>
    </row>
    <row r="1761" spans="1:5" x14ac:dyDescent="0.2">
      <c r="A1761" s="5">
        <v>1700</v>
      </c>
      <c r="B1761" s="138">
        <f>'Tax Sched 23'!D5</f>
        <v>411602</v>
      </c>
      <c r="C1761" s="2" t="s">
        <v>594</v>
      </c>
      <c r="D1761" s="2" t="str">
        <f t="shared" si="26"/>
        <v>Error?</v>
      </c>
    </row>
    <row r="1762" spans="1:5" s="8" customFormat="1" x14ac:dyDescent="0.2">
      <c r="A1762" s="5">
        <v>1701</v>
      </c>
      <c r="B1762" s="138">
        <f>'Tax Sched 23'!D6</f>
        <v>552661</v>
      </c>
      <c r="C1762" s="2" t="s">
        <v>594</v>
      </c>
      <c r="D1762" s="2" t="str">
        <f t="shared" si="26"/>
        <v>Error?</v>
      </c>
      <c r="E1762" s="9"/>
    </row>
    <row r="1763" spans="1:5" x14ac:dyDescent="0.2">
      <c r="A1763" s="5">
        <v>1702</v>
      </c>
      <c r="B1763" s="138">
        <f>'Tax Sched 23'!D7</f>
        <v>566246</v>
      </c>
      <c r="C1763" s="2" t="s">
        <v>594</v>
      </c>
      <c r="D1763" s="2" t="str">
        <f t="shared" si="26"/>
        <v>Error?</v>
      </c>
    </row>
    <row r="1764" spans="1:5" x14ac:dyDescent="0.2">
      <c r="A1764" s="5">
        <v>1703</v>
      </c>
      <c r="B1764" s="138">
        <f>'Tax Sched 23'!D8</f>
        <v>263404</v>
      </c>
      <c r="C1764" s="2" t="s">
        <v>594</v>
      </c>
      <c r="D1764" s="2" t="str">
        <f t="shared" si="26"/>
        <v>Error?</v>
      </c>
    </row>
    <row r="1765" spans="1:5" x14ac:dyDescent="0.2">
      <c r="A1765" s="5">
        <v>1704</v>
      </c>
      <c r="B1765" s="138">
        <f>'Tax Sched 23'!D10</f>
        <v>37484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-74421</v>
      </c>
      <c r="C1768" s="2" t="s">
        <v>594</v>
      </c>
      <c r="D1768" s="2" t="str">
        <f t="shared" si="26"/>
        <v>Error?</v>
      </c>
    </row>
    <row r="1769" spans="1:5" x14ac:dyDescent="0.2">
      <c r="A1769" s="5">
        <v>1708</v>
      </c>
      <c r="B1769" s="138">
        <f>'Tax Sched 23'!D12</f>
        <v>74866</v>
      </c>
      <c r="C1769" s="2" t="s">
        <v>594</v>
      </c>
      <c r="D1769" s="2" t="str">
        <f t="shared" si="26"/>
        <v>Error?</v>
      </c>
    </row>
    <row r="1770" spans="1:5" x14ac:dyDescent="0.2">
      <c r="A1770" s="5">
        <v>1709</v>
      </c>
      <c r="B1770" s="138">
        <f>'Tax Sched 23'!D14</f>
        <v>299357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5072334</v>
      </c>
      <c r="C1775" s="2" t="s">
        <v>594</v>
      </c>
      <c r="D1775" s="2" t="str">
        <f t="shared" si="26"/>
        <v>Error?</v>
      </c>
    </row>
    <row r="1776" spans="1:5" x14ac:dyDescent="0.2">
      <c r="A1776" s="5">
        <v>1715</v>
      </c>
      <c r="B1776" s="138">
        <f>'Tax Sched 23'!C4</f>
        <v>3542350</v>
      </c>
      <c r="D1776" s="2" t="str">
        <f t="shared" si="26"/>
        <v>Error?</v>
      </c>
    </row>
    <row r="1777" spans="1:4" x14ac:dyDescent="0.2">
      <c r="A1777" s="5">
        <v>1716</v>
      </c>
      <c r="B1777" s="138">
        <f>'Tax Sched 23'!C5</f>
        <v>478185</v>
      </c>
      <c r="D1777" s="2" t="str">
        <f t="shared" si="26"/>
        <v>Error?</v>
      </c>
    </row>
    <row r="1778" spans="1:4" x14ac:dyDescent="0.2">
      <c r="A1778" s="5">
        <v>1717</v>
      </c>
      <c r="B1778" s="138">
        <f>'Tax Sched 23'!C6</f>
        <v>307161</v>
      </c>
      <c r="D1778" s="2" t="str">
        <f t="shared" si="26"/>
        <v>Error?</v>
      </c>
    </row>
    <row r="1779" spans="1:4" x14ac:dyDescent="0.2">
      <c r="A1779" s="5">
        <v>1718</v>
      </c>
      <c r="B1779" s="138">
        <f>'Tax Sched 23'!C7</f>
        <v>293839</v>
      </c>
      <c r="D1779" s="2" t="str">
        <f t="shared" si="26"/>
        <v>Error?</v>
      </c>
    </row>
    <row r="1780" spans="1:4" x14ac:dyDescent="0.2">
      <c r="A1780" s="5">
        <v>1719</v>
      </c>
      <c r="B1780" s="138">
        <f>'Tax Sched 23'!C8</f>
        <v>313366</v>
      </c>
      <c r="D1780" s="2" t="str">
        <f t="shared" si="26"/>
        <v>Error?</v>
      </c>
    </row>
    <row r="1781" spans="1:4" x14ac:dyDescent="0.2">
      <c r="A1781" s="5">
        <v>1720</v>
      </c>
      <c r="B1781" s="138">
        <f>'Tax Sched 23'!C10</f>
        <v>43462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5330887</v>
      </c>
      <c r="C1791" s="2" t="s">
        <v>594</v>
      </c>
      <c r="D1791" s="2" t="str">
        <f t="shared" ref="D1791:D1854" si="27">IF(ISBLANK(B1791),"OK",IF(A1791-B1791=0,"OK","Error?"))</f>
        <v>Error?</v>
      </c>
    </row>
    <row r="1792" spans="1:4" x14ac:dyDescent="0.2">
      <c r="A1792" s="5">
        <v>1731</v>
      </c>
      <c r="B1792" s="138">
        <f>'Tax Sched 23'!F4</f>
        <v>5520786</v>
      </c>
      <c r="C1792" s="2" t="s">
        <v>594</v>
      </c>
      <c r="D1792" s="2" t="str">
        <f t="shared" si="27"/>
        <v>Error?</v>
      </c>
    </row>
    <row r="1793" spans="1:4" x14ac:dyDescent="0.2">
      <c r="A1793" s="5">
        <v>1732</v>
      </c>
      <c r="B1793" s="138">
        <f>'Tax Sched 23'!F5</f>
        <v>745256</v>
      </c>
      <c r="C1793" s="2" t="s">
        <v>594</v>
      </c>
      <c r="D1793" s="2" t="str">
        <f t="shared" si="27"/>
        <v>Error?</v>
      </c>
    </row>
    <row r="1794" spans="1:4" x14ac:dyDescent="0.2">
      <c r="A1794" s="5">
        <v>1733</v>
      </c>
      <c r="B1794" s="138">
        <f>'Tax Sched 23'!F6</f>
        <v>478714</v>
      </c>
      <c r="C1794" s="2" t="s">
        <v>594</v>
      </c>
      <c r="D1794" s="2" t="str">
        <f t="shared" si="27"/>
        <v>Error?</v>
      </c>
    </row>
    <row r="1795" spans="1:4" x14ac:dyDescent="0.2">
      <c r="A1795" s="5">
        <v>1734</v>
      </c>
      <c r="B1795" s="138">
        <f>'Tax Sched 23'!F7</f>
        <v>457953</v>
      </c>
      <c r="C1795" s="2" t="s">
        <v>594</v>
      </c>
      <c r="D1795" s="2" t="str">
        <f t="shared" si="27"/>
        <v>Error?</v>
      </c>
    </row>
    <row r="1796" spans="1:4" x14ac:dyDescent="0.2">
      <c r="A1796" s="5">
        <v>1735</v>
      </c>
      <c r="B1796" s="138">
        <f>'Tax Sched 23'!F8</f>
        <v>488384</v>
      </c>
      <c r="C1796" s="2" t="s">
        <v>594</v>
      </c>
      <c r="D1796" s="2" t="str">
        <f t="shared" si="27"/>
        <v>Error?</v>
      </c>
    </row>
    <row r="1797" spans="1:4" x14ac:dyDescent="0.2">
      <c r="A1797" s="5">
        <v>1736</v>
      </c>
      <c r="B1797" s="138">
        <f>'Tax Sched 23'!F10</f>
        <v>67735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8308239</v>
      </c>
      <c r="C1807" s="2" t="s">
        <v>594</v>
      </c>
      <c r="D1807" s="2" t="str">
        <f t="shared" si="27"/>
        <v>Error?</v>
      </c>
    </row>
    <row r="1808" spans="1:4" x14ac:dyDescent="0.2">
      <c r="A1808" s="5">
        <v>1747</v>
      </c>
      <c r="B1808" s="138">
        <f>'Tax Sched 23'!E4</f>
        <v>9063136</v>
      </c>
      <c r="D1808" s="2" t="str">
        <f t="shared" si="27"/>
        <v>Error?</v>
      </c>
    </row>
    <row r="1809" spans="1:4" x14ac:dyDescent="0.2">
      <c r="A1809" s="5">
        <v>1748</v>
      </c>
      <c r="B1809" s="138">
        <f>'Tax Sched 23'!E5</f>
        <v>1223441</v>
      </c>
      <c r="D1809" s="2" t="str">
        <f t="shared" si="27"/>
        <v>Error?</v>
      </c>
    </row>
    <row r="1810" spans="1:4" x14ac:dyDescent="0.2">
      <c r="A1810" s="5">
        <v>1749</v>
      </c>
      <c r="B1810" s="138">
        <f>'Tax Sched 23'!E6</f>
        <v>785875</v>
      </c>
      <c r="D1810" s="2" t="str">
        <f t="shared" si="27"/>
        <v>Error?</v>
      </c>
    </row>
    <row r="1811" spans="1:4" x14ac:dyDescent="0.2">
      <c r="A1811" s="5">
        <v>1750</v>
      </c>
      <c r="B1811" s="138">
        <f>'Tax Sched 23'!E7</f>
        <v>751792</v>
      </c>
      <c r="D1811" s="2" t="str">
        <f t="shared" si="27"/>
        <v>Error?</v>
      </c>
    </row>
    <row r="1812" spans="1:4" x14ac:dyDescent="0.2">
      <c r="A1812" s="5">
        <v>1751</v>
      </c>
      <c r="B1812" s="138">
        <f>'Tax Sched 23'!E8</f>
        <v>801750</v>
      </c>
      <c r="D1812" s="2" t="str">
        <f t="shared" si="27"/>
        <v>Error?</v>
      </c>
    </row>
    <row r="1813" spans="1:4" x14ac:dyDescent="0.2">
      <c r="A1813" s="5">
        <v>1752</v>
      </c>
      <c r="B1813" s="138">
        <f>'Tax Sched 23'!E10</f>
        <v>111197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13639126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54180000</v>
      </c>
      <c r="C1939" s="2" t="s">
        <v>594</v>
      </c>
      <c r="D1939" s="2" t="str">
        <f t="shared" si="29"/>
        <v>Error?</v>
      </c>
    </row>
    <row r="1940" spans="1:5" x14ac:dyDescent="0.2">
      <c r="A1940" s="5">
        <v>1879</v>
      </c>
      <c r="B1940" s="138">
        <f>'Short-Term Long-Term Debt 24'!F49</f>
        <v>52800000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299357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299357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299357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332904</v>
      </c>
      <c r="D2008" s="2" t="str">
        <f t="shared" si="30"/>
        <v>Error?</v>
      </c>
    </row>
    <row r="2009" spans="1:4" x14ac:dyDescent="0.2">
      <c r="A2009" s="5">
        <v>1948</v>
      </c>
      <c r="B2009" s="138">
        <f>'Cap Outlay Deprec 26'!C8</f>
        <v>19362588.32</v>
      </c>
      <c r="D2009" s="2" t="str">
        <f t="shared" si="30"/>
        <v>Error?</v>
      </c>
    </row>
    <row r="2010" spans="1:4" x14ac:dyDescent="0.2">
      <c r="A2010" s="5">
        <v>1949</v>
      </c>
      <c r="B2010" s="138">
        <f>'Cap Outlay Deprec 26'!C10</f>
        <v>760226.71</v>
      </c>
      <c r="D2010" s="2" t="str">
        <f t="shared" si="30"/>
        <v>Error?</v>
      </c>
    </row>
    <row r="2011" spans="1:4" x14ac:dyDescent="0.2">
      <c r="A2011" s="5">
        <v>1950</v>
      </c>
      <c r="B2011" s="138">
        <f>'Cap Outlay Deprec 26'!C12</f>
        <v>4124265.32</v>
      </c>
      <c r="D2011" s="2" t="str">
        <f t="shared" si="30"/>
        <v>Error?</v>
      </c>
    </row>
    <row r="2012" spans="1:4" x14ac:dyDescent="0.2">
      <c r="A2012" s="5">
        <v>1951</v>
      </c>
      <c r="B2012" s="138">
        <f>'Cap Outlay Deprec 26'!C13</f>
        <v>527092.39</v>
      </c>
      <c r="D2012" s="2" t="str">
        <f t="shared" si="30"/>
        <v>Error?</v>
      </c>
    </row>
    <row r="2013" spans="1:4" x14ac:dyDescent="0.2">
      <c r="A2013" s="5">
        <v>1952</v>
      </c>
      <c r="B2013" s="138">
        <f>'Cap Outlay Deprec 26'!C16</f>
        <v>27183589.930000003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8546.11</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12985</v>
      </c>
      <c r="D2018" s="2" t="str">
        <f t="shared" si="30"/>
        <v>Error?</v>
      </c>
    </row>
    <row r="2019" spans="1:4" x14ac:dyDescent="0.2">
      <c r="A2019" s="5">
        <v>1958</v>
      </c>
      <c r="B2019" s="138">
        <f>'Cap Outlay Deprec 26'!D16</f>
        <v>1826292.06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332904</v>
      </c>
      <c r="C2026" s="2" t="s">
        <v>594</v>
      </c>
      <c r="D2026" s="2" t="str">
        <f t="shared" si="30"/>
        <v>Error?</v>
      </c>
    </row>
    <row r="2027" spans="1:4" x14ac:dyDescent="0.2">
      <c r="A2027" s="5">
        <v>1966</v>
      </c>
      <c r="B2027" s="138">
        <f>'Cap Outlay Deprec 26'!F8</f>
        <v>19362588.32</v>
      </c>
      <c r="C2027" s="2" t="s">
        <v>594</v>
      </c>
      <c r="D2027" s="2" t="str">
        <f t="shared" si="30"/>
        <v>Error?</v>
      </c>
    </row>
    <row r="2028" spans="1:4" x14ac:dyDescent="0.2">
      <c r="A2028" s="5">
        <v>1967</v>
      </c>
      <c r="B2028" s="138">
        <f>'Cap Outlay Deprec 26'!F10</f>
        <v>768772.82</v>
      </c>
      <c r="C2028" s="2" t="s">
        <v>594</v>
      </c>
      <c r="D2028" s="2" t="str">
        <f t="shared" si="30"/>
        <v>Error?</v>
      </c>
    </row>
    <row r="2029" spans="1:4" x14ac:dyDescent="0.2">
      <c r="A2029" s="5">
        <v>1968</v>
      </c>
      <c r="B2029" s="138">
        <f>'Cap Outlay Deprec 26'!F12</f>
        <v>4124265.32</v>
      </c>
      <c r="C2029" s="2" t="s">
        <v>594</v>
      </c>
      <c r="D2029" s="2" t="str">
        <f t="shared" si="30"/>
        <v>Error?</v>
      </c>
    </row>
    <row r="2030" spans="1:4" x14ac:dyDescent="0.2">
      <c r="A2030" s="5">
        <v>1969</v>
      </c>
      <c r="B2030" s="138">
        <f>'Cap Outlay Deprec 26'!F13</f>
        <v>540077.39</v>
      </c>
      <c r="C2030" s="2" t="s">
        <v>594</v>
      </c>
      <c r="D2030" s="2" t="str">
        <f t="shared" si="30"/>
        <v>Error?</v>
      </c>
    </row>
    <row r="2031" spans="1:4" x14ac:dyDescent="0.2">
      <c r="A2031" s="5">
        <v>1970</v>
      </c>
      <c r="B2031" s="138">
        <f>'Cap Outlay Deprec 26'!F16</f>
        <v>29009881.990000002</v>
      </c>
      <c r="C2031" s="2" t="s">
        <v>594</v>
      </c>
      <c r="D2031" s="2" t="str">
        <f t="shared" si="30"/>
        <v>Error?</v>
      </c>
    </row>
    <row r="2032" spans="1:4" x14ac:dyDescent="0.2">
      <c r="A2032" s="10">
        <v>1971</v>
      </c>
      <c r="D2032" s="2" t="str">
        <f t="shared" si="30"/>
        <v>OK</v>
      </c>
    </row>
    <row r="2033" spans="1:4" x14ac:dyDescent="0.2">
      <c r="A2033" s="5">
        <v>1972</v>
      </c>
      <c r="B2033" s="138">
        <f>'Cap Outlay Deprec 26'!H8</f>
        <v>4947600.54</v>
      </c>
      <c r="D2033" s="2" t="str">
        <f t="shared" si="30"/>
        <v>Error?</v>
      </c>
    </row>
    <row r="2034" spans="1:4" x14ac:dyDescent="0.2">
      <c r="A2034" s="5">
        <v>1973</v>
      </c>
      <c r="B2034" s="138">
        <f>'Cap Outlay Deprec 26'!H10</f>
        <v>289220.17</v>
      </c>
      <c r="D2034" s="2" t="str">
        <f t="shared" si="30"/>
        <v>Error?</v>
      </c>
    </row>
    <row r="2035" spans="1:4" x14ac:dyDescent="0.2">
      <c r="A2035" s="5">
        <v>1974</v>
      </c>
      <c r="B2035" s="138">
        <f>'Cap Outlay Deprec 26'!H12</f>
        <v>3781710.62</v>
      </c>
      <c r="D2035" s="2" t="str">
        <f t="shared" si="30"/>
        <v>Error?</v>
      </c>
    </row>
    <row r="2036" spans="1:4" x14ac:dyDescent="0.2">
      <c r="A2036" s="5">
        <v>1975</v>
      </c>
      <c r="B2036" s="138">
        <f>'Cap Outlay Deprec 26'!H13</f>
        <v>399494.19</v>
      </c>
      <c r="D2036" s="2" t="str">
        <f t="shared" si="30"/>
        <v>Error?</v>
      </c>
    </row>
    <row r="2037" spans="1:4" x14ac:dyDescent="0.2">
      <c r="A2037" s="5">
        <v>1976</v>
      </c>
      <c r="B2037" s="138">
        <f>'Cap Outlay Deprec 26'!H16</f>
        <v>9740420.3599999975</v>
      </c>
      <c r="C2037" s="2" t="s">
        <v>594</v>
      </c>
      <c r="D2037" s="2" t="str">
        <f t="shared" si="30"/>
        <v>Error?</v>
      </c>
    </row>
    <row r="2038" spans="1:4" x14ac:dyDescent="0.2">
      <c r="A2038" s="10">
        <v>1977</v>
      </c>
      <c r="D2038" s="2" t="str">
        <f t="shared" si="30"/>
        <v>OK</v>
      </c>
    </row>
    <row r="2039" spans="1:4" x14ac:dyDescent="0.2">
      <c r="A2039" s="5">
        <v>1978</v>
      </c>
      <c r="B2039" s="138">
        <f>'Cap Outlay Deprec 26'!I8</f>
        <v>377999.01</v>
      </c>
      <c r="D2039" s="2" t="str">
        <f t="shared" si="30"/>
        <v>Error?</v>
      </c>
    </row>
    <row r="2040" spans="1:4" x14ac:dyDescent="0.2">
      <c r="A2040" s="5">
        <v>1979</v>
      </c>
      <c r="B2040" s="138">
        <f>'Cap Outlay Deprec 26'!I10</f>
        <v>41999.09</v>
      </c>
      <c r="D2040" s="2" t="str">
        <f t="shared" si="30"/>
        <v>Error?</v>
      </c>
    </row>
    <row r="2041" spans="1:4" x14ac:dyDescent="0.2">
      <c r="A2041" s="5">
        <v>1980</v>
      </c>
      <c r="B2041" s="138">
        <f>'Cap Outlay Deprec 26'!I12</f>
        <v>39518.15</v>
      </c>
      <c r="D2041" s="2" t="str">
        <f t="shared" si="30"/>
        <v>Error?</v>
      </c>
    </row>
    <row r="2042" spans="1:4" x14ac:dyDescent="0.2">
      <c r="A2042" s="5">
        <v>1981</v>
      </c>
      <c r="B2042" s="138">
        <f>'Cap Outlay Deprec 26'!I13</f>
        <v>32046</v>
      </c>
      <c r="D2042" s="2" t="str">
        <f t="shared" si="30"/>
        <v>Error?</v>
      </c>
    </row>
    <row r="2043" spans="1:4" x14ac:dyDescent="0.2">
      <c r="A2043" s="5">
        <v>1982</v>
      </c>
      <c r="B2043" s="138">
        <f>'Cap Outlay Deprec 26'!I16</f>
        <v>640553.80000000005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5325599.55</v>
      </c>
      <c r="C2051" s="2" t="s">
        <v>594</v>
      </c>
      <c r="D2051" s="2" t="str">
        <f t="shared" si="31"/>
        <v>Error?</v>
      </c>
    </row>
    <row r="2052" spans="1:4" x14ac:dyDescent="0.2">
      <c r="A2052" s="5">
        <v>1991</v>
      </c>
      <c r="B2052" s="138">
        <f>'Cap Outlay Deprec 26'!K10</f>
        <v>331219.26</v>
      </c>
      <c r="C2052" s="2" t="s">
        <v>594</v>
      </c>
      <c r="D2052" s="2" t="str">
        <f t="shared" si="31"/>
        <v>Error?</v>
      </c>
    </row>
    <row r="2053" spans="1:4" x14ac:dyDescent="0.2">
      <c r="A2053" s="5">
        <v>1992</v>
      </c>
      <c r="B2053" s="138">
        <f>'Cap Outlay Deprec 26'!K12</f>
        <v>3821228.77</v>
      </c>
      <c r="C2053" s="2" t="s">
        <v>594</v>
      </c>
      <c r="D2053" s="2" t="str">
        <f t="shared" si="31"/>
        <v>Error?</v>
      </c>
    </row>
    <row r="2054" spans="1:4" x14ac:dyDescent="0.2">
      <c r="A2054" s="5">
        <v>1993</v>
      </c>
      <c r="B2054" s="138">
        <f>'Cap Outlay Deprec 26'!K13</f>
        <v>431540.19</v>
      </c>
      <c r="C2054" s="2" t="s">
        <v>594</v>
      </c>
      <c r="D2054" s="2" t="str">
        <f t="shared" si="31"/>
        <v>Error?</v>
      </c>
    </row>
    <row r="2055" spans="1:4" x14ac:dyDescent="0.2">
      <c r="A2055" s="5">
        <v>1994</v>
      </c>
      <c r="B2055" s="138">
        <f>'Cap Outlay Deprec 26'!K16</f>
        <v>10380974.159999998</v>
      </c>
      <c r="C2055" s="2" t="s">
        <v>594</v>
      </c>
      <c r="D2055" s="2" t="str">
        <f t="shared" si="31"/>
        <v>Error?</v>
      </c>
    </row>
    <row r="2056" spans="1:4" x14ac:dyDescent="0.2">
      <c r="A2056" s="5">
        <v>1995</v>
      </c>
      <c r="B2056" s="138">
        <f>'Cap Outlay Deprec 26'!L5</f>
        <v>332904</v>
      </c>
      <c r="C2056" s="2" t="s">
        <v>594</v>
      </c>
      <c r="D2056" s="2" t="str">
        <f t="shared" si="31"/>
        <v>Error?</v>
      </c>
    </row>
    <row r="2057" spans="1:4" x14ac:dyDescent="0.2">
      <c r="A2057" s="5">
        <v>1996</v>
      </c>
      <c r="B2057" s="138">
        <f>'Cap Outlay Deprec 26'!L8</f>
        <v>14036988.77</v>
      </c>
      <c r="C2057" s="2" t="s">
        <v>594</v>
      </c>
      <c r="D2057" s="2" t="str">
        <f t="shared" si="31"/>
        <v>Error?</v>
      </c>
    </row>
    <row r="2058" spans="1:4" x14ac:dyDescent="0.2">
      <c r="A2058" s="5">
        <v>1997</v>
      </c>
      <c r="B2058" s="138">
        <f>'Cap Outlay Deprec 26'!L10</f>
        <v>437553.55999999994</v>
      </c>
      <c r="C2058" s="2" t="s">
        <v>594</v>
      </c>
      <c r="D2058" s="2" t="str">
        <f t="shared" si="31"/>
        <v>Error?</v>
      </c>
    </row>
    <row r="2059" spans="1:4" x14ac:dyDescent="0.2">
      <c r="A2059" s="5">
        <v>1998</v>
      </c>
      <c r="B2059" s="138">
        <f>'Cap Outlay Deprec 26'!L12</f>
        <v>303036.54999999981</v>
      </c>
      <c r="C2059" s="2" t="s">
        <v>594</v>
      </c>
      <c r="D2059" s="2" t="str">
        <f t="shared" si="31"/>
        <v>Error?</v>
      </c>
    </row>
    <row r="2060" spans="1:4" x14ac:dyDescent="0.2">
      <c r="A2060" s="5">
        <v>1999</v>
      </c>
      <c r="B2060" s="138">
        <f>'Cap Outlay Deprec 26'!L13</f>
        <v>108537.20000000001</v>
      </c>
      <c r="C2060" s="2" t="s">
        <v>594</v>
      </c>
      <c r="D2060" s="2" t="str">
        <f t="shared" si="31"/>
        <v>Error?</v>
      </c>
    </row>
    <row r="2061" spans="1:4" x14ac:dyDescent="0.2">
      <c r="A2061" s="5">
        <v>2000</v>
      </c>
      <c r="B2061" s="138">
        <f>'Cap Outlay Deprec 26'!L16</f>
        <v>18628907.830000006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-43527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-43527</v>
      </c>
      <c r="C2088" s="2" t="s">
        <v>594</v>
      </c>
      <c r="D2088" s="2" t="str">
        <f t="shared" si="31"/>
        <v>Error?</v>
      </c>
    </row>
    <row r="2089" spans="1:4" x14ac:dyDescent="0.2">
      <c r="A2089" s="5">
        <v>2028</v>
      </c>
      <c r="B2089" s="138">
        <f>'Expenditures 15-22'!K92</f>
        <v>1430609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8855367</v>
      </c>
      <c r="C2551" s="2" t="s">
        <v>594</v>
      </c>
      <c r="D2551" s="2" t="str">
        <f t="shared" si="38"/>
        <v>Error?</v>
      </c>
    </row>
    <row r="2552" spans="1:4" x14ac:dyDescent="0.2">
      <c r="A2552" s="10">
        <v>2491</v>
      </c>
      <c r="D2552" s="2" t="str">
        <f t="shared" si="38"/>
        <v>OK</v>
      </c>
    </row>
    <row r="2553" spans="1:4" x14ac:dyDescent="0.2">
      <c r="A2553" s="5">
        <v>2492</v>
      </c>
      <c r="B2553" s="138">
        <f>'Acct Summary 7-8'!C6</f>
        <v>23290639</v>
      </c>
      <c r="C2553" s="2" t="s">
        <v>594</v>
      </c>
      <c r="D2553" s="2" t="str">
        <f t="shared" si="38"/>
        <v>Error?</v>
      </c>
    </row>
    <row r="2554" spans="1:4" x14ac:dyDescent="0.2">
      <c r="A2554" s="5">
        <v>2493</v>
      </c>
      <c r="B2554" s="138">
        <f>'Acct Summary 7-8'!C7</f>
        <v>6693165</v>
      </c>
      <c r="C2554" s="2" t="s">
        <v>594</v>
      </c>
      <c r="D2554" s="2" t="str">
        <f t="shared" si="38"/>
        <v>Error?</v>
      </c>
    </row>
    <row r="2555" spans="1:4" x14ac:dyDescent="0.2">
      <c r="A2555" s="5">
        <v>2494</v>
      </c>
      <c r="B2555" s="138">
        <f>'Acct Summary 7-8'!C8</f>
        <v>38839171</v>
      </c>
      <c r="C2555" s="2" t="s">
        <v>594</v>
      </c>
      <c r="D2555" s="2" t="str">
        <f t="shared" si="38"/>
        <v>Error?</v>
      </c>
    </row>
    <row r="2556" spans="1:4" x14ac:dyDescent="0.2">
      <c r="A2556" s="5">
        <v>2495</v>
      </c>
      <c r="B2556" s="138">
        <f>'Acct Summary 7-8'!C12</f>
        <v>22880007</v>
      </c>
      <c r="C2556" s="2" t="s">
        <v>594</v>
      </c>
      <c r="D2556" s="2" t="str">
        <f t="shared" si="38"/>
        <v>Error?</v>
      </c>
    </row>
    <row r="2557" spans="1:4" x14ac:dyDescent="0.2">
      <c r="A2557" s="5">
        <v>2496</v>
      </c>
      <c r="B2557" s="138">
        <f>'Acct Summary 7-8'!C13</f>
        <v>11297784</v>
      </c>
      <c r="C2557" s="2" t="s">
        <v>594</v>
      </c>
      <c r="D2557" s="2" t="str">
        <f t="shared" si="38"/>
        <v>Error?</v>
      </c>
    </row>
    <row r="2558" spans="1:4" x14ac:dyDescent="0.2">
      <c r="A2558" s="5">
        <v>2497</v>
      </c>
      <c r="B2558" s="138">
        <f>'Acct Summary 7-8'!C14</f>
        <v>303519</v>
      </c>
      <c r="C2558" s="2" t="s">
        <v>594</v>
      </c>
      <c r="D2558" s="2" t="str">
        <f t="shared" si="38"/>
        <v>Error?</v>
      </c>
    </row>
    <row r="2559" spans="1:4" x14ac:dyDescent="0.2">
      <c r="A2559" s="5">
        <v>2498</v>
      </c>
      <c r="B2559" s="138">
        <f>'Acct Summary 7-8'!C15</f>
        <v>1387082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35868392</v>
      </c>
      <c r="C2561" s="2" t="s">
        <v>594</v>
      </c>
      <c r="D2561" s="2" t="str">
        <f t="shared" si="39"/>
        <v>Error?</v>
      </c>
    </row>
    <row r="2562" spans="1:4" x14ac:dyDescent="0.2">
      <c r="A2562" s="5">
        <v>2501</v>
      </c>
      <c r="B2562" s="138">
        <f>'Acct Summary 7-8'!C20</f>
        <v>2970779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981024</v>
      </c>
      <c r="C2564" s="2" t="s">
        <v>594</v>
      </c>
      <c r="D2564" s="2" t="str">
        <f t="shared" si="39"/>
        <v>Error?</v>
      </c>
    </row>
    <row r="2565" spans="1:4" x14ac:dyDescent="0.2">
      <c r="A2565" s="10">
        <v>2504</v>
      </c>
      <c r="D2565" s="2" t="str">
        <f t="shared" si="39"/>
        <v>OK</v>
      </c>
    </row>
    <row r="2566" spans="1:4" x14ac:dyDescent="0.2">
      <c r="A2566" s="5">
        <v>2505</v>
      </c>
      <c r="B2566" s="138">
        <f>'Acct Summary 7-8'!D6</f>
        <v>4000000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4981024</v>
      </c>
      <c r="C2568" s="2" t="s">
        <v>594</v>
      </c>
      <c r="D2568" s="2" t="str">
        <f t="shared" si="39"/>
        <v>Error?</v>
      </c>
    </row>
    <row r="2569" spans="1:4" x14ac:dyDescent="0.2">
      <c r="A2569" s="5">
        <v>2508</v>
      </c>
      <c r="B2569" s="138">
        <f>'Acct Summary 7-8'!D13</f>
        <v>2682231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2682231</v>
      </c>
      <c r="C2573" s="2" t="s">
        <v>594</v>
      </c>
      <c r="D2573" s="2" t="str">
        <f t="shared" si="39"/>
        <v>Error?</v>
      </c>
    </row>
    <row r="2574" spans="1:4" x14ac:dyDescent="0.2">
      <c r="A2574" s="5">
        <v>2513</v>
      </c>
      <c r="B2574" s="138">
        <f>'Acct Summary 7-8'!D20</f>
        <v>2298793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883272</v>
      </c>
      <c r="C2591" s="2" t="s">
        <v>594</v>
      </c>
      <c r="D2591" s="2" t="str">
        <f t="shared" si="39"/>
        <v>Error?</v>
      </c>
    </row>
    <row r="2592" spans="1:4" x14ac:dyDescent="0.2">
      <c r="A2592" s="10">
        <v>2531</v>
      </c>
      <c r="D2592" s="2" t="str">
        <f t="shared" si="39"/>
        <v>OK</v>
      </c>
    </row>
    <row r="2593" spans="1:4" x14ac:dyDescent="0.2">
      <c r="A2593" s="5">
        <v>2532</v>
      </c>
      <c r="B2593" s="138">
        <f>'Acct Summary 7-8'!F6</f>
        <v>799338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1682610</v>
      </c>
      <c r="C2595" s="2" t="s">
        <v>594</v>
      </c>
      <c r="D2595" s="2" t="str">
        <f t="shared" si="39"/>
        <v>Error?</v>
      </c>
    </row>
    <row r="2596" spans="1:4" x14ac:dyDescent="0.2">
      <c r="A2596" s="5">
        <v>2535</v>
      </c>
      <c r="B2596" s="138">
        <f>'Acct Summary 7-8'!F13</f>
        <v>1226910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1226910</v>
      </c>
      <c r="C2600" s="2" t="s">
        <v>594</v>
      </c>
      <c r="D2600" s="2" t="str">
        <f t="shared" si="39"/>
        <v>Error?</v>
      </c>
    </row>
    <row r="2601" spans="1:4" x14ac:dyDescent="0.2">
      <c r="A2601" s="5">
        <v>2540</v>
      </c>
      <c r="B2601" s="138">
        <f>'Acct Summary 7-8'!F20</f>
        <v>455700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1208581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1208581</v>
      </c>
      <c r="C2606" s="2" t="s">
        <v>594</v>
      </c>
      <c r="D2606" s="2" t="str">
        <f t="shared" si="39"/>
        <v>Error?</v>
      </c>
    </row>
    <row r="2607" spans="1:4" x14ac:dyDescent="0.2">
      <c r="A2607" s="5">
        <v>2546</v>
      </c>
      <c r="B2607" s="138">
        <f>'Acct Summary 7-8'!G12</f>
        <v>722660</v>
      </c>
      <c r="C2607" s="2" t="s">
        <v>594</v>
      </c>
      <c r="D2607" s="2" t="str">
        <f t="shared" si="39"/>
        <v>Error?</v>
      </c>
    </row>
    <row r="2608" spans="1:4" x14ac:dyDescent="0.2">
      <c r="A2608" s="5">
        <v>2547</v>
      </c>
      <c r="B2608" s="138">
        <f>'Acct Summary 7-8'!G13</f>
        <v>789562</v>
      </c>
      <c r="C2608" s="2" t="s">
        <v>594</v>
      </c>
      <c r="D2608" s="2" t="str">
        <f t="shared" si="39"/>
        <v>Error?</v>
      </c>
    </row>
    <row r="2609" spans="1:4" x14ac:dyDescent="0.2">
      <c r="A2609" s="5">
        <v>2548</v>
      </c>
      <c r="B2609" s="138">
        <f>'Acct Summary 7-8'!G14</f>
        <v>22872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1535094</v>
      </c>
      <c r="C2612" s="2" t="s">
        <v>594</v>
      </c>
      <c r="D2612" s="2" t="str">
        <f t="shared" si="39"/>
        <v>Error?</v>
      </c>
    </row>
    <row r="2613" spans="1:4" x14ac:dyDescent="0.2">
      <c r="A2613" s="5">
        <v>2552</v>
      </c>
      <c r="B2613" s="138">
        <f>'Acct Summary 7-8'!G20</f>
        <v>-326513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859830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2357592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57405635</v>
      </c>
      <c r="C2634" s="2" t="s">
        <v>594</v>
      </c>
      <c r="D2634" s="2" t="str">
        <f t="shared" si="40"/>
        <v>Error?</v>
      </c>
    </row>
    <row r="2635" spans="1:4" x14ac:dyDescent="0.2">
      <c r="A2635" s="5">
        <v>2574</v>
      </c>
      <c r="B2635" s="138">
        <f>'Acct Summary 7-8'!E17</f>
        <v>57405635</v>
      </c>
      <c r="C2635" s="2" t="s">
        <v>594</v>
      </c>
      <c r="D2635" s="2" t="str">
        <f t="shared" si="40"/>
        <v>Error?</v>
      </c>
    </row>
    <row r="2636" spans="1:4" x14ac:dyDescent="0.2">
      <c r="A2636" s="5">
        <v>2575</v>
      </c>
      <c r="B2636" s="138">
        <f>'Acct Summary 7-8'!E20</f>
        <v>-55048043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739393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739393</v>
      </c>
      <c r="C2658" s="2" t="s">
        <v>594</v>
      </c>
      <c r="D2658" s="2" t="str">
        <f t="shared" si="40"/>
        <v>Error?</v>
      </c>
    </row>
    <row r="2659" spans="1:4" x14ac:dyDescent="0.2">
      <c r="A2659" s="5">
        <v>2598</v>
      </c>
      <c r="B2659" s="138">
        <f>'Acct Summary 7-8'!H13</f>
        <v>2890620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2890620</v>
      </c>
      <c r="C2661" s="2" t="s">
        <v>594</v>
      </c>
      <c r="D2661" s="2" t="str">
        <f t="shared" si="40"/>
        <v>Error?</v>
      </c>
    </row>
    <row r="2662" spans="1:4" x14ac:dyDescent="0.2">
      <c r="A2662" s="5">
        <v>2601</v>
      </c>
      <c r="B2662" s="138">
        <f>'Acct Summary 7-8'!H20</f>
        <v>-2151227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305437</v>
      </c>
      <c r="D2718" s="2" t="str">
        <f t="shared" si="41"/>
        <v>Error?</v>
      </c>
    </row>
    <row r="2719" spans="1:4" x14ac:dyDescent="0.2">
      <c r="A2719" s="5">
        <v>2658</v>
      </c>
      <c r="B2719" s="138">
        <f>'Expenditures 15-22'!D51</f>
        <v>78853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384290</v>
      </c>
      <c r="C2724" s="2" t="s">
        <v>594</v>
      </c>
      <c r="D2724" s="2" t="str">
        <f t="shared" si="41"/>
        <v>Error?</v>
      </c>
    </row>
    <row r="2725" spans="1:4" x14ac:dyDescent="0.2">
      <c r="A2725" s="5">
        <v>2664</v>
      </c>
      <c r="B2725" s="138">
        <f>'Expenditures 15-22'!D247</f>
        <v>12534</v>
      </c>
      <c r="D2725" s="2" t="str">
        <f t="shared" si="41"/>
        <v>Error?</v>
      </c>
    </row>
    <row r="2726" spans="1:4" x14ac:dyDescent="0.2">
      <c r="A2726" s="5">
        <v>2665</v>
      </c>
      <c r="B2726" s="138">
        <f>'Expenditures 15-22'!K247</f>
        <v>12534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29101.54</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9900</v>
      </c>
      <c r="D2858" s="2" t="str">
        <f t="shared" si="43"/>
        <v>Error?</v>
      </c>
    </row>
    <row r="2859" spans="1:4" x14ac:dyDescent="0.2">
      <c r="A2859" s="10">
        <v>2798</v>
      </c>
      <c r="D2859" s="2" t="str">
        <f t="shared" si="43"/>
        <v>OK</v>
      </c>
    </row>
    <row r="2860" spans="1:4" x14ac:dyDescent="0.2">
      <c r="A2860" s="5">
        <v>2799</v>
      </c>
      <c r="B2860" s="138">
        <f>'ICR Computation 30'!E14</f>
        <v>7250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777245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7748771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50008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7748771</v>
      </c>
      <c r="D2912" s="2" t="str">
        <f t="shared" si="44"/>
        <v>Error?</v>
      </c>
    </row>
    <row r="2913" spans="1:4" x14ac:dyDescent="0.2">
      <c r="A2913" s="5">
        <v>2852</v>
      </c>
      <c r="B2913" s="138">
        <f>'Assets-Liab 5-6'!I41</f>
        <v>7748771</v>
      </c>
      <c r="C2913" s="2" t="s">
        <v>594</v>
      </c>
      <c r="D2913" s="2" t="str">
        <f t="shared" si="44"/>
        <v>Error?</v>
      </c>
    </row>
    <row r="2914" spans="1:4" x14ac:dyDescent="0.2">
      <c r="A2914" s="5">
        <v>2853</v>
      </c>
      <c r="B2914" s="138">
        <f>'Assets-Liab 5-6'!L33</f>
        <v>50008</v>
      </c>
      <c r="D2914" s="2" t="str">
        <f t="shared" si="44"/>
        <v>Error?</v>
      </c>
    </row>
    <row r="2915" spans="1:4" x14ac:dyDescent="0.2">
      <c r="A2915" s="10">
        <v>2854</v>
      </c>
      <c r="D2915" s="2" t="str">
        <f t="shared" si="44"/>
        <v>OK</v>
      </c>
    </row>
    <row r="2916" spans="1:4" x14ac:dyDescent="0.2">
      <c r="A2916" s="5">
        <v>2855</v>
      </c>
      <c r="B2916" s="138">
        <f>'Assets-Liab 5-6'!L34</f>
        <v>50008</v>
      </c>
      <c r="C2916" s="2" t="s">
        <v>594</v>
      </c>
      <c r="D2916" s="2" t="str">
        <f t="shared" si="44"/>
        <v>Error?</v>
      </c>
    </row>
    <row r="2917" spans="1:4" x14ac:dyDescent="0.2">
      <c r="A2917" s="5">
        <v>2856</v>
      </c>
      <c r="B2917" s="138">
        <f>'Assets-Liab 5-6'!L41</f>
        <v>50008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-43527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-43527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634614</v>
      </c>
      <c r="D3055" s="2" t="str">
        <f t="shared" si="46"/>
        <v>Error?</v>
      </c>
    </row>
    <row r="3056" spans="1:4" x14ac:dyDescent="0.2">
      <c r="A3056" s="5">
        <v>2995</v>
      </c>
      <c r="B3056" s="138">
        <f>'Expenditures 15-22'!D10</f>
        <v>130433</v>
      </c>
      <c r="D3056" s="2" t="str">
        <f t="shared" si="46"/>
        <v>Error?</v>
      </c>
    </row>
    <row r="3057" spans="1:4" x14ac:dyDescent="0.2">
      <c r="A3057" s="5">
        <v>2996</v>
      </c>
      <c r="B3057" s="138">
        <f>'Expenditures 15-22'!E10</f>
        <v>89868</v>
      </c>
      <c r="D3057" s="2" t="str">
        <f t="shared" si="46"/>
        <v>Error?</v>
      </c>
    </row>
    <row r="3058" spans="1:4" x14ac:dyDescent="0.2">
      <c r="A3058" s="5">
        <v>2997</v>
      </c>
      <c r="B3058" s="138">
        <f>'Expenditures 15-22'!F10</f>
        <v>877041</v>
      </c>
      <c r="D3058" s="2" t="str">
        <f t="shared" si="46"/>
        <v>Error?</v>
      </c>
    </row>
    <row r="3059" spans="1:4" x14ac:dyDescent="0.2">
      <c r="A3059" s="5">
        <v>2998</v>
      </c>
      <c r="B3059" s="138">
        <f>'Expenditures 15-22'!G10</f>
        <v>42309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1792400</v>
      </c>
      <c r="C3062" s="2" t="s">
        <v>594</v>
      </c>
      <c r="D3062" s="2" t="str">
        <f t="shared" si="46"/>
        <v>Error?</v>
      </c>
    </row>
    <row r="3063" spans="1:4" x14ac:dyDescent="0.2">
      <c r="A3063" s="10">
        <v>3002</v>
      </c>
      <c r="D3063" s="2" t="str">
        <f t="shared" si="46"/>
        <v>OK</v>
      </c>
    </row>
    <row r="3064" spans="1:4" x14ac:dyDescent="0.2">
      <c r="A3064" s="5">
        <v>3003</v>
      </c>
      <c r="B3064" s="138">
        <f>'Expenditures 15-22'!D219</f>
        <v>49470</v>
      </c>
      <c r="D3064" s="2" t="str">
        <f t="shared" si="46"/>
        <v>Error?</v>
      </c>
    </row>
    <row r="3065" spans="1:4" x14ac:dyDescent="0.2">
      <c r="A3065" s="5">
        <v>3004</v>
      </c>
      <c r="B3065" s="138">
        <f>'Expenditures 15-22'!K219</f>
        <v>49470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52800000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80946</v>
      </c>
      <c r="C3225" s="2" t="s">
        <v>594</v>
      </c>
      <c r="D3225" s="2" t="str">
        <f t="shared" si="49"/>
        <v>Error?</v>
      </c>
    </row>
    <row r="3226" spans="1:4" x14ac:dyDescent="0.2">
      <c r="A3226" s="5">
        <v>3165</v>
      </c>
      <c r="B3226" s="138">
        <f>'Acct Summary 7-8'!I8</f>
        <v>80946</v>
      </c>
      <c r="C3226" s="2" t="s">
        <v>594</v>
      </c>
      <c r="D3226" s="2" t="str">
        <f t="shared" si="49"/>
        <v>Error?</v>
      </c>
    </row>
    <row r="3227" spans="1:4" x14ac:dyDescent="0.2">
      <c r="A3227" s="5">
        <v>3166</v>
      </c>
      <c r="B3227" s="138">
        <f>'Acct Summary 7-8'!I20</f>
        <v>80946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2970779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2298793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455700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-326513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53930490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53930490</v>
      </c>
      <c r="C3277" s="2" t="s">
        <v>594</v>
      </c>
      <c r="D3277" s="2" t="str">
        <f t="shared" si="50"/>
        <v>Error?</v>
      </c>
    </row>
    <row r="3278" spans="1:4" x14ac:dyDescent="0.2">
      <c r="A3278" s="5">
        <v>3217</v>
      </c>
      <c r="B3278" s="138">
        <f>'Acct Summary 7-8'!E78</f>
        <v>-1117553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-2151227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1500000</v>
      </c>
      <c r="D3316" s="2" t="str">
        <f t="shared" si="50"/>
        <v>Error?</v>
      </c>
    </row>
    <row r="3317" spans="1:4" x14ac:dyDescent="0.2">
      <c r="A3317" s="5">
        <v>3256</v>
      </c>
      <c r="B3317" s="138">
        <f>'Acct Summary 7-8'!I44</f>
        <v>1500000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1500000</v>
      </c>
      <c r="C3319" s="2" t="s">
        <v>594</v>
      </c>
      <c r="D3319" s="2" t="str">
        <f t="shared" si="50"/>
        <v>Error?</v>
      </c>
    </row>
    <row r="3320" spans="1:4" x14ac:dyDescent="0.2">
      <c r="A3320" s="5">
        <v>3259</v>
      </c>
      <c r="B3320" s="138">
        <f>'Acct Summary 7-8'!I78</f>
        <v>1580946</v>
      </c>
      <c r="C3320" s="2" t="s">
        <v>594</v>
      </c>
      <c r="D3320" s="2" t="str">
        <f t="shared" si="50"/>
        <v>Error?</v>
      </c>
    </row>
    <row r="3321" spans="1:4" x14ac:dyDescent="0.2">
      <c r="A3321" s="5">
        <v>3260</v>
      </c>
      <c r="B3321" s="138">
        <f>'Acct Summary 7-8'!I79</f>
        <v>6167825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7748771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1905360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472225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472799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2850384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540707</v>
      </c>
      <c r="D3387" s="2" t="str">
        <f t="shared" si="51"/>
        <v>Error?</v>
      </c>
    </row>
    <row r="3388" spans="1:4" x14ac:dyDescent="0.2">
      <c r="A3388" s="5">
        <v>3327</v>
      </c>
      <c r="B3388" s="138">
        <f>'Expenditures 15-22'!D217</f>
        <v>101684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540707</v>
      </c>
      <c r="C3390" s="2" t="s">
        <v>594</v>
      </c>
      <c r="D3390" s="2" t="str">
        <f t="shared" si="51"/>
        <v>Error?</v>
      </c>
    </row>
    <row r="3391" spans="1:4" x14ac:dyDescent="0.2">
      <c r="A3391" s="5">
        <v>3330</v>
      </c>
      <c r="B3391" s="138">
        <f>'Expenditures 15-22'!K217</f>
        <v>101684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18264120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1510891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2740549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50045084</v>
      </c>
      <c r="D3425" s="2" t="str">
        <f t="shared" si="52"/>
        <v>Error?</v>
      </c>
    </row>
    <row r="3426" spans="1:4" x14ac:dyDescent="0.2">
      <c r="A3426" s="10">
        <v>3365</v>
      </c>
      <c r="D3426" s="2" t="str">
        <f t="shared" si="52"/>
        <v>OK</v>
      </c>
    </row>
    <row r="3427" spans="1:4" x14ac:dyDescent="0.2">
      <c r="A3427" s="5">
        <v>3366</v>
      </c>
      <c r="B3427" s="138">
        <f>'Assets-Liab 5-6'!I4</f>
        <v>7748771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50008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577607</v>
      </c>
      <c r="C3446" s="2" t="s">
        <v>594</v>
      </c>
      <c r="D3446" s="2" t="str">
        <f t="shared" si="52"/>
        <v>Error?</v>
      </c>
    </row>
    <row r="3447" spans="1:4" x14ac:dyDescent="0.2">
      <c r="A3447" s="5">
        <v>3386</v>
      </c>
      <c r="B3447" s="138">
        <f>'Tax Sched 23'!D16</f>
        <v>225083</v>
      </c>
      <c r="C3447" s="2" t="s">
        <v>594</v>
      </c>
      <c r="D3447" s="2" t="str">
        <f t="shared" si="52"/>
        <v>Error?</v>
      </c>
    </row>
    <row r="3448" spans="1:4" x14ac:dyDescent="0.2">
      <c r="A3448" s="5">
        <v>3387</v>
      </c>
      <c r="B3448" s="138">
        <f>'Tax Sched 23'!C16</f>
        <v>352524</v>
      </c>
      <c r="D3448" s="2" t="str">
        <f t="shared" si="52"/>
        <v>Error?</v>
      </c>
    </row>
    <row r="3449" spans="1:4" x14ac:dyDescent="0.2">
      <c r="A3449" s="5">
        <v>3388</v>
      </c>
      <c r="B3449" s="138">
        <f>'Tax Sched 23'!F16</f>
        <v>549411</v>
      </c>
      <c r="C3449" s="2" t="s">
        <v>594</v>
      </c>
      <c r="D3449" s="2" t="str">
        <f t="shared" si="52"/>
        <v>Error?</v>
      </c>
    </row>
    <row r="3450" spans="1:4" x14ac:dyDescent="0.2">
      <c r="A3450" s="5">
        <v>3389</v>
      </c>
      <c r="B3450" s="138">
        <f>'Tax Sched 23'!E16</f>
        <v>901935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777244.82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777244.82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777244.82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504782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504782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504782</v>
      </c>
      <c r="D3567" s="2" t="str">
        <f t="shared" si="54"/>
        <v>Error?</v>
      </c>
    </row>
    <row r="3568" spans="1:4" x14ac:dyDescent="0.2">
      <c r="A3568" s="5">
        <v>3507</v>
      </c>
      <c r="B3568" s="138">
        <f>'Assets-Liab 5-6'!K41</f>
        <v>504782</v>
      </c>
      <c r="C3568" s="2" t="s">
        <v>594</v>
      </c>
      <c r="D3568" s="2" t="str">
        <f t="shared" si="54"/>
        <v>Error?</v>
      </c>
    </row>
    <row r="3569" spans="1:4" x14ac:dyDescent="0.2">
      <c r="A3569" s="5">
        <v>3508</v>
      </c>
      <c r="B3569" s="138">
        <f>'Acct Summary 7-8'!K4</f>
        <v>82139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82139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82139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82139</v>
      </c>
      <c r="C3588" s="2" t="s">
        <v>594</v>
      </c>
      <c r="D3588" s="2" t="str">
        <f t="shared" si="55"/>
        <v>Error?</v>
      </c>
    </row>
    <row r="3589" spans="1:4" x14ac:dyDescent="0.2">
      <c r="A3589" s="5">
        <v>3528</v>
      </c>
      <c r="B3589" s="138">
        <f>'Acct Summary 7-8'!K79</f>
        <v>422643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504782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82139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90337</v>
      </c>
      <c r="C3725" s="2" t="s">
        <v>594</v>
      </c>
      <c r="D3725" s="2" t="str">
        <f t="shared" si="57"/>
        <v>Error?</v>
      </c>
    </row>
    <row r="3726" spans="1:4" x14ac:dyDescent="0.2">
      <c r="A3726" s="5">
        <v>3665</v>
      </c>
      <c r="B3726" s="138">
        <f>'Tax Sched 23'!D13</f>
        <v>90337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970753.59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14773706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53612877</v>
      </c>
      <c r="C4122" s="2" t="s">
        <v>594</v>
      </c>
      <c r="D4122" s="2" t="str">
        <f t="shared" si="63"/>
        <v>Error?</v>
      </c>
    </row>
    <row r="4123" spans="1:4" x14ac:dyDescent="0.2">
      <c r="A4123" s="5">
        <v>4062</v>
      </c>
      <c r="B4123" s="138">
        <f>'Acct Summary 7-8'!D10</f>
        <v>4981024</v>
      </c>
      <c r="C4123" s="2" t="s">
        <v>594</v>
      </c>
      <c r="D4123" s="2" t="str">
        <f t="shared" si="63"/>
        <v>Error?</v>
      </c>
    </row>
    <row r="4124" spans="1:4" x14ac:dyDescent="0.2">
      <c r="A4124" s="5">
        <v>4063</v>
      </c>
      <c r="B4124" s="138">
        <f>'Acct Summary 7-8'!E10</f>
        <v>2357592</v>
      </c>
      <c r="C4124" s="2" t="s">
        <v>594</v>
      </c>
      <c r="D4124" s="2" t="str">
        <f t="shared" si="63"/>
        <v>Error?</v>
      </c>
    </row>
    <row r="4125" spans="1:4" x14ac:dyDescent="0.2">
      <c r="A4125" s="5">
        <v>4064</v>
      </c>
      <c r="B4125" s="138">
        <f>'Acct Summary 7-8'!F10</f>
        <v>1682610</v>
      </c>
      <c r="C4125" s="2" t="s">
        <v>594</v>
      </c>
      <c r="D4125" s="2" t="str">
        <f t="shared" si="63"/>
        <v>Error?</v>
      </c>
    </row>
    <row r="4126" spans="1:4" x14ac:dyDescent="0.2">
      <c r="A4126" s="5">
        <v>4065</v>
      </c>
      <c r="B4126" s="138">
        <f>'Acct Summary 7-8'!G10</f>
        <v>1208581</v>
      </c>
      <c r="C4126" s="2" t="s">
        <v>594</v>
      </c>
      <c r="D4126" s="2" t="str">
        <f t="shared" si="63"/>
        <v>Error?</v>
      </c>
    </row>
    <row r="4127" spans="1:4" x14ac:dyDescent="0.2">
      <c r="A4127" s="5">
        <v>4066</v>
      </c>
      <c r="B4127" s="138">
        <f>'Acct Summary 7-8'!H10</f>
        <v>739393</v>
      </c>
      <c r="C4127" s="2" t="s">
        <v>594</v>
      </c>
      <c r="D4127" s="2" t="str">
        <f t="shared" si="63"/>
        <v>Error?</v>
      </c>
    </row>
    <row r="4128" spans="1:4" x14ac:dyDescent="0.2">
      <c r="A4128" s="5">
        <v>4067</v>
      </c>
      <c r="B4128" s="138">
        <f>'Acct Summary 7-8'!I10</f>
        <v>80946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82139</v>
      </c>
      <c r="C4130" s="2" t="s">
        <v>594</v>
      </c>
      <c r="D4130" s="2" t="str">
        <f t="shared" si="63"/>
        <v>Error?</v>
      </c>
    </row>
    <row r="4131" spans="1:4" x14ac:dyDescent="0.2">
      <c r="A4131" s="5">
        <v>4070</v>
      </c>
      <c r="B4131" s="138">
        <f>'Acct Summary 7-8'!C18</f>
        <v>14773706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50642098</v>
      </c>
      <c r="C4136" s="2" t="s">
        <v>594</v>
      </c>
      <c r="D4136" s="2" t="str">
        <f t="shared" si="63"/>
        <v>Error?</v>
      </c>
    </row>
    <row r="4137" spans="1:4" x14ac:dyDescent="0.2">
      <c r="A4137" s="5">
        <v>4076</v>
      </c>
      <c r="B4137" s="138">
        <f>'Acct Summary 7-8'!D19</f>
        <v>2682231</v>
      </c>
      <c r="C4137" s="2" t="s">
        <v>594</v>
      </c>
      <c r="D4137" s="2" t="str">
        <f t="shared" si="63"/>
        <v>Error?</v>
      </c>
    </row>
    <row r="4138" spans="1:4" x14ac:dyDescent="0.2">
      <c r="A4138" s="5">
        <v>4077</v>
      </c>
      <c r="B4138" s="138">
        <f>'Acct Summary 7-8'!E19</f>
        <v>57405635</v>
      </c>
      <c r="C4138" s="2" t="s">
        <v>594</v>
      </c>
      <c r="D4138" s="2" t="str">
        <f t="shared" si="63"/>
        <v>Error?</v>
      </c>
    </row>
    <row r="4139" spans="1:4" x14ac:dyDescent="0.2">
      <c r="A4139" s="5">
        <v>4078</v>
      </c>
      <c r="B4139" s="138">
        <f>'Acct Summary 7-8'!F19</f>
        <v>1226910</v>
      </c>
      <c r="C4139" s="2" t="s">
        <v>594</v>
      </c>
      <c r="D4139" s="2" t="str">
        <f t="shared" si="63"/>
        <v>Error?</v>
      </c>
    </row>
    <row r="4140" spans="1:4" x14ac:dyDescent="0.2">
      <c r="A4140" s="5">
        <v>4079</v>
      </c>
      <c r="B4140" s="138">
        <f>'Acct Summary 7-8'!G19</f>
        <v>1535094</v>
      </c>
      <c r="C4140" s="2" t="s">
        <v>594</v>
      </c>
      <c r="D4140" s="2" t="str">
        <f t="shared" si="63"/>
        <v>Error?</v>
      </c>
    </row>
    <row r="4141" spans="1:4" x14ac:dyDescent="0.2">
      <c r="A4141" s="5">
        <v>4080</v>
      </c>
      <c r="B4141" s="138">
        <f>'Acct Summary 7-8'!H19</f>
        <v>2890620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52800000</v>
      </c>
      <c r="C4171" s="2" t="s">
        <v>594</v>
      </c>
      <c r="D4171" s="2" t="str">
        <f t="shared" si="64"/>
        <v>Error?</v>
      </c>
    </row>
    <row r="4172" spans="1:4" x14ac:dyDescent="0.2">
      <c r="A4172" s="5">
        <v>4111</v>
      </c>
      <c r="B4172" s="138">
        <f>'Short-Term Long-Term Debt 24'!J49</f>
        <v>52800000</v>
      </c>
      <c r="C4172" s="2" t="s">
        <v>594</v>
      </c>
      <c r="D4172" s="2" t="str">
        <f t="shared" si="64"/>
        <v>Error?</v>
      </c>
    </row>
    <row r="4173" spans="1:4" x14ac:dyDescent="0.2">
      <c r="A4173" s="5">
        <v>4112</v>
      </c>
      <c r="B4173" s="138">
        <f>'Short-Term Long-Term Debt 24'!H49</f>
        <v>54180000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3703.5</v>
      </c>
      <c r="C4265" s="2" t="s">
        <v>594</v>
      </c>
      <c r="D4265" s="2" t="str">
        <f t="shared" si="65"/>
        <v>Error?</v>
      </c>
      <c r="E4265" s="128"/>
    </row>
    <row r="4266" spans="1:5" x14ac:dyDescent="0.2">
      <c r="A4266" s="12">
        <v>4205</v>
      </c>
      <c r="B4266" s="138">
        <f>('FP Info 3'!F10)*100000</f>
        <v>499.9</v>
      </c>
      <c r="C4266" s="2" t="s">
        <v>594</v>
      </c>
      <c r="D4266" s="2" t="str">
        <f t="shared" si="65"/>
        <v>Error?</v>
      </c>
      <c r="E4266" s="128"/>
    </row>
    <row r="4267" spans="1:5" x14ac:dyDescent="0.2">
      <c r="A4267" s="12">
        <v>4206</v>
      </c>
      <c r="B4267" s="138">
        <f>('FP Info 3'!H10)*100000</f>
        <v>307.2</v>
      </c>
      <c r="C4267" s="2" t="s">
        <v>594</v>
      </c>
      <c r="D4267" s="2" t="str">
        <f t="shared" si="65"/>
        <v>Error?</v>
      </c>
      <c r="E4267" s="128"/>
    </row>
    <row r="4268" spans="1:5" x14ac:dyDescent="0.2">
      <c r="A4268" s="12">
        <v>4207</v>
      </c>
      <c r="B4268" s="138">
        <f>('FP Info 3'!J10)*100000</f>
        <v>4511</v>
      </c>
      <c r="C4268" s="2" t="s">
        <v>594</v>
      </c>
      <c r="D4268" s="2" t="str">
        <f t="shared" si="65"/>
        <v>Error?</v>
      </c>
    </row>
    <row r="4269" spans="1:5" x14ac:dyDescent="0.2">
      <c r="A4269" s="12">
        <v>4208</v>
      </c>
      <c r="B4269" s="138">
        <f>'FP Info 3'!J16</f>
        <v>30270164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107747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227428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13937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1497762</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1497762</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20448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268593095</v>
      </c>
      <c r="D4995" s="2" t="str">
        <f t="shared" si="77"/>
        <v>Error?</v>
      </c>
    </row>
    <row r="4996" spans="1:4" x14ac:dyDescent="0.2">
      <c r="A4996" s="12">
        <v>4935</v>
      </c>
      <c r="B4996" s="138">
        <f>'FP Info 3'!H31</f>
        <v>18532923.555</v>
      </c>
      <c r="D4996" s="2" t="str">
        <f t="shared" si="77"/>
        <v>Error?</v>
      </c>
    </row>
    <row r="4997" spans="1:4" x14ac:dyDescent="0.2">
      <c r="A4997" s="12">
        <v>4936</v>
      </c>
      <c r="B4997" s="138">
        <f>'FP Info 3'!H37</f>
        <v>52800000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6168065</v>
      </c>
      <c r="D5061" s="2" t="str">
        <f t="shared" si="78"/>
        <v>Error?</v>
      </c>
    </row>
    <row r="5062" spans="1:4" x14ac:dyDescent="0.2">
      <c r="A5062" s="10">
        <v>5001</v>
      </c>
      <c r="D5062" s="2" t="str">
        <f t="shared" si="78"/>
        <v>OK</v>
      </c>
    </row>
    <row r="5063" spans="1:4" x14ac:dyDescent="0.2">
      <c r="A5063" s="5">
        <v>5002</v>
      </c>
      <c r="B5063" s="138">
        <f>'Revenues 9-14'!C7</f>
        <v>299357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6467422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1161720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1161720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394702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394702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22194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11966</v>
      </c>
      <c r="D5094" s="2" t="str">
        <f t="shared" si="78"/>
        <v>Error?</v>
      </c>
    </row>
    <row r="5095" spans="1:4" x14ac:dyDescent="0.2">
      <c r="A5095" s="5">
        <v>5034</v>
      </c>
      <c r="B5095" s="138">
        <f>'Revenues 9-14'!C74</f>
        <v>12919</v>
      </c>
      <c r="D5095" s="2" t="str">
        <f t="shared" si="78"/>
        <v>Error?</v>
      </c>
    </row>
    <row r="5096" spans="1:4" x14ac:dyDescent="0.2">
      <c r="A5096" s="5">
        <v>5035</v>
      </c>
      <c r="B5096" s="138">
        <f>'Revenues 9-14'!C75</f>
        <v>47079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18361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18361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273276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492807</v>
      </c>
      <c r="D5119" s="2" t="str">
        <f t="shared" ref="D5119:D5182" si="79">IF(ISBLANK(B5119),"OK",IF(A5119-B5119=0,"OK","Error?"))</f>
        <v>Error?</v>
      </c>
    </row>
    <row r="5120" spans="1:4" x14ac:dyDescent="0.2">
      <c r="A5120" s="5">
        <v>5059</v>
      </c>
      <c r="B5120" s="138">
        <f>'Revenues 9-14'!C108</f>
        <v>766083</v>
      </c>
      <c r="C5120" s="2" t="s">
        <v>594</v>
      </c>
      <c r="D5120" s="2" t="str">
        <f t="shared" si="79"/>
        <v>Error?</v>
      </c>
    </row>
    <row r="5121" spans="1:4" x14ac:dyDescent="0.2">
      <c r="A5121" s="5">
        <v>5060</v>
      </c>
      <c r="B5121" s="138">
        <f>'Revenues 9-14'!C109</f>
        <v>8855367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21091123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21091123</v>
      </c>
      <c r="C5132" s="2" t="s">
        <v>594</v>
      </c>
      <c r="D5132" s="2" t="str">
        <f t="shared" si="79"/>
        <v>Error?</v>
      </c>
    </row>
    <row r="5133" spans="1:4" x14ac:dyDescent="0.2">
      <c r="A5133" s="5">
        <v>5072</v>
      </c>
      <c r="B5133" s="138">
        <f>'Revenues 9-14'!C124</f>
        <v>78751</v>
      </c>
      <c r="D5133" s="2" t="str">
        <f t="shared" si="79"/>
        <v>Error?</v>
      </c>
    </row>
    <row r="5134" spans="1:4" x14ac:dyDescent="0.2">
      <c r="A5134" s="5">
        <v>5073</v>
      </c>
      <c r="B5134" s="138">
        <f>'Revenues 9-14'!C125</f>
        <v>245236</v>
      </c>
      <c r="D5134" s="2" t="str">
        <f t="shared" si="79"/>
        <v>Error?</v>
      </c>
    </row>
    <row r="5135" spans="1:4" x14ac:dyDescent="0.2">
      <c r="A5135" s="5">
        <v>5074</v>
      </c>
      <c r="B5135" s="138">
        <f>'Revenues 9-14'!C126</f>
        <v>403357</v>
      </c>
      <c r="D5135" s="2" t="str">
        <f t="shared" si="79"/>
        <v>Error?</v>
      </c>
    </row>
    <row r="5136" spans="1:4" x14ac:dyDescent="0.2">
      <c r="A5136" s="10">
        <v>5075</v>
      </c>
      <c r="D5136" s="2" t="str">
        <f t="shared" si="79"/>
        <v>OK</v>
      </c>
    </row>
    <row r="5137" spans="1:4" x14ac:dyDescent="0.2">
      <c r="A5137" s="5">
        <v>5076</v>
      </c>
      <c r="B5137" s="138">
        <f>'Revenues 9-14'!C127</f>
        <v>138760</v>
      </c>
      <c r="D5137" s="2" t="str">
        <f t="shared" si="79"/>
        <v>Error?</v>
      </c>
    </row>
    <row r="5138" spans="1:4" x14ac:dyDescent="0.2">
      <c r="A5138" s="10">
        <v>5077</v>
      </c>
      <c r="D5138" s="2" t="str">
        <f t="shared" si="79"/>
        <v>OK</v>
      </c>
    </row>
    <row r="5139" spans="1:4" x14ac:dyDescent="0.2">
      <c r="A5139" s="5">
        <v>5078</v>
      </c>
      <c r="B5139" s="138">
        <f>'Revenues 9-14'!C128</f>
        <v>14908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23985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904997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291801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291801</v>
      </c>
      <c r="C5165" s="2" t="s">
        <v>594</v>
      </c>
      <c r="D5165" s="2" t="str">
        <f t="shared" si="79"/>
        <v>Error?</v>
      </c>
    </row>
    <row r="5166" spans="1:4" x14ac:dyDescent="0.2">
      <c r="A5166" s="10">
        <v>5105</v>
      </c>
      <c r="D5166" s="2" t="str">
        <f t="shared" si="79"/>
        <v>OK</v>
      </c>
    </row>
    <row r="5167" spans="1:4" x14ac:dyDescent="0.2">
      <c r="A5167" s="5">
        <v>5106</v>
      </c>
      <c r="B5167" s="138">
        <f>'Revenues 9-14'!C145</f>
        <v>33319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948951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2199516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23290639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1655621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416855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2072476</v>
      </c>
      <c r="C5246" s="2" t="s">
        <v>594</v>
      </c>
      <c r="D5246" s="2" t="str">
        <f t="shared" si="80"/>
        <v>Error?</v>
      </c>
    </row>
    <row r="5247" spans="1:4" x14ac:dyDescent="0.2">
      <c r="A5247" s="5">
        <v>5186</v>
      </c>
      <c r="B5247" s="138">
        <f>'Revenues 9-14'!C203</f>
        <v>3224795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13937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3224795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29274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652728</v>
      </c>
      <c r="D5278" s="2" t="str">
        <f t="shared" si="81"/>
        <v>Error?</v>
      </c>
    </row>
    <row r="5279" spans="1:4" x14ac:dyDescent="0.2">
      <c r="A5279" s="5">
        <v>5218</v>
      </c>
      <c r="B5279" s="138">
        <f>'Revenues 9-14'!C221</f>
        <v>58307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740309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86190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220283</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6693165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6693165</v>
      </c>
      <c r="C5326" s="2" t="s">
        <v>594</v>
      </c>
      <c r="D5326" s="2" t="str">
        <f t="shared" si="82"/>
        <v>Error?</v>
      </c>
    </row>
    <row r="5327" spans="1:4" x14ac:dyDescent="0.2">
      <c r="A5327" s="5">
        <v>5266</v>
      </c>
      <c r="B5327" s="138">
        <f>'Revenues 9-14'!C275</f>
        <v>38839171</v>
      </c>
      <c r="C5327" s="2" t="s">
        <v>594</v>
      </c>
      <c r="D5327" s="2" t="str">
        <f t="shared" si="82"/>
        <v>Error?</v>
      </c>
    </row>
    <row r="5328" spans="1:4" x14ac:dyDescent="0.2">
      <c r="A5328" s="5">
        <v>5267</v>
      </c>
      <c r="B5328" s="138">
        <f>'Revenues 9-14'!D5</f>
        <v>889787</v>
      </c>
      <c r="D5328" s="2" t="str">
        <f t="shared" si="82"/>
        <v>Error?</v>
      </c>
    </row>
    <row r="5329" spans="1:4" x14ac:dyDescent="0.2">
      <c r="A5329" s="10">
        <v>5268</v>
      </c>
      <c r="D5329" s="2" t="str">
        <f t="shared" si="82"/>
        <v>OK</v>
      </c>
    </row>
    <row r="5330" spans="1:4" x14ac:dyDescent="0.2">
      <c r="A5330" s="5">
        <v>5269</v>
      </c>
      <c r="B5330" s="138">
        <f>'Revenues 9-14'!D6</f>
        <v>90337</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980124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900</v>
      </c>
      <c r="C5355" s="2" t="s">
        <v>594</v>
      </c>
      <c r="D5355" s="2" t="str">
        <f t="shared" si="82"/>
        <v>Error?</v>
      </c>
    </row>
    <row r="5356" spans="1:4" x14ac:dyDescent="0.2">
      <c r="A5356" s="5">
        <v>5295</v>
      </c>
      <c r="B5356" s="138">
        <f>'Revenues 9-14'!D109</f>
        <v>981024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4000000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4000000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4000000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4981024</v>
      </c>
      <c r="C5508" s="2" t="s">
        <v>594</v>
      </c>
      <c r="D5508" s="2" t="str">
        <f t="shared" si="85"/>
        <v>Error?</v>
      </c>
    </row>
    <row r="5509" spans="1:4" x14ac:dyDescent="0.2">
      <c r="A5509" s="5">
        <v>5448</v>
      </c>
      <c r="B5509" s="138">
        <f>'Revenues 9-14'!E5</f>
        <v>859822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859822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859830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2357592</v>
      </c>
      <c r="C5552" s="2" t="s">
        <v>594</v>
      </c>
      <c r="D5552" s="2" t="str">
        <f t="shared" si="85"/>
        <v>Error?</v>
      </c>
    </row>
    <row r="5553" spans="1:4" x14ac:dyDescent="0.2">
      <c r="A5553" s="5">
        <v>5492</v>
      </c>
      <c r="B5553" s="138">
        <f>'Revenues 9-14'!F5</f>
        <v>860085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860085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23187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23187</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883272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174961</v>
      </c>
      <c r="D5615" s="2" t="str">
        <f t="shared" si="86"/>
        <v>Error?</v>
      </c>
    </row>
    <row r="5616" spans="1:4" x14ac:dyDescent="0.2">
      <c r="A5616" s="10">
        <v>5555</v>
      </c>
      <c r="D5616" s="2" t="str">
        <f t="shared" si="86"/>
        <v>OK</v>
      </c>
    </row>
    <row r="5617" spans="1:4" x14ac:dyDescent="0.2">
      <c r="A5617" s="5">
        <v>5556</v>
      </c>
      <c r="B5617" s="138">
        <f>'Revenues 9-14'!F152</f>
        <v>624377</v>
      </c>
      <c r="D5617" s="2" t="str">
        <f t="shared" si="86"/>
        <v>Error?</v>
      </c>
    </row>
    <row r="5618" spans="1:4" x14ac:dyDescent="0.2">
      <c r="A5618" s="5">
        <v>5557</v>
      </c>
      <c r="B5618" s="138">
        <f>'Revenues 9-14'!F154</f>
        <v>799338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799338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799338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1682610</v>
      </c>
      <c r="C5720" s="2" t="s">
        <v>594</v>
      </c>
      <c r="D5720" s="2" t="str">
        <f t="shared" si="88"/>
        <v>Error?</v>
      </c>
    </row>
    <row r="5721" spans="1:4" x14ac:dyDescent="0.2">
      <c r="A5721" s="5">
        <v>5660</v>
      </c>
      <c r="B5721" s="138">
        <f>'Revenues 9-14'!G5</f>
        <v>576770</v>
      </c>
      <c r="D5721" s="2" t="str">
        <f t="shared" si="88"/>
        <v>Error?</v>
      </c>
    </row>
    <row r="5722" spans="1:4" x14ac:dyDescent="0.2">
      <c r="A5722" s="5">
        <v>5661</v>
      </c>
      <c r="B5722" s="138">
        <f>'Revenues 9-14'!G7</f>
        <v>0</v>
      </c>
      <c r="D5722" s="2" t="str">
        <f t="shared" si="88"/>
        <v>Error?</v>
      </c>
    </row>
    <row r="5723" spans="1:4" x14ac:dyDescent="0.2">
      <c r="A5723" s="5">
        <v>5662</v>
      </c>
      <c r="B5723" s="138">
        <f>'Revenues 9-14'!G8</f>
        <v>577607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1154377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594</v>
      </c>
      <c r="D5730" s="2" t="str">
        <f t="shared" si="88"/>
        <v>Error?</v>
      </c>
    </row>
    <row r="5731" spans="1:4" x14ac:dyDescent="0.2">
      <c r="A5731" s="5">
        <v>5670</v>
      </c>
      <c r="B5731" s="138">
        <f>'Revenues 9-14'!G65</f>
        <v>4204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4204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1208581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723143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723143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16250</v>
      </c>
      <c r="D5885" s="2" t="str">
        <f t="shared" si="90"/>
        <v>Error?</v>
      </c>
    </row>
    <row r="5886" spans="1:4" x14ac:dyDescent="0.2">
      <c r="A5886" s="5">
        <v>5825</v>
      </c>
      <c r="B5886" s="138">
        <f>'Revenues 9-14'!H108</f>
        <v>16250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739393</v>
      </c>
      <c r="C5915" s="2" t="s">
        <v>594</v>
      </c>
      <c r="D5915" s="2" t="str">
        <f t="shared" si="91"/>
        <v>Error?</v>
      </c>
    </row>
    <row r="5916" spans="1:4" x14ac:dyDescent="0.2">
      <c r="A5916" s="5">
        <v>5855</v>
      </c>
      <c r="B5916" s="138">
        <f>'Revenues 9-14'!I5</f>
        <v>80946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80946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80946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74866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74866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7273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7273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82139</v>
      </c>
      <c r="C6023" s="2" t="s">
        <v>594</v>
      </c>
      <c r="D6023" s="2" t="str">
        <f t="shared" si="93"/>
        <v>Error?</v>
      </c>
    </row>
    <row r="6024" spans="1:5" x14ac:dyDescent="0.2">
      <c r="A6024" s="5">
        <v>5963</v>
      </c>
      <c r="B6024" s="138">
        <f>'Revenues 9-14'!G109</f>
        <v>1208581</v>
      </c>
      <c r="C6024" s="2" t="s">
        <v>594</v>
      </c>
      <c r="D6024" s="2" t="str">
        <f t="shared" si="93"/>
        <v>Error?</v>
      </c>
    </row>
    <row r="6025" spans="1:5" x14ac:dyDescent="0.2">
      <c r="A6025" s="5">
        <v>5964</v>
      </c>
      <c r="B6025" s="138">
        <f>'Revenues 9-14'!H109</f>
        <v>739393</v>
      </c>
      <c r="C6025" s="2" t="s">
        <v>594</v>
      </c>
      <c r="D6025" s="2" t="str">
        <f t="shared" si="93"/>
        <v>Error?</v>
      </c>
    </row>
    <row r="6026" spans="1:5" x14ac:dyDescent="0.2">
      <c r="A6026" s="5">
        <v>5965</v>
      </c>
      <c r="B6026" s="138">
        <f>'Revenues 9-14'!I109</f>
        <v>80946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82139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179070.41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2747.99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5833</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607048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607048</v>
      </c>
      <c r="D6215" s="2" t="str">
        <f t="shared" si="96"/>
        <v>Error?</v>
      </c>
      <c r="E6215" s="2" t="s">
        <v>199</v>
      </c>
    </row>
    <row r="6216" spans="1:5" x14ac:dyDescent="0.2">
      <c r="A6216">
        <v>6155</v>
      </c>
      <c r="B6216" s="138">
        <f>'Assets-Liab 5-6'!J41</f>
        <v>607048</v>
      </c>
      <c r="D6216" s="2" t="str">
        <f t="shared" si="96"/>
        <v>Error?</v>
      </c>
      <c r="E6216" s="2" t="s">
        <v>199</v>
      </c>
    </row>
    <row r="6217" spans="1:5" x14ac:dyDescent="0.2">
      <c r="A6217">
        <v>6156</v>
      </c>
      <c r="B6217" s="138">
        <f>'Assets-Liab 5-6'!J4</f>
        <v>607048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-65437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-65437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-65437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-65437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-65437</v>
      </c>
      <c r="D6263" s="2" t="str">
        <f t="shared" si="96"/>
        <v>Error?</v>
      </c>
      <c r="E6263" s="2" t="s">
        <v>199</v>
      </c>
    </row>
    <row r="6264" spans="1:5" x14ac:dyDescent="0.2">
      <c r="A6264">
        <v>6203</v>
      </c>
      <c r="B6264" s="138">
        <f>'Acct Summary 7-8'!J79</f>
        <v>672485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607048</v>
      </c>
      <c r="D6266" s="2" t="str">
        <f t="shared" si="96"/>
        <v>Error?</v>
      </c>
      <c r="E6266" s="2" t="s">
        <v>199</v>
      </c>
    </row>
    <row r="6267" spans="1:5" x14ac:dyDescent="0.2">
      <c r="A6267">
        <v>6206</v>
      </c>
      <c r="B6267" s="138">
        <f>'Acct Summary 7-8'!C82</f>
        <v>2970779</v>
      </c>
      <c r="D6267" s="2" t="str">
        <f t="shared" si="96"/>
        <v>Error?</v>
      </c>
      <c r="E6267" s="2" t="s">
        <v>199</v>
      </c>
    </row>
    <row r="6268" spans="1:5" x14ac:dyDescent="0.2">
      <c r="A6268">
        <v>6207</v>
      </c>
      <c r="B6268" s="138">
        <f>'Acct Summary 7-8'!D82</f>
        <v>2298793</v>
      </c>
      <c r="D6268" s="2" t="str">
        <f t="shared" si="96"/>
        <v>Error?</v>
      </c>
      <c r="E6268" s="2" t="s">
        <v>199</v>
      </c>
    </row>
    <row r="6269" spans="1:5" x14ac:dyDescent="0.2">
      <c r="A6269">
        <v>6208</v>
      </c>
      <c r="B6269" s="138">
        <f>'Acct Summary 7-8'!E82</f>
        <v>-1117553</v>
      </c>
      <c r="D6269" s="2" t="str">
        <f t="shared" si="96"/>
        <v>Error?</v>
      </c>
      <c r="E6269" s="2" t="s">
        <v>199</v>
      </c>
    </row>
    <row r="6270" spans="1:5" x14ac:dyDescent="0.2">
      <c r="A6270">
        <v>6209</v>
      </c>
      <c r="B6270" s="138">
        <f>'Acct Summary 7-8'!F82</f>
        <v>455700</v>
      </c>
      <c r="D6270" s="2" t="str">
        <f t="shared" si="96"/>
        <v>Error?</v>
      </c>
      <c r="E6270" s="2" t="s">
        <v>199</v>
      </c>
    </row>
    <row r="6271" spans="1:5" x14ac:dyDescent="0.2">
      <c r="A6271">
        <v>6210</v>
      </c>
      <c r="B6271" s="138">
        <f>'Acct Summary 7-8'!G82</f>
        <v>-326513</v>
      </c>
      <c r="D6271" s="2" t="str">
        <f t="shared" ref="D6271:D6334" si="97">IF(ISBLANK(B6271),"OK",IF(A6271-B6271=0,"OK","Error?"))</f>
        <v>Error?</v>
      </c>
      <c r="E6271" s="2" t="s">
        <v>199</v>
      </c>
    </row>
    <row r="6272" spans="1:5" x14ac:dyDescent="0.2">
      <c r="A6272">
        <v>6211</v>
      </c>
      <c r="B6272" s="138">
        <f>'Acct Summary 7-8'!H82</f>
        <v>-2151227</v>
      </c>
      <c r="D6272" s="2" t="str">
        <f t="shared" si="97"/>
        <v>Error?</v>
      </c>
      <c r="E6272" s="2" t="s">
        <v>199</v>
      </c>
    </row>
    <row r="6273" spans="1:5" x14ac:dyDescent="0.2">
      <c r="A6273">
        <v>6212</v>
      </c>
      <c r="B6273" s="138">
        <f>'Acct Summary 7-8'!I82</f>
        <v>1580946</v>
      </c>
      <c r="D6273" s="2" t="str">
        <f t="shared" si="97"/>
        <v>Error?</v>
      </c>
      <c r="E6273" s="2" t="s">
        <v>199</v>
      </c>
    </row>
    <row r="6274" spans="1:5" x14ac:dyDescent="0.2">
      <c r="A6274">
        <v>6213</v>
      </c>
      <c r="B6274" s="138">
        <f>'Acct Summary 7-8'!J82</f>
        <v>-65437</v>
      </c>
      <c r="D6274" s="2" t="str">
        <f t="shared" si="97"/>
        <v>Error?</v>
      </c>
      <c r="E6274" s="2" t="s">
        <v>199</v>
      </c>
    </row>
    <row r="6275" spans="1:5" x14ac:dyDescent="0.2">
      <c r="A6275">
        <v>6214</v>
      </c>
      <c r="B6275" s="138">
        <f>'Acct Summary 7-8'!K82</f>
        <v>82139</v>
      </c>
      <c r="D6275" s="2" t="str">
        <f t="shared" si="97"/>
        <v>Error?</v>
      </c>
      <c r="E6275" s="2" t="s">
        <v>199</v>
      </c>
    </row>
    <row r="6276" spans="1:5" x14ac:dyDescent="0.2">
      <c r="A6276">
        <v>6215</v>
      </c>
      <c r="B6276" s="138">
        <f>'Acct Summary 7-8'!C83</f>
        <v>0.16260463286358756</v>
      </c>
      <c r="D6276" s="2" t="str">
        <f t="shared" si="97"/>
        <v>Error?</v>
      </c>
      <c r="E6276" s="2" t="s">
        <v>199</v>
      </c>
    </row>
    <row r="6277" spans="1:5" x14ac:dyDescent="0.2">
      <c r="A6277">
        <v>6216</v>
      </c>
      <c r="B6277" s="138">
        <f>'Acct Summary 7-8'!D83</f>
        <v>1.5214816952381078</v>
      </c>
      <c r="D6277" s="2" t="str">
        <f t="shared" si="97"/>
        <v>Error?</v>
      </c>
      <c r="E6277" s="2" t="s">
        <v>199</v>
      </c>
    </row>
    <row r="6278" spans="1:5" x14ac:dyDescent="0.2">
      <c r="A6278">
        <v>6217</v>
      </c>
      <c r="B6278" s="138">
        <f>'Acct Summary 7-8'!E83</f>
        <v>0.93013692131373216</v>
      </c>
      <c r="D6278" s="2" t="str">
        <f t="shared" si="97"/>
        <v>Error?</v>
      </c>
      <c r="E6278" s="2" t="s">
        <v>199</v>
      </c>
    </row>
    <row r="6279" spans="1:5" x14ac:dyDescent="0.2">
      <c r="A6279">
        <v>6218</v>
      </c>
      <c r="B6279" s="138">
        <f>'Acct Summary 7-8'!F83</f>
        <v>0.16628055181644261</v>
      </c>
      <c r="D6279" s="2" t="str">
        <f t="shared" si="97"/>
        <v>Error?</v>
      </c>
      <c r="E6279" s="2" t="s">
        <v>199</v>
      </c>
    </row>
    <row r="6280" spans="1:5" x14ac:dyDescent="0.2">
      <c r="A6280">
        <v>6219</v>
      </c>
      <c r="B6280" s="138">
        <f>'Acct Summary 7-8'!G83</f>
        <v>4.4629989065062876</v>
      </c>
      <c r="D6280" s="2" t="str">
        <f t="shared" si="97"/>
        <v>Error?</v>
      </c>
      <c r="E6280" s="2" t="s">
        <v>199</v>
      </c>
    </row>
    <row r="6281" spans="1:5" x14ac:dyDescent="0.2">
      <c r="A6281">
        <v>6220</v>
      </c>
      <c r="B6281" s="138">
        <f>'Acct Summary 7-8'!H83</f>
        <v>-4.2985780581365395E-2</v>
      </c>
      <c r="D6281" s="2" t="str">
        <f t="shared" si="97"/>
        <v>Error?</v>
      </c>
      <c r="E6281" s="2" t="s">
        <v>199</v>
      </c>
    </row>
    <row r="6282" spans="1:5" x14ac:dyDescent="0.2">
      <c r="A6282">
        <v>6221</v>
      </c>
      <c r="B6282" s="138">
        <f>'Acct Summary 7-8'!I83</f>
        <v>0.20402538673552231</v>
      </c>
      <c r="D6282" s="2" t="str">
        <f t="shared" si="97"/>
        <v>Error?</v>
      </c>
      <c r="E6282" s="2" t="s">
        <v>199</v>
      </c>
    </row>
    <row r="6283" spans="1:5" x14ac:dyDescent="0.2">
      <c r="A6283">
        <v>6222</v>
      </c>
      <c r="B6283" s="138">
        <f>'Acct Summary 7-8'!J83</f>
        <v>-0.10779542968595564</v>
      </c>
      <c r="D6283" s="2" t="str">
        <f t="shared" si="97"/>
        <v>Error?</v>
      </c>
      <c r="E6283" s="2" t="s">
        <v>199</v>
      </c>
    </row>
    <row r="6284" spans="1:5" x14ac:dyDescent="0.2">
      <c r="A6284">
        <v>6223</v>
      </c>
      <c r="B6284" s="138">
        <f>'Acct Summary 7-8'!K83</f>
        <v>0.16272172938020768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-74421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-74421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8984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8984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-65437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1497762</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1497762</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15335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107140</v>
      </c>
      <c r="D6853" s="2" t="str">
        <f t="shared" si="106"/>
        <v>Error?</v>
      </c>
    </row>
    <row r="6854" spans="1:4" x14ac:dyDescent="0.2">
      <c r="A6854">
        <v>6793</v>
      </c>
      <c r="B6854" s="138">
        <f>'Expenditures 15-22'!I10</f>
        <v>18135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2008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4603</v>
      </c>
      <c r="D6880" s="2" t="str">
        <f t="shared" si="106"/>
        <v>Error?</v>
      </c>
    </row>
    <row r="6881" spans="1:4" x14ac:dyDescent="0.2">
      <c r="A6881">
        <v>6820</v>
      </c>
      <c r="B6881" s="138">
        <f>'Expenditures 15-22'!K22</f>
        <v>4603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35478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1898</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582597</v>
      </c>
      <c r="D6932" s="2" t="str">
        <f t="shared" si="107"/>
        <v>Error?</v>
      </c>
    </row>
    <row r="6933" spans="1:4" x14ac:dyDescent="0.2">
      <c r="A6933">
        <v>6872</v>
      </c>
      <c r="B6933" s="138">
        <f>'Expenditures 15-22'!D52</f>
        <v>127300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709897</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1898</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27996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27996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1699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1699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31593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16912</v>
      </c>
      <c r="D6981" s="2" t="str">
        <f t="shared" si="108"/>
        <v>Error?</v>
      </c>
    </row>
    <row r="6982" spans="1:4" x14ac:dyDescent="0.2">
      <c r="A6982">
        <v>6921</v>
      </c>
      <c r="B6982" s="138">
        <f>'Expenditures 15-22'!K85</f>
        <v>16912</v>
      </c>
      <c r="D6982" s="2" t="str">
        <f t="shared" si="108"/>
        <v>Error?</v>
      </c>
    </row>
    <row r="6983" spans="1:4" x14ac:dyDescent="0.2">
      <c r="A6983">
        <v>6922</v>
      </c>
      <c r="B6983" s="138">
        <f>'Expenditures 15-22'!H86</f>
        <v>1413697</v>
      </c>
      <c r="D6983" s="2" t="str">
        <f t="shared" si="108"/>
        <v>Error?</v>
      </c>
    </row>
    <row r="6984" spans="1:4" x14ac:dyDescent="0.2">
      <c r="A6984">
        <v>6923</v>
      </c>
      <c r="B6984" s="138">
        <f>'Expenditures 15-22'!K86</f>
        <v>1413697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1430609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67071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350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350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350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350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-65437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700</v>
      </c>
      <c r="D7075" s="2" t="str">
        <f t="shared" si="109"/>
        <v>Error?</v>
      </c>
    </row>
    <row r="7076" spans="1:4" x14ac:dyDescent="0.2">
      <c r="A7076">
        <v>7015</v>
      </c>
      <c r="B7076" s="138">
        <f>'Expenditures 15-22'!K218</f>
        <v>700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66425</v>
      </c>
      <c r="D7093" s="2" t="str">
        <f t="shared" si="109"/>
        <v>Error?</v>
      </c>
    </row>
    <row r="7094" spans="1:4" x14ac:dyDescent="0.2">
      <c r="A7094">
        <v>7033</v>
      </c>
      <c r="B7094" s="138">
        <f>'Expenditures 15-22'!K254</f>
        <v>66425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-65437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48929</v>
      </c>
      <c r="D7251" s="2" t="str">
        <f t="shared" si="112"/>
        <v>Error?</v>
      </c>
    </row>
    <row r="7252" spans="1:4" x14ac:dyDescent="0.2">
      <c r="A7252">
        <f t="shared" si="113"/>
        <v>7191</v>
      </c>
      <c r="B7252" s="138">
        <f>'Expenditures 15-22'!D9</f>
        <v>9863</v>
      </c>
      <c r="D7252" s="2" t="str">
        <f t="shared" si="112"/>
        <v>Error?</v>
      </c>
    </row>
    <row r="7253" spans="1:4" x14ac:dyDescent="0.2">
      <c r="A7253">
        <f t="shared" si="113"/>
        <v>7192</v>
      </c>
      <c r="B7253" s="138">
        <f>'Expenditures 15-22'!E9</f>
        <v>9314</v>
      </c>
      <c r="D7253" s="2" t="str">
        <f t="shared" si="112"/>
        <v>Error?</v>
      </c>
    </row>
    <row r="7254" spans="1:4" x14ac:dyDescent="0.2">
      <c r="A7254">
        <f t="shared" si="113"/>
        <v>7193</v>
      </c>
      <c r="B7254" s="138">
        <f>'Expenditures 15-22'!F9</f>
        <v>39034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1859022.26</v>
      </c>
      <c r="D7606" s="2" t="str">
        <f t="shared" si="122"/>
        <v>Error?</v>
      </c>
      <c r="E7606" s="2" t="s">
        <v>19</v>
      </c>
    </row>
    <row r="7607" spans="1:5" x14ac:dyDescent="0.2">
      <c r="A7607">
        <f t="shared" si="123"/>
        <v>7546</v>
      </c>
      <c r="B7607" s="138">
        <f>'Cap Outlay Deprec 26'!D9</f>
        <v>970703.44</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2829725.7</v>
      </c>
      <c r="D7609" s="2" t="str">
        <f t="shared" si="122"/>
        <v>Error?</v>
      </c>
      <c r="E7609" s="2" t="s">
        <v>19</v>
      </c>
    </row>
    <row r="7610" spans="1:5" x14ac:dyDescent="0.2">
      <c r="A7610">
        <f t="shared" si="123"/>
        <v>7549</v>
      </c>
      <c r="B7610" s="138">
        <f>'Cap Outlay Deprec 26'!H9</f>
        <v>179141.89</v>
      </c>
      <c r="D7610" s="2" t="str">
        <f t="shared" si="122"/>
        <v>Error?</v>
      </c>
      <c r="E7610" s="2" t="s">
        <v>19</v>
      </c>
    </row>
    <row r="7611" spans="1:5" x14ac:dyDescent="0.2">
      <c r="A7611">
        <f t="shared" si="123"/>
        <v>7550</v>
      </c>
      <c r="B7611" s="138">
        <f>'Cap Outlay Deprec 26'!I9</f>
        <v>93775.55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272917.44</v>
      </c>
      <c r="D7613" s="2" t="str">
        <f t="shared" si="122"/>
        <v>Error?</v>
      </c>
      <c r="E7613" s="2" t="s">
        <v>19</v>
      </c>
    </row>
    <row r="7614" spans="1:5" x14ac:dyDescent="0.2">
      <c r="A7614">
        <f t="shared" si="123"/>
        <v>7553</v>
      </c>
      <c r="B7614" s="138">
        <f>'Cap Outlay Deprec 26'!L9</f>
        <v>2556808.2600000002</v>
      </c>
      <c r="D7614" s="2" t="str">
        <f t="shared" si="122"/>
        <v>Error?</v>
      </c>
      <c r="E7614" s="2" t="s">
        <v>19</v>
      </c>
    </row>
    <row r="7615" spans="1:5" x14ac:dyDescent="0.2">
      <c r="A7615">
        <f t="shared" si="123"/>
        <v>7554</v>
      </c>
      <c r="B7615" s="138">
        <f>'Cap Outlay Deprec 26'!C14</f>
        <v>217490.93</v>
      </c>
      <c r="D7615" s="2" t="str">
        <f t="shared" ref="D7615:D7678" si="124">IF(ISBLANK(B7615),"OK",IF(A7615-B7615=0,"OK","Error?"))</f>
        <v>Error?</v>
      </c>
      <c r="E7615" s="2" t="s">
        <v>19</v>
      </c>
    </row>
    <row r="7616" spans="1:5" x14ac:dyDescent="0.2">
      <c r="A7616">
        <f t="shared" si="123"/>
        <v>7555</v>
      </c>
      <c r="B7616" s="138">
        <f>'Cap Outlay Deprec 26'!D14</f>
        <v>56812.69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274303.62</v>
      </c>
      <c r="D7618" s="2" t="str">
        <f t="shared" si="124"/>
        <v>Error?</v>
      </c>
      <c r="E7618" s="2" t="s">
        <v>19</v>
      </c>
    </row>
    <row r="7619" spans="1:5" x14ac:dyDescent="0.2">
      <c r="A7619">
        <f t="shared" si="123"/>
        <v>7558</v>
      </c>
      <c r="B7619" s="138">
        <f>'Cap Outlay Deprec 26'!H14</f>
        <v>143252.95000000001</v>
      </c>
      <c r="D7619" s="2" t="str">
        <f t="shared" si="124"/>
        <v>Error?</v>
      </c>
      <c r="E7619" s="2" t="s">
        <v>19</v>
      </c>
    </row>
    <row r="7620" spans="1:5" x14ac:dyDescent="0.2">
      <c r="A7620">
        <f t="shared" si="123"/>
        <v>7559</v>
      </c>
      <c r="B7620" s="138">
        <f>'Cap Outlay Deprec 26'!I14</f>
        <v>55216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198468.95</v>
      </c>
      <c r="D7622" s="2" t="str">
        <f t="shared" si="124"/>
        <v>Error?</v>
      </c>
      <c r="E7622" s="2" t="s">
        <v>19</v>
      </c>
    </row>
    <row r="7623" spans="1:5" x14ac:dyDescent="0.2">
      <c r="A7623">
        <f t="shared" si="123"/>
        <v>7562</v>
      </c>
      <c r="B7623" s="138">
        <f>'Cap Outlay Deprec 26'!L14</f>
        <v>75834.669999999984</v>
      </c>
      <c r="D7623" s="2" t="str">
        <f t="shared" si="124"/>
        <v>Error?</v>
      </c>
      <c r="E7623" s="2" t="s">
        <v>19</v>
      </c>
    </row>
    <row r="7624" spans="1:5" x14ac:dyDescent="0.2">
      <c r="A7624">
        <f t="shared" si="123"/>
        <v>7563</v>
      </c>
      <c r="B7624" s="138">
        <f>'Cap Outlay Deprec 26'!F17</f>
        <v>67421</v>
      </c>
      <c r="D7624" s="2" t="str">
        <f t="shared" si="124"/>
        <v>Error?</v>
      </c>
      <c r="E7624" s="2" t="s">
        <v>19</v>
      </c>
    </row>
    <row r="7625" spans="1:5" x14ac:dyDescent="0.2">
      <c r="A7625">
        <f t="shared" si="123"/>
        <v>7564</v>
      </c>
      <c r="B7625" s="138">
        <f>'Cap Outlay Deprec 26'!I17</f>
        <v>6742.1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647295.9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299357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1497762</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3657961</v>
      </c>
      <c r="D7797" s="2" t="str">
        <f t="shared" si="127"/>
        <v>Error?</v>
      </c>
      <c r="E7797" s="4" t="s">
        <v>2015</v>
      </c>
    </row>
    <row r="7798" spans="1:5" x14ac:dyDescent="0.2">
      <c r="A7798">
        <v>7737</v>
      </c>
      <c r="B7798" s="138">
        <f>'Contracts Paid in CY 29'!F141</f>
        <v>671424</v>
      </c>
      <c r="D7798" s="2" t="str">
        <f t="shared" si="127"/>
        <v>Error?</v>
      </c>
      <c r="E7798" s="4" t="s">
        <v>2015</v>
      </c>
    </row>
    <row r="7799" spans="1:5" x14ac:dyDescent="0.2">
      <c r="A7799">
        <v>7738</v>
      </c>
      <c r="B7799" s="138">
        <f>'Contracts Paid in CY 29'!G141</f>
        <v>2986537</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zoomScale="110" zoomScaleNormal="110" workbookViewId="0">
      <selection activeCell="Q14" sqref="Q1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573" t="s">
        <v>1253</v>
      </c>
      <c r="B2" s="2573"/>
      <c r="C2" s="2573"/>
      <c r="D2" s="2573"/>
      <c r="E2" s="2573"/>
      <c r="F2" s="2573"/>
      <c r="G2" s="2573"/>
      <c r="H2" s="2573"/>
      <c r="I2" s="2573"/>
      <c r="J2" s="2573"/>
      <c r="K2" s="2573"/>
      <c r="L2" s="2573"/>
    </row>
    <row r="3" spans="1:29" ht="13.5" customHeight="1" x14ac:dyDescent="0.2">
      <c r="A3" s="2559" t="s">
        <v>1252</v>
      </c>
      <c r="B3" s="2559"/>
      <c r="C3" s="2559"/>
      <c r="D3" s="2559"/>
      <c r="E3" s="2559"/>
      <c r="F3" s="2559"/>
      <c r="G3" s="2559"/>
      <c r="H3" s="2559"/>
      <c r="I3" s="2559"/>
      <c r="J3" s="2559"/>
      <c r="K3" s="2559"/>
      <c r="L3" s="2559"/>
    </row>
    <row r="4" spans="1:29" ht="13.5" customHeight="1" x14ac:dyDescent="0.2">
      <c r="A4" s="2573" t="s">
        <v>1798</v>
      </c>
      <c r="B4" s="2590"/>
      <c r="C4" s="2590"/>
      <c r="D4" s="2590"/>
      <c r="E4" s="2590"/>
      <c r="F4" s="2590"/>
      <c r="G4" s="2590"/>
      <c r="H4" s="2590"/>
      <c r="I4" s="2590"/>
      <c r="J4" s="2590"/>
      <c r="K4" s="2590"/>
      <c r="L4" s="259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553" t="str">
        <f>COVER!A17</f>
        <v>Chicago Heights School District 170</v>
      </c>
      <c r="B7" s="2554"/>
      <c r="C7" s="2554"/>
      <c r="D7" s="2591"/>
      <c r="E7" s="2592">
        <f>COVER!A13</f>
        <v>17016170002</v>
      </c>
      <c r="F7" s="2593"/>
      <c r="G7" s="2560">
        <f>COVER!T23</f>
        <v>0</v>
      </c>
      <c r="H7" s="2561"/>
      <c r="I7" s="2561"/>
      <c r="J7" s="2561"/>
      <c r="K7" s="2561"/>
      <c r="L7" s="256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563"/>
      <c r="B9" s="2564"/>
      <c r="C9" s="2564"/>
      <c r="D9" s="2564"/>
      <c r="E9" s="2564"/>
      <c r="F9" s="2565"/>
      <c r="G9" s="2566" t="str">
        <f>COVER!T13</f>
        <v>GW &amp; Associates, P.C.</v>
      </c>
      <c r="H9" s="2567"/>
      <c r="I9" s="2567"/>
      <c r="J9" s="2567"/>
      <c r="K9" s="2567"/>
      <c r="L9" s="2568"/>
    </row>
    <row r="10" spans="1:29" ht="13.5" customHeight="1" x14ac:dyDescent="0.2">
      <c r="A10" s="2550" t="str">
        <f>COVER!A38</f>
        <v>Thomas Amadio</v>
      </c>
      <c r="B10" s="2551"/>
      <c r="C10" s="2551"/>
      <c r="D10" s="2551"/>
      <c r="E10" s="2551"/>
      <c r="F10" s="2552"/>
      <c r="G10" s="2566" t="str">
        <f>COVER!T17</f>
        <v>4415 West Harrison Street</v>
      </c>
      <c r="H10" s="2579"/>
      <c r="I10" s="2579"/>
      <c r="J10" s="2579"/>
      <c r="K10" s="2579"/>
      <c r="L10" s="2580"/>
    </row>
    <row r="11" spans="1:29" ht="13.5" customHeight="1" x14ac:dyDescent="0.2">
      <c r="A11" s="1185" t="s">
        <v>1599</v>
      </c>
      <c r="B11" s="1186"/>
      <c r="C11" s="1187"/>
      <c r="D11" s="1192"/>
      <c r="E11" s="1187"/>
      <c r="F11" s="1191"/>
      <c r="G11" s="2566" t="str">
        <f>COVER!T19</f>
        <v>Hillside</v>
      </c>
      <c r="H11" s="2579"/>
      <c r="I11" s="2579"/>
      <c r="J11" s="2579"/>
      <c r="K11" s="2579"/>
      <c r="L11" s="2580"/>
    </row>
    <row r="12" spans="1:29" ht="13.5" customHeight="1" x14ac:dyDescent="0.2">
      <c r="A12" s="2584" t="s">
        <v>1598</v>
      </c>
      <c r="B12" s="2585"/>
      <c r="C12" s="2585"/>
      <c r="D12" s="2585"/>
      <c r="E12" s="2585"/>
      <c r="F12" s="2586"/>
      <c r="G12" s="2581"/>
      <c r="H12" s="2582"/>
      <c r="I12" s="2582"/>
      <c r="J12" s="2582"/>
      <c r="K12" s="2582"/>
      <c r="L12" s="2583"/>
    </row>
    <row r="13" spans="1:29" ht="13.5" customHeight="1" x14ac:dyDescent="0.2">
      <c r="A13" s="2566"/>
      <c r="B13" s="2579"/>
      <c r="C13" s="2579"/>
      <c r="D13" s="2579"/>
      <c r="E13" s="2579"/>
      <c r="F13" s="2580"/>
      <c r="G13" s="2574" t="s">
        <v>1600</v>
      </c>
      <c r="H13" s="2575"/>
      <c r="I13" s="2587" t="str">
        <f>COVER!T25</f>
        <v>john.wysocki@cpagwa.com</v>
      </c>
      <c r="J13" s="2588"/>
      <c r="K13" s="2588"/>
      <c r="L13" s="2589"/>
    </row>
    <row r="14" spans="1:29" ht="13.5" customHeight="1" x14ac:dyDescent="0.2">
      <c r="A14" s="2566" t="str">
        <f>COVER!A19</f>
        <v>30 W 16th Street</v>
      </c>
      <c r="B14" s="2579"/>
      <c r="C14" s="2579"/>
      <c r="D14" s="2579"/>
      <c r="E14" s="2579"/>
      <c r="F14" s="2580"/>
      <c r="G14" s="1196" t="s">
        <v>1247</v>
      </c>
      <c r="H14" s="1194"/>
      <c r="I14" s="1194"/>
      <c r="J14" s="1194"/>
      <c r="K14" s="1194"/>
      <c r="L14" s="1195"/>
    </row>
    <row r="15" spans="1:29" ht="13.5" customHeight="1" x14ac:dyDescent="0.2">
      <c r="A15" s="2566" t="str">
        <f>COVER!A21</f>
        <v xml:space="preserve">Chicago Heights, IL </v>
      </c>
      <c r="B15" s="2579"/>
      <c r="C15" s="2579"/>
      <c r="D15" s="2579"/>
      <c r="E15" s="2579"/>
      <c r="F15" s="2580"/>
      <c r="G15" s="2576" t="str">
        <f>COVER!T15</f>
        <v>John Wysocki, CPA</v>
      </c>
      <c r="H15" s="2577"/>
      <c r="I15" s="2577"/>
      <c r="J15" s="2577"/>
      <c r="K15" s="2577"/>
      <c r="L15" s="2578"/>
    </row>
    <row r="16" spans="1:29" ht="12.2" customHeight="1" x14ac:dyDescent="0.2">
      <c r="A16" s="2556">
        <f>COVER!A25</f>
        <v>60411</v>
      </c>
      <c r="B16" s="2557"/>
      <c r="C16" s="2557"/>
      <c r="D16" s="2557"/>
      <c r="E16" s="2557"/>
      <c r="F16" s="2558"/>
      <c r="G16" s="2569"/>
      <c r="H16" s="2570"/>
      <c r="I16" s="2570"/>
      <c r="J16" s="2570"/>
      <c r="K16" s="2570"/>
      <c r="L16" s="2571"/>
    </row>
    <row r="17" spans="1:13" ht="12.2" customHeight="1" x14ac:dyDescent="0.2">
      <c r="A17" s="2572"/>
      <c r="B17" s="2557"/>
      <c r="C17" s="2557"/>
      <c r="D17" s="2557"/>
      <c r="E17" s="2557"/>
      <c r="F17" s="2558"/>
      <c r="G17" s="1196" t="s">
        <v>1246</v>
      </c>
      <c r="H17" s="1194"/>
      <c r="I17" s="1194"/>
      <c r="J17" s="1194"/>
      <c r="K17" s="1198" t="s">
        <v>1245</v>
      </c>
      <c r="L17" s="1191"/>
      <c r="M17" s="1184"/>
    </row>
    <row r="18" spans="1:13" ht="12.2" customHeight="1" x14ac:dyDescent="0.2">
      <c r="A18" s="2550"/>
      <c r="B18" s="2551"/>
      <c r="C18" s="2551"/>
      <c r="D18" s="2551"/>
      <c r="E18" s="2551"/>
      <c r="F18" s="2552"/>
      <c r="G18" s="2553" t="str">
        <f>COVER!T21</f>
        <v>(708)755-8182</v>
      </c>
      <c r="H18" s="2554"/>
      <c r="I18" s="2554"/>
      <c r="J18" s="2554"/>
      <c r="K18" s="2553" t="str">
        <f>COVER!X21</f>
        <v>(708)755-8326</v>
      </c>
      <c r="L18" s="255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4" zoomScale="125" zoomScaleNormal="125" workbookViewId="0">
      <selection activeCell="H20" sqref="H2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594" t="str">
        <f>'Single Audit Cover'!A7</f>
        <v>Chicago Heights School District 170</v>
      </c>
      <c r="B1" s="2590"/>
      <c r="C1" s="2590"/>
      <c r="D1" s="2590"/>
    </row>
    <row r="2" spans="1:11" s="1215" customFormat="1" ht="12.75" x14ac:dyDescent="0.2">
      <c r="A2" s="2595">
        <f>'Single Audit Cover'!E7</f>
        <v>17016170002</v>
      </c>
      <c r="B2" s="2596"/>
      <c r="C2" s="2596"/>
      <c r="D2" s="2596"/>
    </row>
    <row r="3" spans="1:11" s="1215" customFormat="1" ht="12.75" x14ac:dyDescent="0.2">
      <c r="A3" s="2594" t="s">
        <v>1593</v>
      </c>
      <c r="B3" s="2590"/>
      <c r="C3" s="2590"/>
      <c r="D3" s="259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598" t="str">
        <f>'Single Audit Cover'!A7</f>
        <v>Chicago Heights School District 170</v>
      </c>
      <c r="B1" s="2598"/>
      <c r="C1" s="2598"/>
      <c r="D1" s="2598"/>
      <c r="E1" s="2598"/>
    </row>
    <row r="2" spans="1:5" x14ac:dyDescent="0.2">
      <c r="A2" s="2599">
        <f>'Single Audit Cover'!E7</f>
        <v>17016170002</v>
      </c>
      <c r="B2" s="2599"/>
      <c r="C2" s="2599"/>
      <c r="D2" s="2599"/>
      <c r="E2" s="2599"/>
    </row>
    <row r="3" spans="1:5" ht="4.5" customHeight="1" x14ac:dyDescent="0.2"/>
    <row r="4" spans="1:5" x14ac:dyDescent="0.2">
      <c r="A4" s="2598" t="s">
        <v>1307</v>
      </c>
      <c r="B4" s="2598"/>
      <c r="C4" s="2598"/>
      <c r="D4" s="2598"/>
      <c r="E4" s="2598"/>
    </row>
    <row r="5" spans="1:5" x14ac:dyDescent="0.2">
      <c r="A5" s="2601" t="str">
        <f>'Single Audit Cover'!A4</f>
        <v>Year Ending June 30, 2018</v>
      </c>
      <c r="B5" s="2601"/>
      <c r="C5" s="2601"/>
      <c r="D5" s="2601"/>
      <c r="E5" s="2601"/>
    </row>
    <row r="6" spans="1:5" x14ac:dyDescent="0.2">
      <c r="A6" s="2598" t="s">
        <v>1306</v>
      </c>
      <c r="B6" s="2598"/>
      <c r="C6" s="2598"/>
      <c r="D6" s="2598"/>
      <c r="E6" s="2598"/>
    </row>
    <row r="8" spans="1:5" x14ac:dyDescent="0.2">
      <c r="A8" s="1260" t="s">
        <v>1305</v>
      </c>
    </row>
    <row r="10" spans="1:5" x14ac:dyDescent="0.2">
      <c r="A10" s="1261" t="s">
        <v>1304</v>
      </c>
      <c r="B10" s="1262" t="s">
        <v>1303</v>
      </c>
      <c r="C10" s="1262"/>
      <c r="D10" s="1263">
        <f>SUM('Acct Summary 7-8'!C7:K7)</f>
        <v>8190927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179070.41</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-227428</v>
      </c>
    </row>
    <row r="19" spans="1:4" ht="13.5" thickBot="1" x14ac:dyDescent="0.25">
      <c r="A19" s="1265" t="s">
        <v>1297</v>
      </c>
      <c r="D19" s="1266">
        <f>SUM(D10:D17)</f>
        <v>8142569.4100000001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600" t="s">
        <v>2176</v>
      </c>
      <c r="B24" s="2600"/>
      <c r="D24" s="1268">
        <v>-179070</v>
      </c>
    </row>
    <row r="25" spans="1:4" x14ac:dyDescent="0.2">
      <c r="A25" s="2597" t="s">
        <v>2177</v>
      </c>
      <c r="B25" s="2597"/>
      <c r="D25" s="1268">
        <v>-1497762</v>
      </c>
    </row>
    <row r="26" spans="1:4" x14ac:dyDescent="0.2">
      <c r="A26" s="2597"/>
      <c r="B26" s="2597"/>
      <c r="D26" s="1268"/>
    </row>
    <row r="27" spans="1:4" x14ac:dyDescent="0.2">
      <c r="A27" s="2597"/>
      <c r="B27" s="2597"/>
      <c r="D27" s="1268"/>
    </row>
    <row r="28" spans="1:4" x14ac:dyDescent="0.2">
      <c r="A28" s="2597"/>
      <c r="B28" s="2597"/>
      <c r="D28" s="1268"/>
    </row>
    <row r="29" spans="1:4" x14ac:dyDescent="0.2">
      <c r="A29" s="2597"/>
      <c r="B29" s="2597"/>
      <c r="D29" s="1268"/>
    </row>
    <row r="30" spans="1:4" x14ac:dyDescent="0.2">
      <c r="A30" s="2597"/>
      <c r="B30" s="2597"/>
      <c r="D30" s="1268"/>
    </row>
    <row r="32" spans="1:4" x14ac:dyDescent="0.2">
      <c r="A32" s="1260" t="s">
        <v>1295</v>
      </c>
      <c r="D32" s="1263">
        <f>SUM(D19:D30)</f>
        <v>6465737.4100000001</v>
      </c>
    </row>
    <row r="33" spans="1:4" x14ac:dyDescent="0.2">
      <c r="D33" s="1269"/>
    </row>
    <row r="34" spans="1:4" x14ac:dyDescent="0.2">
      <c r="A34" s="317" t="s">
        <v>1294</v>
      </c>
    </row>
    <row r="35" spans="1:4" x14ac:dyDescent="0.2">
      <c r="A35" s="317" t="s">
        <v>1293</v>
      </c>
      <c r="B35" s="1258" t="s">
        <v>1292</v>
      </c>
      <c r="D35" s="1270">
        <f>' SEFA'!F70</f>
        <v>6465737</v>
      </c>
    </row>
    <row r="37" spans="1:4" x14ac:dyDescent="0.2">
      <c r="A37" s="1260" t="s">
        <v>1291</v>
      </c>
    </row>
    <row r="39" spans="1:4" ht="13.35" customHeight="1" x14ac:dyDescent="0.2">
      <c r="A39" s="1267" t="s">
        <v>1290</v>
      </c>
    </row>
    <row r="40" spans="1:4" x14ac:dyDescent="0.2">
      <c r="A40" s="2597"/>
      <c r="B40" s="2597"/>
      <c r="D40" s="1268"/>
    </row>
    <row r="41" spans="1:4" x14ac:dyDescent="0.2">
      <c r="A41" s="2597"/>
      <c r="B41" s="2597"/>
      <c r="D41" s="1271"/>
    </row>
    <row r="42" spans="1:4" x14ac:dyDescent="0.2">
      <c r="A42" s="2597"/>
      <c r="B42" s="2597"/>
      <c r="D42" s="1271"/>
    </row>
    <row r="43" spans="1:4" x14ac:dyDescent="0.2">
      <c r="A43" s="2597"/>
      <c r="B43" s="2597"/>
      <c r="D43" s="1271"/>
    </row>
    <row r="44" spans="1:4" x14ac:dyDescent="0.2">
      <c r="A44" s="2597"/>
      <c r="B44" s="2597"/>
      <c r="D44" s="1271"/>
    </row>
    <row r="45" spans="1:4" x14ac:dyDescent="0.2">
      <c r="A45" s="2597"/>
      <c r="B45" s="2597"/>
      <c r="D45" s="1271"/>
    </row>
    <row r="47" spans="1:4" x14ac:dyDescent="0.2">
      <c r="B47" s="1272" t="s">
        <v>1289</v>
      </c>
      <c r="C47" s="1272"/>
      <c r="D47" s="1273">
        <f>SUM(D35:D45)</f>
        <v>6465737</v>
      </c>
    </row>
    <row r="49" spans="2:4" x14ac:dyDescent="0.2">
      <c r="B49" s="1272" t="s">
        <v>1288</v>
      </c>
      <c r="C49" s="1272"/>
      <c r="D49" s="1273">
        <f>D32-D47</f>
        <v>0.41000000014901161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603" t="str">
        <f>'Single Audit Cover'!A7</f>
        <v>Chicago Heights School District 170</v>
      </c>
      <c r="B1" s="2603"/>
      <c r="C1" s="2603"/>
      <c r="D1" s="2603"/>
      <c r="E1" s="2603"/>
      <c r="F1" s="2603"/>
    </row>
    <row r="2" spans="1:7" ht="13.5" customHeight="1" x14ac:dyDescent="0.2">
      <c r="A2" s="2604">
        <f>'Single Audit Cover'!E7</f>
        <v>17016170002</v>
      </c>
      <c r="B2" s="2604"/>
      <c r="C2" s="2604"/>
      <c r="D2" s="2604"/>
      <c r="E2" s="2604"/>
      <c r="F2" s="2604"/>
      <c r="G2" s="1275"/>
    </row>
    <row r="3" spans="1:7" ht="15.75" customHeight="1" x14ac:dyDescent="0.2">
      <c r="A3" s="2605" t="s">
        <v>1333</v>
      </c>
      <c r="B3" s="2605"/>
      <c r="C3" s="2605"/>
      <c r="D3" s="2605"/>
      <c r="E3" s="2605"/>
      <c r="F3" s="2605"/>
    </row>
    <row r="4" spans="1:7" ht="13.5" customHeight="1" x14ac:dyDescent="0.2">
      <c r="A4" s="2606" t="str">
        <f>'Single Audit Cover'!A4</f>
        <v>Year Ending June 30, 2018</v>
      </c>
      <c r="B4" s="2606"/>
      <c r="C4" s="2606"/>
      <c r="D4" s="2606"/>
      <c r="E4" s="2606"/>
      <c r="F4" s="2606"/>
    </row>
    <row r="5" spans="1:7" ht="8.25" customHeight="1" x14ac:dyDescent="0.2">
      <c r="C5" s="317"/>
      <c r="D5" s="317"/>
    </row>
    <row r="6" spans="1:7" ht="13.5" customHeight="1" x14ac:dyDescent="0.2">
      <c r="A6" s="1276" t="s">
        <v>1830</v>
      </c>
      <c r="C6" s="317"/>
      <c r="D6" s="317"/>
    </row>
    <row r="7" spans="1:7" ht="60.95" customHeight="1" x14ac:dyDescent="0.2">
      <c r="A7" s="2602" t="s">
        <v>2287</v>
      </c>
      <c r="B7" s="2602"/>
      <c r="C7" s="2602"/>
      <c r="D7" s="2602"/>
      <c r="E7" s="2602"/>
      <c r="F7" s="2602"/>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2"/>
      <c r="D11" s="1280"/>
      <c r="E11" s="1922"/>
      <c r="F11" s="1280"/>
      <c r="G11" s="1278"/>
    </row>
    <row r="12" spans="1:7" x14ac:dyDescent="0.2">
      <c r="A12" s="1276" t="s">
        <v>1669</v>
      </c>
      <c r="C12" s="1260"/>
      <c r="D12" s="1260"/>
    </row>
    <row r="13" spans="1:7" ht="15" customHeight="1" x14ac:dyDescent="0.2">
      <c r="A13" s="2602" t="s">
        <v>2289</v>
      </c>
      <c r="B13" s="2602"/>
      <c r="C13" s="2602"/>
      <c r="D13" s="2602"/>
      <c r="E13" s="2602"/>
      <c r="F13" s="2602"/>
    </row>
    <row r="14" spans="1:7" ht="9.75" customHeight="1" x14ac:dyDescent="0.2">
      <c r="C14" s="1260"/>
      <c r="D14" s="1260"/>
    </row>
    <row r="15" spans="1:7" ht="13.5" customHeight="1" x14ac:dyDescent="0.2">
      <c r="C15" s="1866" t="s">
        <v>1332</v>
      </c>
      <c r="D15" s="2608" t="s">
        <v>1331</v>
      </c>
      <c r="E15" s="2608"/>
      <c r="F15" s="2608"/>
    </row>
    <row r="16" spans="1:7" ht="13.5" customHeight="1" x14ac:dyDescent="0.2">
      <c r="A16" s="1282"/>
      <c r="B16" s="1276" t="s">
        <v>1330</v>
      </c>
      <c r="C16" s="1866" t="s">
        <v>1329</v>
      </c>
      <c r="D16" s="2609" t="s">
        <v>1670</v>
      </c>
      <c r="E16" s="2609"/>
      <c r="F16" s="2609"/>
    </row>
    <row r="17" spans="1:6" ht="20.45" customHeight="1" x14ac:dyDescent="0.2">
      <c r="A17" s="1283"/>
      <c r="B17" s="1284" t="s">
        <v>2169</v>
      </c>
      <c r="C17" s="1285"/>
      <c r="D17" s="2607"/>
      <c r="E17" s="2607"/>
      <c r="F17" s="2607"/>
    </row>
    <row r="18" spans="1:6" ht="20.65" customHeight="1" x14ac:dyDescent="0.2">
      <c r="A18" s="1283"/>
      <c r="B18" s="1284"/>
      <c r="C18" s="1285"/>
      <c r="D18" s="2607"/>
      <c r="E18" s="2607"/>
      <c r="F18" s="2607"/>
    </row>
    <row r="19" spans="1:6" ht="20.65" customHeight="1" x14ac:dyDescent="0.2">
      <c r="A19" s="1283"/>
      <c r="B19" s="1284"/>
      <c r="C19" s="1285"/>
      <c r="D19" s="2607"/>
      <c r="E19" s="2607"/>
      <c r="F19" s="2607"/>
    </row>
    <row r="20" spans="1:6" ht="20.65" customHeight="1" x14ac:dyDescent="0.2">
      <c r="A20" s="1283"/>
      <c r="B20" s="1284"/>
      <c r="C20" s="1285"/>
      <c r="D20" s="2607"/>
      <c r="E20" s="2607"/>
      <c r="F20" s="2607"/>
    </row>
    <row r="21" spans="1:6" ht="20.65" customHeight="1" x14ac:dyDescent="0.2">
      <c r="A21" s="1283"/>
      <c r="B21" s="1284"/>
      <c r="C21" s="1285"/>
      <c r="D21" s="2607"/>
      <c r="E21" s="2607"/>
      <c r="F21" s="2607"/>
    </row>
    <row r="22" spans="1:6" ht="20.65" customHeight="1" x14ac:dyDescent="0.2">
      <c r="A22" s="1283"/>
      <c r="B22" s="1284"/>
      <c r="C22" s="1285"/>
      <c r="D22" s="2607"/>
      <c r="E22" s="2607"/>
      <c r="F22" s="2607"/>
    </row>
    <row r="23" spans="1:6" ht="20.65" customHeight="1" x14ac:dyDescent="0.2">
      <c r="A23" s="1283"/>
      <c r="B23" s="1284"/>
      <c r="C23" s="1285"/>
      <c r="D23" s="2607"/>
      <c r="E23" s="2607"/>
      <c r="F23" s="2607"/>
    </row>
    <row r="24" spans="1:6" ht="20.65" customHeight="1" x14ac:dyDescent="0.2">
      <c r="A24" s="1283"/>
      <c r="B24" s="1284"/>
      <c r="C24" s="1285"/>
      <c r="D24" s="2607"/>
      <c r="E24" s="2607"/>
      <c r="F24" s="2607"/>
    </row>
    <row r="25" spans="1:6" ht="20.65" customHeight="1" x14ac:dyDescent="0.2">
      <c r="A25" s="1283"/>
      <c r="B25" s="1284"/>
      <c r="C25" s="1285"/>
      <c r="D25" s="2607"/>
      <c r="E25" s="2607"/>
      <c r="F25" s="2607"/>
    </row>
    <row r="26" spans="1:6" ht="20.65" customHeight="1" x14ac:dyDescent="0.2">
      <c r="A26" s="1283"/>
      <c r="B26" s="1284"/>
      <c r="C26" s="1285"/>
      <c r="D26" s="2607"/>
      <c r="E26" s="2607"/>
      <c r="F26" s="2607"/>
    </row>
    <row r="27" spans="1:6" ht="20.65" customHeight="1" x14ac:dyDescent="0.2">
      <c r="A27" s="1283"/>
      <c r="B27" s="1284"/>
      <c r="C27" s="1285"/>
      <c r="D27" s="2607"/>
      <c r="E27" s="2607"/>
      <c r="F27" s="2607"/>
    </row>
    <row r="28" spans="1:6" ht="20.65" customHeight="1" x14ac:dyDescent="0.2">
      <c r="A28" s="1283"/>
      <c r="B28" s="1284"/>
      <c r="C28" s="1285"/>
      <c r="D28" s="2607"/>
      <c r="E28" s="2607"/>
      <c r="F28" s="2607"/>
    </row>
    <row r="29" spans="1:6" ht="20.65" customHeight="1" x14ac:dyDescent="0.2">
      <c r="A29" s="1283"/>
      <c r="B29" s="1284"/>
      <c r="C29" s="1285"/>
      <c r="D29" s="2607"/>
      <c r="E29" s="2607"/>
      <c r="F29" s="2607"/>
    </row>
    <row r="30" spans="1:6" ht="12" customHeight="1" x14ac:dyDescent="0.2">
      <c r="A30" s="328"/>
      <c r="B30" s="328"/>
      <c r="C30" s="1476"/>
      <c r="D30" s="1923"/>
      <c r="E30" s="1286"/>
    </row>
    <row r="31" spans="1:6" ht="12" customHeight="1" x14ac:dyDescent="0.2">
      <c r="A31" s="1287" t="s">
        <v>1630</v>
      </c>
      <c r="B31" s="328"/>
      <c r="C31" s="1476"/>
      <c r="D31" s="1923"/>
      <c r="E31" s="1286"/>
    </row>
    <row r="32" spans="1:6" ht="30" customHeight="1" x14ac:dyDescent="0.2">
      <c r="A32" s="2611" t="s">
        <v>2288</v>
      </c>
      <c r="B32" s="2611"/>
      <c r="C32" s="2611"/>
      <c r="D32" s="2611"/>
      <c r="E32" s="2611"/>
      <c r="F32" s="2611"/>
    </row>
    <row r="33" spans="1:6" ht="13.5" customHeight="1" x14ac:dyDescent="0.2">
      <c r="A33" s="328" t="s">
        <v>1509</v>
      </c>
      <c r="B33" s="328"/>
      <c r="C33" s="1288">
        <v>179070</v>
      </c>
      <c r="D33" s="1923"/>
      <c r="E33" s="1286"/>
    </row>
    <row r="34" spans="1:6" ht="13.5" customHeight="1" x14ac:dyDescent="0.2">
      <c r="A34" s="328" t="s">
        <v>1944</v>
      </c>
      <c r="B34" s="328"/>
      <c r="C34" s="1289">
        <v>0</v>
      </c>
      <c r="D34" s="1923" t="s">
        <v>1671</v>
      </c>
      <c r="E34" s="2612">
        <f>+C33+C34</f>
        <v>179070</v>
      </c>
      <c r="F34" s="2613"/>
    </row>
    <row r="35" spans="1:6" ht="12" customHeight="1" x14ac:dyDescent="0.2">
      <c r="A35" s="328"/>
      <c r="B35" s="328"/>
      <c r="C35" s="1924"/>
      <c r="D35" s="1923"/>
      <c r="E35" s="1290"/>
      <c r="F35" s="1291"/>
    </row>
    <row r="36" spans="1:6" ht="13.5" customHeight="1" x14ac:dyDescent="0.2">
      <c r="A36" s="1287" t="s">
        <v>1631</v>
      </c>
      <c r="B36" s="328"/>
      <c r="C36" s="1476"/>
      <c r="D36" s="1923"/>
      <c r="E36" s="1286"/>
    </row>
    <row r="37" spans="1:6" ht="14.25" customHeight="1" x14ac:dyDescent="0.2">
      <c r="A37" s="328" t="s">
        <v>1563</v>
      </c>
      <c r="B37" s="328"/>
      <c r="C37" s="1925"/>
      <c r="D37" s="1923"/>
      <c r="E37" s="1286"/>
    </row>
    <row r="38" spans="1:6" ht="14.25" customHeight="1" x14ac:dyDescent="0.2">
      <c r="A38" s="328"/>
      <c r="B38" s="328" t="s">
        <v>1510</v>
      </c>
      <c r="C38" s="1292">
        <v>0</v>
      </c>
      <c r="D38" s="1923"/>
      <c r="E38" s="1286"/>
    </row>
    <row r="39" spans="1:6" ht="14.25" customHeight="1" x14ac:dyDescent="0.2">
      <c r="A39" s="328"/>
      <c r="B39" s="328" t="s">
        <v>1511</v>
      </c>
      <c r="C39" s="1292">
        <v>0</v>
      </c>
      <c r="D39" s="1923"/>
      <c r="E39" s="1286"/>
    </row>
    <row r="40" spans="1:6" ht="14.25" customHeight="1" x14ac:dyDescent="0.2">
      <c r="A40" s="328"/>
      <c r="B40" s="328" t="s">
        <v>1512</v>
      </c>
      <c r="C40" s="1292">
        <v>0</v>
      </c>
      <c r="D40" s="1923"/>
      <c r="E40" s="1286"/>
    </row>
    <row r="41" spans="1:6" ht="14.25" customHeight="1" x14ac:dyDescent="0.2">
      <c r="A41" s="328"/>
      <c r="B41" s="328" t="s">
        <v>1513</v>
      </c>
      <c r="C41" s="1292">
        <v>0</v>
      </c>
      <c r="D41" s="1923"/>
      <c r="E41" s="1286"/>
    </row>
    <row r="42" spans="1:6" ht="14.25" customHeight="1" x14ac:dyDescent="0.2">
      <c r="A42" s="328" t="s">
        <v>1514</v>
      </c>
      <c r="B42" s="328"/>
      <c r="C42" s="1921">
        <v>0</v>
      </c>
      <c r="D42" s="1923"/>
      <c r="E42" s="1286"/>
    </row>
    <row r="43" spans="1:6" ht="14.25" customHeight="1" x14ac:dyDescent="0.2">
      <c r="A43" s="328" t="s">
        <v>1515</v>
      </c>
      <c r="B43" s="328"/>
      <c r="C43" s="1293" t="s">
        <v>401</v>
      </c>
      <c r="D43" s="1923"/>
      <c r="E43" s="1286"/>
    </row>
    <row r="44" spans="1:6" ht="14.25" customHeight="1" x14ac:dyDescent="0.2">
      <c r="A44" s="328"/>
      <c r="B44" s="328"/>
      <c r="C44" s="1925" t="s">
        <v>1516</v>
      </c>
      <c r="D44" s="1923"/>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614" t="s">
        <v>1672</v>
      </c>
      <c r="C49" s="2614"/>
      <c r="D49" s="2614"/>
      <c r="E49" s="1397"/>
    </row>
    <row r="50" spans="1:5" s="1300" customFormat="1" ht="3.75" customHeight="1" x14ac:dyDescent="0.2">
      <c r="A50" s="1299"/>
      <c r="B50" s="1865"/>
      <c r="C50" s="1865"/>
      <c r="D50" s="1865"/>
      <c r="E50" s="1397"/>
    </row>
    <row r="51" spans="1:5" s="1300" customFormat="1" ht="20.25" customHeight="1" x14ac:dyDescent="0.2">
      <c r="A51" s="1301">
        <v>6</v>
      </c>
      <c r="B51" s="2610" t="s">
        <v>1632</v>
      </c>
      <c r="C51" s="2610"/>
      <c r="D51" s="2610"/>
    </row>
    <row r="52" spans="1:5" ht="14.25" customHeight="1" x14ac:dyDescent="0.2">
      <c r="A52" s="1301"/>
      <c r="B52" s="2610"/>
      <c r="C52" s="2610"/>
      <c r="D52" s="261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207"/>
  <sheetViews>
    <sheetView showGridLines="0" zoomScaleNormal="100" workbookViewId="0">
      <selection activeCell="H69" sqref="H69"/>
    </sheetView>
  </sheetViews>
  <sheetFormatPr defaultColWidth="33.5703125" defaultRowHeight="12.75" x14ac:dyDescent="0.2"/>
  <cols>
    <col min="1" max="1" width="0.140625" style="317" customWidth="1"/>
    <col min="2" max="2" width="43.14062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559" t="str">
        <f>'Single Audit Cover'!A7</f>
        <v>Chicago Heights School District 170</v>
      </c>
      <c r="C1" s="2615"/>
      <c r="D1" s="2615"/>
      <c r="E1" s="2615"/>
      <c r="F1" s="2615"/>
      <c r="G1" s="2615"/>
      <c r="H1" s="2615"/>
      <c r="I1" s="2615"/>
      <c r="J1" s="2615"/>
      <c r="K1" s="2615"/>
      <c r="L1" s="2615"/>
      <c r="M1" s="2615"/>
    </row>
    <row r="2" spans="2:14" ht="15" x14ac:dyDescent="0.2">
      <c r="B2" s="2604">
        <f>'Single Audit Cover'!E7</f>
        <v>17016170002</v>
      </c>
      <c r="C2" s="2604"/>
      <c r="D2" s="2604"/>
      <c r="E2" s="2604"/>
      <c r="F2" s="2604"/>
      <c r="G2" s="2604"/>
      <c r="H2" s="2604"/>
      <c r="I2" s="2604"/>
      <c r="J2" s="2604"/>
      <c r="K2" s="2604"/>
      <c r="L2" s="2604"/>
      <c r="M2" s="2604"/>
      <c r="N2" s="1302"/>
    </row>
    <row r="3" spans="2:14" ht="15" x14ac:dyDescent="0.2">
      <c r="B3" s="2616" t="s">
        <v>1281</v>
      </c>
      <c r="C3" s="2616"/>
      <c r="D3" s="2616"/>
      <c r="E3" s="2616"/>
      <c r="F3" s="2616"/>
      <c r="G3" s="2616"/>
      <c r="H3" s="2616"/>
      <c r="I3" s="2616"/>
      <c r="J3" s="2616"/>
      <c r="K3" s="2616"/>
      <c r="L3" s="2616"/>
      <c r="M3" s="2616"/>
      <c r="N3" s="1302"/>
    </row>
    <row r="4" spans="2:14" ht="15" x14ac:dyDescent="0.2">
      <c r="B4" s="2617" t="str">
        <f>'Single Audit Cover'!A4</f>
        <v>Year Ending June 30, 2018</v>
      </c>
      <c r="C4" s="2617"/>
      <c r="D4" s="2617"/>
      <c r="E4" s="2617"/>
      <c r="F4" s="2617"/>
      <c r="G4" s="2617"/>
      <c r="H4" s="2617"/>
      <c r="I4" s="2617"/>
      <c r="J4" s="2617"/>
      <c r="K4" s="2617"/>
      <c r="L4" s="2617"/>
      <c r="M4" s="2617"/>
      <c r="N4" s="1302"/>
    </row>
    <row r="6" spans="2:14" x14ac:dyDescent="0.2">
      <c r="B6" s="1303"/>
      <c r="C6" s="1304"/>
      <c r="D6" s="1305" t="s">
        <v>1327</v>
      </c>
      <c r="E6" s="1306" t="s">
        <v>548</v>
      </c>
      <c r="F6" s="1307"/>
      <c r="G6" s="1308" t="s">
        <v>1833</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1834</v>
      </c>
      <c r="D9" s="1314" t="s">
        <v>1835</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2" t="s">
        <v>2109</v>
      </c>
      <c r="C11" s="1953"/>
      <c r="D11" s="1954"/>
      <c r="E11" s="1955"/>
      <c r="F11" s="1338"/>
      <c r="G11" s="1338"/>
      <c r="H11" s="1338"/>
      <c r="I11" s="1338"/>
      <c r="J11" s="1338"/>
      <c r="K11" s="1338"/>
      <c r="L11" s="1338">
        <f>+G11+I11+K11</f>
        <v>0</v>
      </c>
      <c r="M11" s="1338"/>
    </row>
    <row r="12" spans="2:14" ht="20.100000000000001" customHeight="1" x14ac:dyDescent="0.2">
      <c r="B12" s="1952" t="s">
        <v>2112</v>
      </c>
      <c r="C12" s="1956">
        <v>84.01</v>
      </c>
      <c r="D12" s="1957" t="s">
        <v>2110</v>
      </c>
      <c r="E12" s="1958">
        <v>0</v>
      </c>
      <c r="F12" s="1959">
        <f>1582788-11871</f>
        <v>1570917</v>
      </c>
      <c r="G12" s="1960">
        <v>0</v>
      </c>
      <c r="H12" s="1341"/>
      <c r="I12" s="1961">
        <v>1990573</v>
      </c>
      <c r="J12" s="1341"/>
      <c r="K12" s="1341"/>
      <c r="L12" s="1338">
        <f t="shared" ref="L12:L24" si="0">+G12+I12+K12</f>
        <v>1990573</v>
      </c>
      <c r="M12" s="1962">
        <v>2683072</v>
      </c>
    </row>
    <row r="13" spans="2:14" ht="20.100000000000001" customHeight="1" x14ac:dyDescent="0.2">
      <c r="B13" s="1952"/>
      <c r="C13" s="1956">
        <v>84.01</v>
      </c>
      <c r="D13" s="1957" t="s">
        <v>2111</v>
      </c>
      <c r="E13" s="1958">
        <v>1610316</v>
      </c>
      <c r="F13" s="1959">
        <v>1653878</v>
      </c>
      <c r="G13" s="1960">
        <v>2367719</v>
      </c>
      <c r="H13" s="1341"/>
      <c r="I13" s="1961">
        <v>896475</v>
      </c>
      <c r="J13" s="1341"/>
      <c r="K13" s="1341"/>
      <c r="L13" s="1338">
        <f t="shared" si="0"/>
        <v>3264194</v>
      </c>
      <c r="M13" s="1962">
        <v>3368746</v>
      </c>
    </row>
    <row r="14" spans="2:14" ht="20.100000000000001" customHeight="1" x14ac:dyDescent="0.2">
      <c r="B14" s="1951" t="s">
        <v>2113</v>
      </c>
      <c r="C14" s="1339"/>
      <c r="D14" s="1340"/>
      <c r="E14" s="1341">
        <f>SUM(E12:E13)</f>
        <v>1610316</v>
      </c>
      <c r="F14" s="1341">
        <f>SUM(F12:F13)</f>
        <v>3224795</v>
      </c>
      <c r="G14" s="1341">
        <f>SUM(G12:G13)</f>
        <v>2367719</v>
      </c>
      <c r="H14" s="1341"/>
      <c r="I14" s="1341">
        <f>SUM(I12:I13)</f>
        <v>2887048</v>
      </c>
      <c r="J14" s="1341"/>
      <c r="K14" s="1341"/>
      <c r="L14" s="1338">
        <f>SUM(L12:L13)</f>
        <v>5254767</v>
      </c>
      <c r="M14" s="1341">
        <f>SUM(M12:M13)</f>
        <v>6051818</v>
      </c>
    </row>
    <row r="15" spans="2:14" ht="20.100000000000001" customHeight="1" x14ac:dyDescent="0.2">
      <c r="B15" s="1337" t="s">
        <v>1231</v>
      </c>
      <c r="C15" s="1339"/>
      <c r="D15" s="1340"/>
      <c r="E15" s="1341"/>
      <c r="F15" s="1341"/>
      <c r="G15" s="1341"/>
      <c r="H15" s="1341"/>
      <c r="I15" s="1341"/>
      <c r="J15" s="1341"/>
      <c r="K15" s="1341"/>
      <c r="L15" s="1338"/>
      <c r="M15" s="1341"/>
    </row>
    <row r="16" spans="2:14" ht="20.100000000000001" customHeight="1" x14ac:dyDescent="0.2">
      <c r="B16" s="1963" t="s">
        <v>2114</v>
      </c>
      <c r="C16" s="1964">
        <v>84.364999999999995</v>
      </c>
      <c r="D16" s="1965" t="s">
        <v>2115</v>
      </c>
      <c r="E16" s="1966">
        <v>0</v>
      </c>
      <c r="F16" s="1968">
        <v>66834</v>
      </c>
      <c r="G16" s="1969">
        <v>0</v>
      </c>
      <c r="H16" s="1341"/>
      <c r="I16" s="1970">
        <v>109616</v>
      </c>
      <c r="J16" s="1341"/>
      <c r="K16" s="1341"/>
      <c r="L16" s="1338">
        <f t="shared" si="0"/>
        <v>109616</v>
      </c>
      <c r="M16" s="1974">
        <v>139292</v>
      </c>
    </row>
    <row r="17" spans="2:13" ht="20.100000000000001" customHeight="1" x14ac:dyDescent="0.2">
      <c r="B17" s="1963"/>
      <c r="C17" s="1964">
        <v>84.364999999999995</v>
      </c>
      <c r="D17" s="1965" t="s">
        <v>2116</v>
      </c>
      <c r="E17" s="1966">
        <v>64455</v>
      </c>
      <c r="F17" s="1968">
        <v>19356</v>
      </c>
      <c r="G17" s="1969">
        <v>82086</v>
      </c>
      <c r="H17" s="1341"/>
      <c r="I17" s="1970">
        <v>1725</v>
      </c>
      <c r="J17" s="1341"/>
      <c r="K17" s="1341"/>
      <c r="L17" s="1338">
        <f t="shared" si="0"/>
        <v>83811</v>
      </c>
      <c r="M17" s="1974">
        <v>123370</v>
      </c>
    </row>
    <row r="18" spans="2:13" ht="20.100000000000001" customHeight="1" x14ac:dyDescent="0.2">
      <c r="B18" s="1967" t="s">
        <v>2117</v>
      </c>
      <c r="C18" s="1339"/>
      <c r="D18" s="1340"/>
      <c r="E18" s="1341">
        <f>SUM(E16:E17)</f>
        <v>64455</v>
      </c>
      <c r="F18" s="1341">
        <f>SUM(F16:F17)</f>
        <v>86190</v>
      </c>
      <c r="G18" s="1341">
        <f>SUM(G16:G17)</f>
        <v>82086</v>
      </c>
      <c r="H18" s="1341"/>
      <c r="I18" s="1341">
        <f>SUM(I16:I17)</f>
        <v>111341</v>
      </c>
      <c r="J18" s="1341"/>
      <c r="K18" s="1341"/>
      <c r="L18" s="1338">
        <f>SUM(L16:L17)</f>
        <v>193427</v>
      </c>
      <c r="M18" s="1341">
        <f>SUM(M16:M17)</f>
        <v>262662</v>
      </c>
    </row>
    <row r="19" spans="2:13" ht="20.100000000000001" customHeight="1" x14ac:dyDescent="0.2">
      <c r="B19" s="1337"/>
      <c r="C19" s="1339"/>
      <c r="D19" s="1340"/>
      <c r="E19" s="1341"/>
      <c r="F19" s="1341"/>
      <c r="G19" s="1341"/>
      <c r="H19" s="1341"/>
      <c r="I19" s="1341"/>
      <c r="J19" s="1341"/>
      <c r="K19" s="1341"/>
      <c r="L19" s="1338"/>
      <c r="M19" s="1341"/>
    </row>
    <row r="20" spans="2:13" ht="20.100000000000001" customHeight="1" x14ac:dyDescent="0.2">
      <c r="B20" s="1975" t="s">
        <v>2118</v>
      </c>
      <c r="C20" s="1976">
        <v>84.367000000000004</v>
      </c>
      <c r="D20" s="1977" t="s">
        <v>2119</v>
      </c>
      <c r="E20" s="1978">
        <v>0</v>
      </c>
      <c r="F20" s="1979">
        <v>131851</v>
      </c>
      <c r="G20" s="1980">
        <v>0</v>
      </c>
      <c r="H20" s="1341"/>
      <c r="I20" s="1981">
        <v>239012</v>
      </c>
      <c r="J20" s="1341"/>
      <c r="K20" s="1341"/>
      <c r="L20" s="1338">
        <f t="shared" si="0"/>
        <v>239012</v>
      </c>
      <c r="M20" s="1982">
        <v>304471</v>
      </c>
    </row>
    <row r="21" spans="2:13" ht="20.100000000000001" customHeight="1" x14ac:dyDescent="0.2">
      <c r="B21" s="1975"/>
      <c r="C21" s="1976">
        <v>84.367000000000004</v>
      </c>
      <c r="D21" s="1977" t="s">
        <v>2120</v>
      </c>
      <c r="E21" s="1978">
        <v>178271</v>
      </c>
      <c r="F21" s="1979">
        <v>88432</v>
      </c>
      <c r="G21" s="1980">
        <v>270722</v>
      </c>
      <c r="H21" s="1341"/>
      <c r="I21" s="1981">
        <v>-3930</v>
      </c>
      <c r="J21" s="1341"/>
      <c r="K21" s="1341"/>
      <c r="L21" s="1338">
        <f t="shared" si="0"/>
        <v>266792</v>
      </c>
      <c r="M21" s="1982">
        <v>328129</v>
      </c>
    </row>
    <row r="22" spans="2:13" ht="20.100000000000001" customHeight="1" x14ac:dyDescent="0.2">
      <c r="B22" s="1983" t="s">
        <v>2121</v>
      </c>
      <c r="C22" s="1339"/>
      <c r="D22" s="1340"/>
      <c r="E22" s="1341">
        <f>SUM(E20:E21)</f>
        <v>178271</v>
      </c>
      <c r="F22" s="1341">
        <f>SUM(F20:F21)</f>
        <v>220283</v>
      </c>
      <c r="G22" s="1341">
        <f>SUM(G20:G21)</f>
        <v>270722</v>
      </c>
      <c r="H22" s="1341"/>
      <c r="I22" s="1341">
        <f>SUM(I20:I21)</f>
        <v>235082</v>
      </c>
      <c r="J22" s="1341"/>
      <c r="K22" s="1341"/>
      <c r="L22" s="1338">
        <f>SUM(L20:L21)</f>
        <v>505804</v>
      </c>
      <c r="M22" s="1341">
        <f>SUM(M20:M21)</f>
        <v>632600</v>
      </c>
    </row>
    <row r="23" spans="2:13" ht="20.100000000000001" customHeight="1" x14ac:dyDescent="0.2">
      <c r="B23" s="1337"/>
      <c r="C23" s="1339"/>
      <c r="D23" s="1340"/>
      <c r="E23" s="1341"/>
      <c r="F23" s="1341"/>
      <c r="G23" s="1341"/>
      <c r="H23" s="1341"/>
      <c r="I23" s="1341"/>
      <c r="J23" s="1341"/>
      <c r="K23" s="1341"/>
      <c r="L23" s="1338"/>
      <c r="M23" s="1341"/>
    </row>
    <row r="24" spans="2:13" ht="20.100000000000001" customHeight="1" x14ac:dyDescent="0.2">
      <c r="B24" s="1987" t="s">
        <v>2122</v>
      </c>
      <c r="C24" s="1988">
        <v>84.424000000000007</v>
      </c>
      <c r="D24" s="1989" t="s">
        <v>2123</v>
      </c>
      <c r="E24" s="1990">
        <v>0</v>
      </c>
      <c r="F24" s="1991">
        <v>13937</v>
      </c>
      <c r="G24" s="1992">
        <v>0</v>
      </c>
      <c r="H24" s="1341"/>
      <c r="I24" s="1993">
        <v>13937</v>
      </c>
      <c r="J24" s="1341"/>
      <c r="K24" s="1341"/>
      <c r="L24" s="1338">
        <f t="shared" si="0"/>
        <v>13937</v>
      </c>
      <c r="M24" s="1994">
        <v>53121</v>
      </c>
    </row>
    <row r="25" spans="2:13" ht="20.100000000000001" customHeight="1" x14ac:dyDescent="0.2">
      <c r="B25" s="1337"/>
      <c r="C25" s="1339"/>
      <c r="D25" s="1340"/>
      <c r="E25" s="1341"/>
      <c r="F25" s="1341"/>
      <c r="G25" s="1341"/>
      <c r="H25" s="1341"/>
      <c r="I25" s="1341"/>
      <c r="J25" s="1341"/>
      <c r="K25" s="1341"/>
      <c r="L25" s="1338"/>
      <c r="M25" s="1341"/>
    </row>
    <row r="26" spans="2:13" ht="20.100000000000001" customHeight="1" x14ac:dyDescent="0.2">
      <c r="B26" s="1995" t="s">
        <v>2124</v>
      </c>
      <c r="C26" s="1972"/>
      <c r="D26" s="1973"/>
      <c r="E26" s="1341">
        <f>E14+E18+E22+E24</f>
        <v>1853042</v>
      </c>
      <c r="F26" s="1341">
        <f>F14+F18+F22+F24</f>
        <v>3545205</v>
      </c>
      <c r="G26" s="1341">
        <f>G14+G18+G22+G24</f>
        <v>2720527</v>
      </c>
      <c r="H26" s="1341"/>
      <c r="I26" s="1341">
        <f>I14+I18+I22+I24</f>
        <v>3247408</v>
      </c>
      <c r="J26" s="1341"/>
      <c r="K26" s="1341"/>
      <c r="L26" s="1971">
        <f>L14+L18+L22+L24</f>
        <v>5967935</v>
      </c>
      <c r="M26" s="1341">
        <f>M14+M18+M22+M24</f>
        <v>7000201</v>
      </c>
    </row>
    <row r="27" spans="2:13" ht="20.100000000000001" customHeight="1" x14ac:dyDescent="0.2">
      <c r="B27" s="1983"/>
      <c r="C27" s="1985"/>
      <c r="D27" s="1986"/>
      <c r="E27" s="1341"/>
      <c r="F27" s="1341"/>
      <c r="G27" s="1341"/>
      <c r="H27" s="1341"/>
      <c r="I27" s="1341"/>
      <c r="J27" s="1341"/>
      <c r="K27" s="1341"/>
      <c r="L27" s="1984"/>
      <c r="M27" s="1341"/>
    </row>
    <row r="28" spans="2:13" ht="20.100000000000001" customHeight="1" x14ac:dyDescent="0.2">
      <c r="B28" s="1996" t="s">
        <v>2125</v>
      </c>
      <c r="C28" s="1985"/>
      <c r="D28" s="1986"/>
      <c r="E28" s="1341"/>
      <c r="F28" s="1341"/>
      <c r="G28" s="1341"/>
      <c r="H28" s="1341"/>
      <c r="I28" s="1341"/>
      <c r="J28" s="1341"/>
      <c r="K28" s="1341"/>
      <c r="L28" s="1984"/>
      <c r="M28" s="1341"/>
    </row>
    <row r="29" spans="2:13" ht="20.100000000000001" customHeight="1" x14ac:dyDescent="0.2">
      <c r="B29" s="1996" t="s">
        <v>2129</v>
      </c>
      <c r="C29" s="1997">
        <v>10.555</v>
      </c>
      <c r="D29" s="1998" t="s">
        <v>2126</v>
      </c>
      <c r="E29" s="1999">
        <v>0</v>
      </c>
      <c r="F29" s="2000">
        <v>1232365</v>
      </c>
      <c r="G29" s="2001">
        <v>0</v>
      </c>
      <c r="H29" s="1341"/>
      <c r="I29" s="2002">
        <v>1232365</v>
      </c>
      <c r="J29" s="1341"/>
      <c r="K29" s="1341"/>
      <c r="L29" s="1984">
        <f>+G29+I29+K29</f>
        <v>1232365</v>
      </c>
      <c r="M29" s="1341" t="s">
        <v>2128</v>
      </c>
    </row>
    <row r="30" spans="2:13" ht="20.100000000000001" customHeight="1" x14ac:dyDescent="0.2">
      <c r="B30" s="1983"/>
      <c r="C30" s="1997">
        <v>10.555</v>
      </c>
      <c r="D30" s="1998" t="s">
        <v>2127</v>
      </c>
      <c r="E30" s="1999">
        <v>1263338</v>
      </c>
      <c r="F30" s="2000">
        <v>244185</v>
      </c>
      <c r="G30" s="2001">
        <v>1263338</v>
      </c>
      <c r="H30" s="1341"/>
      <c r="I30" s="2002">
        <v>244185</v>
      </c>
      <c r="J30" s="1341"/>
      <c r="K30" s="1341"/>
      <c r="L30" s="1984">
        <f>+G30+I30+K30</f>
        <v>1507523</v>
      </c>
      <c r="M30" s="1341" t="s">
        <v>2128</v>
      </c>
    </row>
    <row r="31" spans="2:13" ht="20.100000000000001" customHeight="1" x14ac:dyDescent="0.2">
      <c r="B31" s="2003" t="s">
        <v>2130</v>
      </c>
      <c r="C31" s="1985"/>
      <c r="D31" s="1986"/>
      <c r="E31" s="1341">
        <f>SUM(E29:E30)</f>
        <v>1263338</v>
      </c>
      <c r="F31" s="1341">
        <f>SUM(F29:F30)</f>
        <v>1476550</v>
      </c>
      <c r="G31" s="1341">
        <f>SUM(G29:G30)</f>
        <v>1263338</v>
      </c>
      <c r="H31" s="1341"/>
      <c r="I31" s="1341">
        <f>SUM(I29:I30)</f>
        <v>1476550</v>
      </c>
      <c r="J31" s="1341"/>
      <c r="K31" s="1341"/>
      <c r="L31" s="1984">
        <f>SUM(L29:L30)</f>
        <v>2739888</v>
      </c>
      <c r="M31" s="1341"/>
    </row>
    <row r="32" spans="2:13" ht="20.100000000000001" customHeight="1" x14ac:dyDescent="0.2">
      <c r="B32" s="1983"/>
      <c r="C32" s="1985"/>
      <c r="D32" s="1986"/>
      <c r="E32" s="1341"/>
      <c r="F32" s="1341"/>
      <c r="G32" s="1341"/>
      <c r="H32" s="1341"/>
      <c r="I32" s="1341"/>
      <c r="J32" s="1341"/>
      <c r="K32" s="1341"/>
      <c r="L32" s="1984"/>
      <c r="M32" s="1341"/>
    </row>
    <row r="33" spans="2:13" ht="20.100000000000001" customHeight="1" x14ac:dyDescent="0.2">
      <c r="B33" s="2004" t="s">
        <v>2131</v>
      </c>
      <c r="C33" s="2005">
        <v>10.553000000000001</v>
      </c>
      <c r="D33" s="2006" t="s">
        <v>2132</v>
      </c>
      <c r="E33" s="2007">
        <v>0</v>
      </c>
      <c r="F33" s="2009">
        <v>346765</v>
      </c>
      <c r="G33" s="2010">
        <v>0</v>
      </c>
      <c r="H33" s="1341"/>
      <c r="I33" s="2011">
        <v>346765</v>
      </c>
      <c r="J33" s="1341"/>
      <c r="K33" s="1341"/>
      <c r="L33" s="2016">
        <f>+G33+I33+K33</f>
        <v>346765</v>
      </c>
      <c r="M33" s="1341" t="s">
        <v>2128</v>
      </c>
    </row>
    <row r="34" spans="2:13" ht="20.100000000000001" customHeight="1" x14ac:dyDescent="0.2">
      <c r="B34" s="1983"/>
      <c r="C34" s="2005">
        <v>10.553000000000001</v>
      </c>
      <c r="D34" s="2006" t="s">
        <v>2133</v>
      </c>
      <c r="E34" s="2007">
        <v>344183</v>
      </c>
      <c r="F34" s="2009">
        <v>70090</v>
      </c>
      <c r="G34" s="2010">
        <v>344183</v>
      </c>
      <c r="H34" s="1341"/>
      <c r="I34" s="2011">
        <v>70090</v>
      </c>
      <c r="J34" s="1341"/>
      <c r="K34" s="1341"/>
      <c r="L34" s="2016">
        <f>+G34+I34+K34</f>
        <v>414273</v>
      </c>
      <c r="M34" s="1341" t="s">
        <v>2128</v>
      </c>
    </row>
    <row r="35" spans="2:13" ht="20.100000000000001" customHeight="1" x14ac:dyDescent="0.2">
      <c r="B35" s="2008" t="s">
        <v>2134</v>
      </c>
      <c r="C35" s="1985"/>
      <c r="D35" s="1986"/>
      <c r="E35" s="1341">
        <f>SUM(E33:E34)</f>
        <v>344183</v>
      </c>
      <c r="F35" s="1341">
        <f>SUM(F33:F34)</f>
        <v>416855</v>
      </c>
      <c r="G35" s="1341">
        <f>SUM(G33:G34)</f>
        <v>344183</v>
      </c>
      <c r="H35" s="1341"/>
      <c r="I35" s="1341">
        <f>SUM(I33:I34)</f>
        <v>416855</v>
      </c>
      <c r="J35" s="1341"/>
      <c r="K35" s="1341"/>
      <c r="L35" s="1984">
        <f>SUM(L33:L34)</f>
        <v>761038</v>
      </c>
      <c r="M35" s="1341"/>
    </row>
    <row r="36" spans="2:13" ht="20.100000000000001" customHeight="1" x14ac:dyDescent="0.2">
      <c r="B36" s="1983"/>
      <c r="C36" s="1985"/>
      <c r="D36" s="1986"/>
      <c r="E36" s="1341"/>
      <c r="F36" s="1341"/>
      <c r="G36" s="1341"/>
      <c r="H36" s="1341"/>
      <c r="I36" s="1341"/>
      <c r="J36" s="1341"/>
      <c r="K36" s="1341"/>
      <c r="L36" s="1984"/>
      <c r="M36" s="1341"/>
    </row>
    <row r="37" spans="2:13" ht="20.100000000000001" customHeight="1" x14ac:dyDescent="0.2">
      <c r="B37" s="2017" t="s">
        <v>2135</v>
      </c>
      <c r="C37" s="2024">
        <v>10.555</v>
      </c>
      <c r="D37" s="2025" t="s">
        <v>2137</v>
      </c>
      <c r="E37" s="2026">
        <v>0</v>
      </c>
      <c r="F37" s="2026">
        <v>146243</v>
      </c>
      <c r="G37" s="2026">
        <v>0</v>
      </c>
      <c r="H37" s="1341"/>
      <c r="I37" s="2026">
        <v>146243</v>
      </c>
      <c r="J37" s="1341"/>
      <c r="K37" s="1341"/>
      <c r="L37" s="1984">
        <f>+G37+I37+K37</f>
        <v>146243</v>
      </c>
      <c r="M37" s="1341" t="s">
        <v>2128</v>
      </c>
    </row>
    <row r="38" spans="2:13" ht="20.100000000000001" customHeight="1" x14ac:dyDescent="0.2">
      <c r="B38" s="2017"/>
      <c r="C38" s="2024">
        <v>10.555</v>
      </c>
      <c r="D38" s="2025" t="s">
        <v>2138</v>
      </c>
      <c r="E38" s="2026">
        <v>151064</v>
      </c>
      <c r="F38" s="2026">
        <v>0</v>
      </c>
      <c r="G38" s="2026">
        <v>151064</v>
      </c>
      <c r="H38" s="1341"/>
      <c r="I38" s="2026">
        <v>0</v>
      </c>
      <c r="J38" s="1341"/>
      <c r="K38" s="1341"/>
      <c r="L38" s="1984">
        <f>+G38+I38+K38</f>
        <v>151064</v>
      </c>
      <c r="M38" s="1341" t="s">
        <v>2128</v>
      </c>
    </row>
    <row r="39" spans="2:13" ht="20.100000000000001" customHeight="1" x14ac:dyDescent="0.2">
      <c r="B39" s="2017" t="s">
        <v>2136</v>
      </c>
      <c r="C39" s="2019"/>
      <c r="D39" s="2020"/>
      <c r="E39" s="2021">
        <f>SUM(E37:E38)</f>
        <v>151064</v>
      </c>
      <c r="F39" s="2022">
        <f>SUM(F37:F38)</f>
        <v>146243</v>
      </c>
      <c r="G39" s="2023">
        <f>SUM(G37:G38)</f>
        <v>151064</v>
      </c>
      <c r="H39" s="1341"/>
      <c r="I39" s="2026">
        <f>SUM(I37:I38)</f>
        <v>146243</v>
      </c>
      <c r="J39" s="1341"/>
      <c r="K39" s="1341"/>
      <c r="L39" s="2013">
        <f>SUM(L37:L38)</f>
        <v>297307</v>
      </c>
      <c r="M39" s="1341"/>
    </row>
    <row r="40" spans="2:13" ht="20.100000000000001" customHeight="1" x14ac:dyDescent="0.2">
      <c r="B40" s="2012"/>
      <c r="C40" s="2019"/>
      <c r="D40" s="2020"/>
      <c r="E40" s="2021"/>
      <c r="F40" s="2022"/>
      <c r="G40" s="2023"/>
      <c r="H40" s="1341"/>
      <c r="I40" s="2026"/>
      <c r="J40" s="1341"/>
      <c r="K40" s="1341"/>
      <c r="L40" s="2013"/>
      <c r="M40" s="1341"/>
    </row>
    <row r="41" spans="2:13" ht="20.100000000000001" customHeight="1" x14ac:dyDescent="0.2">
      <c r="B41" s="2027" t="s">
        <v>2139</v>
      </c>
      <c r="C41" s="2014"/>
      <c r="D41" s="2015"/>
      <c r="E41" s="1341">
        <f>E31+E35+E39</f>
        <v>1758585</v>
      </c>
      <c r="F41" s="1341">
        <f>F31+F35+F39</f>
        <v>2039648</v>
      </c>
      <c r="G41" s="1341">
        <f>G31+G35+G39</f>
        <v>1758585</v>
      </c>
      <c r="H41" s="1341"/>
      <c r="I41" s="1341">
        <f>I31+I35+I39</f>
        <v>2039648</v>
      </c>
      <c r="J41" s="1341"/>
      <c r="K41" s="1341"/>
      <c r="L41" s="2013">
        <f>L31+L35+L39</f>
        <v>3798233</v>
      </c>
      <c r="M41" s="1341"/>
    </row>
    <row r="42" spans="2:13" ht="20.100000000000001" customHeight="1" x14ac:dyDescent="0.2">
      <c r="B42" s="2012"/>
      <c r="C42" s="2014"/>
      <c r="D42" s="2015"/>
      <c r="E42" s="1341"/>
      <c r="F42" s="1341"/>
      <c r="G42" s="1341"/>
      <c r="H42" s="1341"/>
      <c r="I42" s="1341"/>
      <c r="J42" s="1341"/>
      <c r="K42" s="1341"/>
      <c r="L42" s="2013"/>
      <c r="M42" s="1341"/>
    </row>
    <row r="43" spans="2:13" ht="20.100000000000001" customHeight="1" x14ac:dyDescent="0.2">
      <c r="B43" s="2031" t="s">
        <v>2140</v>
      </c>
      <c r="C43" s="2014"/>
      <c r="D43" s="2015"/>
      <c r="E43" s="1341"/>
      <c r="F43" s="1341"/>
      <c r="G43" s="1341"/>
      <c r="H43" s="1341"/>
      <c r="I43" s="1341"/>
      <c r="J43" s="1341"/>
      <c r="K43" s="1341"/>
      <c r="L43" s="2013"/>
      <c r="M43" s="1341"/>
    </row>
    <row r="44" spans="2:13" ht="20.100000000000001" customHeight="1" x14ac:dyDescent="0.2">
      <c r="B44" s="2027"/>
      <c r="C44" s="2029"/>
      <c r="D44" s="2030"/>
      <c r="E44" s="1341"/>
      <c r="F44" s="1341"/>
      <c r="G44" s="1341"/>
      <c r="H44" s="1341"/>
      <c r="I44" s="1341"/>
      <c r="J44" s="1341"/>
      <c r="K44" s="1341"/>
      <c r="L44" s="2028"/>
      <c r="M44" s="1341"/>
    </row>
    <row r="45" spans="2:13" ht="20.100000000000001" customHeight="1" x14ac:dyDescent="0.2">
      <c r="B45" s="2035" t="s">
        <v>2141</v>
      </c>
      <c r="C45" s="2032">
        <v>84.027000000000001</v>
      </c>
      <c r="D45" s="2033" t="s">
        <v>2142</v>
      </c>
      <c r="E45" s="2034">
        <v>40021</v>
      </c>
      <c r="F45" s="2036">
        <v>58307</v>
      </c>
      <c r="G45" s="2037">
        <v>40021</v>
      </c>
      <c r="H45" s="1341"/>
      <c r="I45" s="2038">
        <v>58308</v>
      </c>
      <c r="J45" s="1341"/>
      <c r="K45" s="1341"/>
      <c r="L45" s="2028">
        <f>+G45+I45+K45</f>
        <v>98329</v>
      </c>
      <c r="M45" s="1341" t="s">
        <v>2128</v>
      </c>
    </row>
    <row r="46" spans="2:13" ht="20.100000000000001" customHeight="1" x14ac:dyDescent="0.2">
      <c r="B46" s="2012"/>
      <c r="C46" s="2014"/>
      <c r="D46" s="2015"/>
      <c r="E46" s="1341"/>
      <c r="F46" s="1341"/>
      <c r="G46" s="1341"/>
      <c r="H46" s="1341"/>
      <c r="I46" s="1341"/>
      <c r="J46" s="1341"/>
      <c r="K46" s="1341"/>
      <c r="L46" s="2013"/>
      <c r="M46" s="1341"/>
    </row>
    <row r="47" spans="2:13" ht="20.100000000000001" customHeight="1" x14ac:dyDescent="0.2">
      <c r="B47" s="2039" t="s">
        <v>2143</v>
      </c>
      <c r="C47" s="1985"/>
      <c r="D47" s="1986"/>
      <c r="E47" s="1341">
        <f>E26+E41+E45</f>
        <v>3651648</v>
      </c>
      <c r="F47" s="1341">
        <f>F26+F41+F45</f>
        <v>5643160</v>
      </c>
      <c r="G47" s="1341">
        <f>G26+G41+G45</f>
        <v>4519133</v>
      </c>
      <c r="H47" s="1341"/>
      <c r="I47" s="1341">
        <f>I26+I41+I45</f>
        <v>5345364</v>
      </c>
      <c r="J47" s="1341"/>
      <c r="K47" s="1341"/>
      <c r="L47" s="1984">
        <f>L26+L41+L45</f>
        <v>9864497</v>
      </c>
      <c r="M47" s="1341"/>
    </row>
    <row r="48" spans="2:13" ht="20.100000000000001" customHeight="1" x14ac:dyDescent="0.2">
      <c r="B48" s="1983"/>
      <c r="C48" s="1985"/>
      <c r="D48" s="1986"/>
      <c r="E48" s="1341"/>
      <c r="F48" s="1341"/>
      <c r="G48" s="1341"/>
      <c r="H48" s="1341"/>
      <c r="I48" s="1341"/>
      <c r="J48" s="1341"/>
      <c r="K48" s="1341"/>
      <c r="L48" s="1984"/>
      <c r="M48" s="1341"/>
    </row>
    <row r="49" spans="2:13" ht="20.100000000000001" customHeight="1" x14ac:dyDescent="0.2">
      <c r="B49" s="2043" t="s">
        <v>2144</v>
      </c>
      <c r="C49" s="2041"/>
      <c r="D49" s="2042"/>
      <c r="E49" s="1341"/>
      <c r="F49" s="1341"/>
      <c r="G49" s="1341"/>
      <c r="H49" s="1341"/>
      <c r="I49" s="1341"/>
      <c r="J49" s="1341"/>
      <c r="K49" s="1341"/>
      <c r="L49" s="2040"/>
      <c r="M49" s="1341"/>
    </row>
    <row r="50" spans="2:13" ht="20.100000000000001" customHeight="1" x14ac:dyDescent="0.2">
      <c r="B50" s="2043" t="s">
        <v>2145</v>
      </c>
      <c r="C50" s="2044">
        <v>10.555</v>
      </c>
      <c r="D50" s="2045" t="s">
        <v>2128</v>
      </c>
      <c r="E50" s="2046">
        <v>0</v>
      </c>
      <c r="F50" s="2047">
        <v>32828</v>
      </c>
      <c r="G50" s="2048">
        <v>0</v>
      </c>
      <c r="H50" s="1341"/>
      <c r="I50" s="2052">
        <v>32828</v>
      </c>
      <c r="J50" s="1341"/>
      <c r="K50" s="1341"/>
      <c r="L50" s="2040">
        <f>+G50+I50+K50</f>
        <v>32828</v>
      </c>
      <c r="M50" s="1341" t="s">
        <v>2128</v>
      </c>
    </row>
    <row r="51" spans="2:13" ht="20.100000000000001" customHeight="1" x14ac:dyDescent="0.2">
      <c r="B51" s="2043"/>
      <c r="C51" s="2044">
        <v>10.555</v>
      </c>
      <c r="D51" s="2045" t="s">
        <v>2128</v>
      </c>
      <c r="E51" s="2046">
        <v>34044</v>
      </c>
      <c r="F51" s="2047">
        <v>0</v>
      </c>
      <c r="G51" s="2048">
        <v>34044</v>
      </c>
      <c r="H51" s="1341"/>
      <c r="I51" s="2052">
        <v>0</v>
      </c>
      <c r="J51" s="1341"/>
      <c r="K51" s="1341"/>
      <c r="L51" s="2040">
        <f>+G51+I51+K51</f>
        <v>34044</v>
      </c>
      <c r="M51" s="1341" t="s">
        <v>2128</v>
      </c>
    </row>
    <row r="52" spans="2:13" ht="20.100000000000001" customHeight="1" x14ac:dyDescent="0.2">
      <c r="B52" s="2043" t="s">
        <v>2146</v>
      </c>
      <c r="C52" s="2041"/>
      <c r="D52" s="2042"/>
      <c r="E52" s="1341">
        <f>SUM(E50:E51)</f>
        <v>34044</v>
      </c>
      <c r="F52" s="1341">
        <f>SUM(F50:F51)</f>
        <v>32828</v>
      </c>
      <c r="G52" s="1341">
        <f>SUM(G50:G51)</f>
        <v>34044</v>
      </c>
      <c r="H52" s="1341"/>
      <c r="I52" s="1341">
        <f>SUM(I50:I51)</f>
        <v>32828</v>
      </c>
      <c r="J52" s="1341"/>
      <c r="K52" s="1341"/>
      <c r="L52" s="2040">
        <f>SUM(L50:L51)</f>
        <v>66872</v>
      </c>
      <c r="M52" s="1341"/>
    </row>
    <row r="53" spans="2:13" ht="20.100000000000001" customHeight="1" x14ac:dyDescent="0.2">
      <c r="B53" s="2039"/>
      <c r="C53" s="2041"/>
      <c r="D53" s="2042"/>
      <c r="E53" s="1341"/>
      <c r="F53" s="1341"/>
      <c r="G53" s="1341"/>
      <c r="H53" s="1341"/>
      <c r="I53" s="1341"/>
      <c r="J53" s="1341"/>
      <c r="K53" s="1341"/>
      <c r="L53" s="2040"/>
      <c r="M53" s="1341"/>
    </row>
    <row r="54" spans="2:13" ht="20.100000000000001" customHeight="1" x14ac:dyDescent="0.2">
      <c r="B54" s="2053" t="s">
        <v>2147</v>
      </c>
      <c r="C54" s="2041"/>
      <c r="D54" s="2042"/>
      <c r="E54" s="1341"/>
      <c r="F54" s="1341"/>
      <c r="G54" s="1341"/>
      <c r="H54" s="1341"/>
      <c r="I54" s="1341"/>
      <c r="J54" s="1341"/>
      <c r="K54" s="1341"/>
      <c r="L54" s="2040"/>
      <c r="M54" s="1341"/>
    </row>
    <row r="55" spans="2:13" ht="20.25" customHeight="1" x14ac:dyDescent="0.2">
      <c r="B55" s="2053" t="s">
        <v>2166</v>
      </c>
      <c r="C55" s="2057">
        <v>84.027000000000001</v>
      </c>
      <c r="D55" s="2058" t="s">
        <v>2161</v>
      </c>
      <c r="E55" s="2059">
        <v>0</v>
      </c>
      <c r="F55" s="2060">
        <v>405181</v>
      </c>
      <c r="G55" s="2061">
        <v>0</v>
      </c>
      <c r="H55" s="1341"/>
      <c r="I55" s="2062">
        <v>662374</v>
      </c>
      <c r="J55" s="1341"/>
      <c r="K55" s="1341"/>
      <c r="L55" s="2040">
        <f>+G55+I55+K55</f>
        <v>662374</v>
      </c>
      <c r="M55" s="2063">
        <v>754179</v>
      </c>
    </row>
    <row r="56" spans="2:13" ht="20.25" customHeight="1" x14ac:dyDescent="0.2">
      <c r="B56" s="2053"/>
      <c r="C56" s="2057">
        <v>84.027000000000001</v>
      </c>
      <c r="D56" s="2058" t="s">
        <v>2162</v>
      </c>
      <c r="E56" s="2059">
        <v>483253</v>
      </c>
      <c r="F56" s="2060">
        <v>247547</v>
      </c>
      <c r="G56" s="2061">
        <v>721662</v>
      </c>
      <c r="H56" s="1341"/>
      <c r="I56" s="2062">
        <v>9138</v>
      </c>
      <c r="J56" s="1341"/>
      <c r="K56" s="1341"/>
      <c r="L56" s="2049">
        <f>+G56+I56+K56</f>
        <v>730800</v>
      </c>
      <c r="M56" s="2063">
        <v>749624</v>
      </c>
    </row>
    <row r="57" spans="2:13" ht="20.25" customHeight="1" x14ac:dyDescent="0.2">
      <c r="B57" s="2053" t="s">
        <v>2164</v>
      </c>
      <c r="C57" s="2057"/>
      <c r="D57" s="2058"/>
      <c r="E57" s="1341">
        <f>SUM(E55:E56)</f>
        <v>483253</v>
      </c>
      <c r="F57" s="1341">
        <f>SUM(F55:F56)</f>
        <v>652728</v>
      </c>
      <c r="G57" s="1341">
        <f>SUM(G55:G56)</f>
        <v>721662</v>
      </c>
      <c r="H57" s="1341"/>
      <c r="I57" s="1341">
        <f>SUM(I55:I56)</f>
        <v>671512</v>
      </c>
      <c r="J57" s="1341"/>
      <c r="K57" s="1341"/>
      <c r="L57" s="2049">
        <f>SUM(L55:L56)</f>
        <v>1393174</v>
      </c>
      <c r="M57" s="1341">
        <f>SUM(M55:M56)</f>
        <v>1503803</v>
      </c>
    </row>
    <row r="58" spans="2:13" ht="20.25" customHeight="1" x14ac:dyDescent="0.2">
      <c r="B58" s="2053"/>
      <c r="C58" s="2057"/>
      <c r="D58" s="2058"/>
      <c r="E58" s="1341"/>
      <c r="F58" s="1341"/>
      <c r="G58" s="1341"/>
      <c r="H58" s="1341"/>
      <c r="I58" s="1341"/>
      <c r="J58" s="1341"/>
      <c r="K58" s="1341"/>
      <c r="L58" s="2049"/>
      <c r="M58" s="1341"/>
    </row>
    <row r="59" spans="2:13" ht="20.25" customHeight="1" x14ac:dyDescent="0.2">
      <c r="B59" s="2053" t="s">
        <v>2167</v>
      </c>
      <c r="C59" s="2057">
        <v>84.173000000000002</v>
      </c>
      <c r="D59" s="2058" t="s">
        <v>2168</v>
      </c>
      <c r="E59" s="2064">
        <v>0</v>
      </c>
      <c r="F59" s="2065">
        <v>23984</v>
      </c>
      <c r="G59" s="2066">
        <v>0</v>
      </c>
      <c r="H59" s="1341"/>
      <c r="I59" s="2067">
        <v>41292</v>
      </c>
      <c r="J59" s="1341"/>
      <c r="K59" s="1341"/>
      <c r="L59" s="2049">
        <f>+G59+I59+K59</f>
        <v>41292</v>
      </c>
      <c r="M59" s="2068">
        <v>43188</v>
      </c>
    </row>
    <row r="60" spans="2:13" ht="20.25" customHeight="1" x14ac:dyDescent="0.2">
      <c r="B60" s="2053"/>
      <c r="C60" s="2057">
        <v>84.173000000000002</v>
      </c>
      <c r="D60" s="2058" t="s">
        <v>2163</v>
      </c>
      <c r="E60" s="2064">
        <v>10389</v>
      </c>
      <c r="F60" s="2065">
        <v>5290</v>
      </c>
      <c r="G60" s="2066">
        <v>13644</v>
      </c>
      <c r="H60" s="1341"/>
      <c r="I60" s="2067">
        <v>2035</v>
      </c>
      <c r="J60" s="1341"/>
      <c r="K60" s="1341"/>
      <c r="L60" s="2049">
        <f>+G60+I60+K60</f>
        <v>15679</v>
      </c>
      <c r="M60" s="2068">
        <v>19119</v>
      </c>
    </row>
    <row r="61" spans="2:13" ht="20.25" customHeight="1" x14ac:dyDescent="0.2">
      <c r="B61" s="2053" t="s">
        <v>2165</v>
      </c>
      <c r="C61" s="2057"/>
      <c r="D61" s="2058"/>
      <c r="E61" s="1341">
        <f>SUM(E59:E60)</f>
        <v>10389</v>
      </c>
      <c r="F61" s="1341">
        <f>SUM(F59:F60)</f>
        <v>29274</v>
      </c>
      <c r="G61" s="1341">
        <f>SUM(G59:G60)</f>
        <v>13644</v>
      </c>
      <c r="H61" s="1341"/>
      <c r="I61" s="1341">
        <f>SUM(I59:I60)</f>
        <v>43327</v>
      </c>
      <c r="J61" s="1341"/>
      <c r="K61" s="1341"/>
      <c r="L61" s="2049">
        <f>SUM(L59:L60)</f>
        <v>56971</v>
      </c>
      <c r="M61" s="1341">
        <f>SUM(M59:M60)</f>
        <v>62307</v>
      </c>
    </row>
    <row r="62" spans="2:13" ht="20.25" customHeight="1" x14ac:dyDescent="0.2">
      <c r="B62" s="2053"/>
      <c r="C62" s="2057"/>
      <c r="D62" s="2058"/>
      <c r="E62" s="1341"/>
      <c r="F62" s="1341"/>
      <c r="G62" s="1341"/>
      <c r="H62" s="1341"/>
      <c r="I62" s="1341"/>
      <c r="J62" s="1341"/>
      <c r="K62" s="1341"/>
      <c r="L62" s="2049"/>
      <c r="M62" s="1341"/>
    </row>
    <row r="63" spans="2:13" ht="20.25" customHeight="1" x14ac:dyDescent="0.2">
      <c r="B63" s="2053" t="s">
        <v>2148</v>
      </c>
      <c r="C63" s="2057"/>
      <c r="D63" s="2058"/>
      <c r="E63" s="1341">
        <f>E57+E61</f>
        <v>493642</v>
      </c>
      <c r="F63" s="1341">
        <f>F57+F61</f>
        <v>682002</v>
      </c>
      <c r="G63" s="1341">
        <f>G57+G61</f>
        <v>735306</v>
      </c>
      <c r="H63" s="1341"/>
      <c r="I63" s="1341">
        <f>I57+I61</f>
        <v>714839</v>
      </c>
      <c r="J63" s="1341"/>
      <c r="K63" s="1341"/>
      <c r="L63" s="2049">
        <f>L57+L61</f>
        <v>1450145</v>
      </c>
      <c r="M63" s="1341"/>
    </row>
    <row r="64" spans="2:13" ht="20.25" customHeight="1" x14ac:dyDescent="0.2">
      <c r="B64" s="2053"/>
      <c r="C64" s="2057"/>
      <c r="D64" s="2058"/>
      <c r="E64" s="1341"/>
      <c r="F64" s="1341"/>
      <c r="G64" s="1341"/>
      <c r="H64" s="1341"/>
      <c r="I64" s="1341"/>
      <c r="J64" s="1341"/>
      <c r="K64" s="1341"/>
      <c r="L64" s="2049"/>
      <c r="M64" s="1341"/>
    </row>
    <row r="65" spans="2:13" ht="20.25" customHeight="1" x14ac:dyDescent="0.2">
      <c r="B65" s="2053" t="s">
        <v>2149</v>
      </c>
      <c r="C65" s="2057"/>
      <c r="D65" s="2058"/>
      <c r="E65" s="1341"/>
      <c r="F65" s="1341"/>
      <c r="G65" s="1341"/>
      <c r="H65" s="1341"/>
      <c r="I65" s="1341"/>
      <c r="J65" s="1341"/>
      <c r="K65" s="1341"/>
      <c r="L65" s="2049"/>
      <c r="M65" s="1341"/>
    </row>
    <row r="66" spans="2:13" ht="20.25" customHeight="1" x14ac:dyDescent="0.2">
      <c r="B66" s="2053" t="s">
        <v>2150</v>
      </c>
      <c r="C66" s="2057">
        <v>93.778000000000006</v>
      </c>
      <c r="D66" s="2058" t="s">
        <v>2128</v>
      </c>
      <c r="E66" s="2069">
        <v>0</v>
      </c>
      <c r="F66" s="2070">
        <v>53746</v>
      </c>
      <c r="G66" s="2071">
        <v>0</v>
      </c>
      <c r="H66" s="1341"/>
      <c r="I66" s="2072">
        <v>53746</v>
      </c>
      <c r="J66" s="1341"/>
      <c r="K66" s="1341"/>
      <c r="L66" s="2049">
        <f>+G66+I66+K66</f>
        <v>53746</v>
      </c>
      <c r="M66" s="1341" t="s">
        <v>2128</v>
      </c>
    </row>
    <row r="67" spans="2:13" ht="20.25" customHeight="1" x14ac:dyDescent="0.2">
      <c r="B67" s="2053" t="s">
        <v>2151</v>
      </c>
      <c r="C67" s="2057">
        <v>93.778000000000006</v>
      </c>
      <c r="D67" s="2058" t="s">
        <v>2128</v>
      </c>
      <c r="E67" s="2069">
        <v>105763</v>
      </c>
      <c r="F67" s="2070">
        <v>54001</v>
      </c>
      <c r="G67" s="2071">
        <v>105763</v>
      </c>
      <c r="H67" s="1341"/>
      <c r="I67" s="2072">
        <v>54001</v>
      </c>
      <c r="J67" s="1341"/>
      <c r="K67" s="1341"/>
      <c r="L67" s="2049">
        <f>+G67+I67+K67</f>
        <v>159764</v>
      </c>
      <c r="M67" s="1341" t="s">
        <v>2128</v>
      </c>
    </row>
    <row r="68" spans="2:13" ht="20.25" customHeight="1" x14ac:dyDescent="0.2">
      <c r="B68" s="2053" t="s">
        <v>2152</v>
      </c>
      <c r="C68" s="2050"/>
      <c r="D68" s="2051"/>
      <c r="E68" s="1341">
        <f>SUM(E66:E67)</f>
        <v>105763</v>
      </c>
      <c r="F68" s="1341">
        <f>SUM(F66:F67)</f>
        <v>107747</v>
      </c>
      <c r="G68" s="1341">
        <f>SUM(G66:G67)</f>
        <v>105763</v>
      </c>
      <c r="H68" s="1341"/>
      <c r="I68" s="1341">
        <f>SUM(I66:I67)</f>
        <v>107747</v>
      </c>
      <c r="J68" s="1341"/>
      <c r="K68" s="1341"/>
      <c r="L68" s="2049">
        <f>SUM(L66:L67)</f>
        <v>213510</v>
      </c>
      <c r="M68" s="1341"/>
    </row>
    <row r="69" spans="2:13" ht="20.100000000000001" customHeight="1" x14ac:dyDescent="0.2">
      <c r="B69" s="2039"/>
      <c r="C69" s="2041"/>
      <c r="D69" s="2042"/>
      <c r="E69" s="1341"/>
      <c r="F69" s="1341"/>
      <c r="G69" s="1341"/>
      <c r="H69" s="1341"/>
      <c r="I69" s="1341"/>
      <c r="J69" s="1341"/>
      <c r="K69" s="1341"/>
      <c r="L69" s="2040"/>
      <c r="M69" s="1341"/>
    </row>
    <row r="70" spans="2:13" ht="20.100000000000001" customHeight="1" x14ac:dyDescent="0.2">
      <c r="B70" s="2053" t="s">
        <v>2153</v>
      </c>
      <c r="C70" s="2055"/>
      <c r="D70" s="2056"/>
      <c r="E70" s="1341">
        <f>E47+E52+E63+E68</f>
        <v>4285097</v>
      </c>
      <c r="F70" s="1341">
        <f>F47+F52+F63+F68</f>
        <v>6465737</v>
      </c>
      <c r="G70" s="1341">
        <f>G47+G52+G63+G68</f>
        <v>5394246</v>
      </c>
      <c r="H70" s="1341"/>
      <c r="I70" s="1341">
        <f>I47+I52+I63+I68</f>
        <v>6200778</v>
      </c>
      <c r="J70" s="1341"/>
      <c r="K70" s="1341"/>
      <c r="L70" s="2054">
        <f>L47+L52+L63+L68</f>
        <v>11595024</v>
      </c>
      <c r="M70" s="1341"/>
    </row>
    <row r="71" spans="2:13" ht="20.100000000000001" customHeight="1" x14ac:dyDescent="0.2">
      <c r="B71" s="2053"/>
      <c r="C71" s="2055"/>
      <c r="D71" s="2056"/>
      <c r="E71" s="1341"/>
      <c r="F71" s="1341"/>
      <c r="G71" s="1341"/>
      <c r="H71" s="1341"/>
      <c r="I71" s="1341"/>
      <c r="J71" s="1341"/>
      <c r="K71" s="1341"/>
      <c r="L71" s="2054"/>
      <c r="M71" s="1341"/>
    </row>
    <row r="72" spans="2:13" ht="20.100000000000001" customHeight="1" x14ac:dyDescent="0.2">
      <c r="B72" s="2053" t="s">
        <v>2154</v>
      </c>
      <c r="C72" s="2055"/>
      <c r="D72" s="2056"/>
      <c r="E72" s="1341"/>
      <c r="F72" s="1341"/>
      <c r="G72" s="1341"/>
      <c r="H72" s="1341"/>
      <c r="I72" s="1341"/>
      <c r="J72" s="1341"/>
      <c r="K72" s="1341"/>
      <c r="L72" s="2054"/>
      <c r="M72" s="1341"/>
    </row>
    <row r="73" spans="2:13" ht="20.100000000000001" customHeight="1" x14ac:dyDescent="0.2">
      <c r="B73" s="2053" t="s">
        <v>2155</v>
      </c>
      <c r="C73" s="2055"/>
      <c r="D73" s="2056"/>
      <c r="E73" s="1341"/>
      <c r="F73" s="1341"/>
      <c r="G73" s="1341"/>
      <c r="H73" s="1341"/>
      <c r="I73" s="1341"/>
      <c r="J73" s="1341"/>
      <c r="K73" s="1341"/>
      <c r="L73" s="2054"/>
      <c r="M73" s="1341"/>
    </row>
    <row r="74" spans="2:13" ht="20.100000000000001" customHeight="1" x14ac:dyDescent="0.2">
      <c r="B74" s="2053" t="s">
        <v>2156</v>
      </c>
      <c r="C74" s="2055"/>
      <c r="D74" s="2056"/>
      <c r="E74" s="2018">
        <f t="shared" ref="E74:G75" si="1">E29+E33+E37+E50</f>
        <v>0</v>
      </c>
      <c r="F74" s="1341">
        <f t="shared" si="1"/>
        <v>1758201</v>
      </c>
      <c r="G74" s="2018">
        <f t="shared" si="1"/>
        <v>0</v>
      </c>
      <c r="H74" s="1341"/>
      <c r="I74" s="1341">
        <f>I29+I33+I37+I50</f>
        <v>1758201</v>
      </c>
      <c r="J74" s="1341"/>
      <c r="K74" s="1341"/>
      <c r="L74" s="2054">
        <f>L29+L33+L37+L50</f>
        <v>1758201</v>
      </c>
      <c r="M74" s="1341"/>
    </row>
    <row r="75" spans="2:13" ht="20.100000000000001" customHeight="1" x14ac:dyDescent="0.2">
      <c r="B75" s="2053" t="s">
        <v>2157</v>
      </c>
      <c r="C75" s="2055"/>
      <c r="D75" s="2056"/>
      <c r="E75" s="1341">
        <f t="shared" si="1"/>
        <v>1792629</v>
      </c>
      <c r="F75" s="1341">
        <f t="shared" si="1"/>
        <v>314275</v>
      </c>
      <c r="G75" s="1341">
        <f t="shared" si="1"/>
        <v>1792629</v>
      </c>
      <c r="H75" s="1341"/>
      <c r="I75" s="1341">
        <f>I30+I34+I38+I51</f>
        <v>314275</v>
      </c>
      <c r="J75" s="1341"/>
      <c r="K75" s="1341"/>
      <c r="L75" s="2054">
        <f>L30+L34+L38+L51</f>
        <v>2106904</v>
      </c>
      <c r="M75" s="1341"/>
    </row>
    <row r="76" spans="2:13" ht="20.100000000000001" customHeight="1" x14ac:dyDescent="0.2">
      <c r="B76" s="2053" t="s">
        <v>2158</v>
      </c>
      <c r="C76" s="2055"/>
      <c r="D76" s="2056"/>
      <c r="E76" s="1341">
        <f>SUM(E74:E75)</f>
        <v>1792629</v>
      </c>
      <c r="F76" s="1341">
        <f>SUM(F74:F75)</f>
        <v>2072476</v>
      </c>
      <c r="G76" s="1341">
        <f>SUM(G74:G75)</f>
        <v>1792629</v>
      </c>
      <c r="H76" s="1341"/>
      <c r="I76" s="1341">
        <f>SUM(I74:I75)</f>
        <v>2072476</v>
      </c>
      <c r="J76" s="1341"/>
      <c r="K76" s="1341"/>
      <c r="L76" s="2054">
        <f>SUM(L74:L75)</f>
        <v>3865105</v>
      </c>
      <c r="M76" s="1341"/>
    </row>
    <row r="77" spans="2:13" ht="20.100000000000001" customHeight="1" x14ac:dyDescent="0.2">
      <c r="B77" s="2053"/>
      <c r="C77" s="2055"/>
      <c r="D77" s="2056"/>
      <c r="E77" s="1341"/>
      <c r="F77" s="1341"/>
      <c r="G77" s="1341"/>
      <c r="H77" s="1341"/>
      <c r="I77" s="1341"/>
      <c r="J77" s="1341"/>
      <c r="K77" s="1341"/>
      <c r="L77" s="2054"/>
      <c r="M77" s="1341"/>
    </row>
    <row r="78" spans="2:13" ht="20.100000000000001" customHeight="1" x14ac:dyDescent="0.2">
      <c r="B78" s="2053" t="s">
        <v>2159</v>
      </c>
      <c r="C78" s="2055"/>
      <c r="D78" s="2056"/>
      <c r="E78" s="1341"/>
      <c r="F78" s="1341"/>
      <c r="G78" s="1341"/>
      <c r="H78" s="1341"/>
      <c r="I78" s="1341"/>
      <c r="J78" s="1341"/>
      <c r="K78" s="1341"/>
      <c r="L78" s="2054"/>
      <c r="M78" s="1341"/>
    </row>
    <row r="79" spans="2:13" ht="20.100000000000001" customHeight="1" x14ac:dyDescent="0.2">
      <c r="B79" s="2053" t="s">
        <v>2156</v>
      </c>
      <c r="C79" s="2055"/>
      <c r="D79" s="2056"/>
      <c r="E79" s="2018">
        <f>E55+E59</f>
        <v>0</v>
      </c>
      <c r="F79" s="1341">
        <f>F55+F59</f>
        <v>429165</v>
      </c>
      <c r="G79" s="2018">
        <f>G55+G59</f>
        <v>0</v>
      </c>
      <c r="H79" s="1341"/>
      <c r="I79" s="1341">
        <f>I55+I59</f>
        <v>703666</v>
      </c>
      <c r="J79" s="1341"/>
      <c r="K79" s="1341"/>
      <c r="L79" s="2054">
        <f>L55+L59</f>
        <v>703666</v>
      </c>
      <c r="M79" s="1341"/>
    </row>
    <row r="80" spans="2:13" ht="20.100000000000001" customHeight="1" x14ac:dyDescent="0.2">
      <c r="B80" s="2053" t="s">
        <v>2157</v>
      </c>
      <c r="C80" s="2055"/>
      <c r="D80" s="2056"/>
      <c r="E80" s="1341">
        <f>E56+E60</f>
        <v>493642</v>
      </c>
      <c r="F80" s="1341">
        <f>F45+F56+F60</f>
        <v>311144</v>
      </c>
      <c r="G80" s="1341">
        <f>G45+G56+G60</f>
        <v>775327</v>
      </c>
      <c r="H80" s="1341"/>
      <c r="I80" s="1341">
        <f>I45+I56+I60</f>
        <v>69481</v>
      </c>
      <c r="J80" s="1341"/>
      <c r="K80" s="1341"/>
      <c r="L80" s="2054">
        <f>L45+L56+L60</f>
        <v>844808</v>
      </c>
      <c r="M80" s="1341"/>
    </row>
    <row r="81" spans="2:14" ht="20.100000000000001" customHeight="1" x14ac:dyDescent="0.2">
      <c r="B81" s="1337" t="s">
        <v>2160</v>
      </c>
      <c r="C81" s="1339"/>
      <c r="D81" s="1340"/>
      <c r="E81" s="1341">
        <f>SUM(E79:E80)</f>
        <v>493642</v>
      </c>
      <c r="F81" s="1341">
        <f>SUM(F79:F80)</f>
        <v>740309</v>
      </c>
      <c r="G81" s="1341">
        <f>SUM(G79:G80)</f>
        <v>775327</v>
      </c>
      <c r="H81" s="1341"/>
      <c r="I81" s="1341">
        <f>SUM(I79:I80)</f>
        <v>773147</v>
      </c>
      <c r="J81" s="1341"/>
      <c r="K81" s="1341"/>
      <c r="L81" s="1338">
        <f>SUM(L79:L80)</f>
        <v>1548474</v>
      </c>
      <c r="M81" s="1341"/>
    </row>
    <row r="82" spans="2:14" ht="20.100000000000001" customHeight="1" x14ac:dyDescent="0.2">
      <c r="B82" s="1337"/>
      <c r="C82" s="1339"/>
      <c r="D82" s="1340"/>
      <c r="E82" s="1341"/>
      <c r="F82" s="1341"/>
      <c r="G82" s="1341"/>
      <c r="H82" s="1341"/>
      <c r="I82" s="1341"/>
      <c r="J82" s="1341"/>
      <c r="K82" s="1341"/>
      <c r="L82" s="1338"/>
      <c r="M82" s="1341"/>
      <c r="N82" s="1342"/>
    </row>
    <row r="83" spans="2:14" ht="12.75" customHeight="1" x14ac:dyDescent="0.2">
      <c r="B83" s="1343"/>
      <c r="C83" s="1344"/>
      <c r="D83" s="1345"/>
      <c r="E83" s="1346"/>
      <c r="F83" s="1346"/>
      <c r="G83" s="1346"/>
      <c r="H83" s="1346"/>
      <c r="I83" s="1346"/>
      <c r="J83" s="1346"/>
      <c r="K83" s="1346"/>
      <c r="L83" s="1346"/>
      <c r="M83" s="1346"/>
      <c r="N83" s="1342"/>
    </row>
    <row r="84" spans="2:14" x14ac:dyDescent="0.2">
      <c r="B84" s="1257"/>
      <c r="C84" s="1347"/>
      <c r="D84" s="1348"/>
      <c r="E84" s="1257"/>
      <c r="F84" s="1257"/>
      <c r="G84" s="1250"/>
      <c r="H84" s="1250"/>
      <c r="I84" s="1250"/>
      <c r="J84" s="1250"/>
      <c r="K84" s="1250"/>
      <c r="L84" s="1250"/>
      <c r="M84" s="1257"/>
      <c r="N84" s="1342"/>
    </row>
    <row r="85" spans="2:14" ht="13.5" customHeight="1" x14ac:dyDescent="0.2">
      <c r="B85" s="1282" t="s">
        <v>1836</v>
      </c>
      <c r="C85" s="1347"/>
      <c r="D85" s="1348"/>
      <c r="E85" s="1257"/>
      <c r="F85" s="1257"/>
      <c r="G85" s="1250"/>
      <c r="H85" s="1250"/>
      <c r="I85" s="1250"/>
      <c r="J85" s="1250"/>
      <c r="K85" s="1250"/>
      <c r="L85" s="1250"/>
      <c r="M85" s="1257"/>
      <c r="N85" s="1342"/>
    </row>
    <row r="86" spans="2:14" ht="8.25" customHeight="1" x14ac:dyDescent="0.2">
      <c r="B86" s="1282"/>
      <c r="C86" s="1347"/>
      <c r="D86" s="1348"/>
      <c r="E86" s="1257"/>
      <c r="F86" s="1257"/>
      <c r="G86" s="1250"/>
      <c r="H86" s="1250"/>
      <c r="I86" s="1250"/>
      <c r="J86" s="1250"/>
      <c r="K86" s="1250"/>
      <c r="L86" s="1250"/>
      <c r="M86" s="1257"/>
      <c r="N86" s="1342"/>
    </row>
    <row r="87" spans="2:14" x14ac:dyDescent="0.2">
      <c r="B87" s="1349" t="s">
        <v>1946</v>
      </c>
      <c r="C87" s="1350"/>
      <c r="D87" s="1351"/>
      <c r="E87" s="1352"/>
      <c r="F87" s="1352"/>
      <c r="G87" s="1352"/>
      <c r="H87" s="1352"/>
      <c r="I87" s="317"/>
      <c r="J87" s="317"/>
    </row>
    <row r="88" spans="2:14" x14ac:dyDescent="0.2">
      <c r="B88" s="1277"/>
      <c r="C88" s="1353"/>
      <c r="D88" s="1354"/>
      <c r="E88" s="1278"/>
      <c r="F88" s="1278"/>
      <c r="G88" s="317"/>
      <c r="H88" s="317"/>
      <c r="I88" s="317"/>
      <c r="J88" s="317"/>
    </row>
    <row r="89" spans="2:14" ht="13.5" customHeight="1" x14ac:dyDescent="0.2">
      <c r="B89" s="1276" t="s">
        <v>1308</v>
      </c>
      <c r="G89" s="317"/>
      <c r="H89" s="317"/>
      <c r="I89" s="317"/>
      <c r="J89" s="317"/>
    </row>
    <row r="90" spans="2:14" ht="13.5" customHeight="1" x14ac:dyDescent="0.2">
      <c r="B90" s="1357"/>
      <c r="C90" s="1358"/>
      <c r="D90" s="1359"/>
      <c r="E90" s="1297"/>
      <c r="F90" s="1297"/>
      <c r="G90" s="1297"/>
      <c r="H90" s="1297"/>
      <c r="I90" s="1297"/>
      <c r="J90" s="1297"/>
      <c r="K90" s="1360"/>
      <c r="L90" s="1360"/>
      <c r="M90" s="1297"/>
    </row>
    <row r="91" spans="2:14" ht="9.6" customHeight="1" x14ac:dyDescent="0.2">
      <c r="B91" s="1361"/>
      <c r="G91" s="317"/>
      <c r="H91" s="317"/>
      <c r="I91" s="317"/>
      <c r="J91" s="317"/>
    </row>
    <row r="92" spans="2:14" ht="11.25" customHeight="1" x14ac:dyDescent="0.2">
      <c r="B92" s="1362" t="s">
        <v>1837</v>
      </c>
      <c r="C92" s="1363"/>
      <c r="D92" s="1363"/>
      <c r="E92" s="1363"/>
      <c r="F92" s="1363"/>
      <c r="G92" s="1363"/>
      <c r="H92" s="1363"/>
      <c r="I92" s="1364"/>
      <c r="J92" s="1364"/>
      <c r="K92" s="1364"/>
      <c r="L92" s="1364"/>
      <c r="M92" s="1364"/>
    </row>
    <row r="93" spans="2:14" ht="11.25" customHeight="1" x14ac:dyDescent="0.2">
      <c r="B93" s="1365" t="s">
        <v>1666</v>
      </c>
      <c r="C93" s="1364"/>
      <c r="D93" s="1364"/>
      <c r="E93" s="1364"/>
      <c r="F93" s="1364"/>
      <c r="G93" s="1364"/>
      <c r="H93" s="1364"/>
      <c r="I93" s="1364"/>
      <c r="J93" s="1364"/>
      <c r="K93" s="1364"/>
      <c r="L93" s="1364"/>
      <c r="M93" s="1364"/>
    </row>
    <row r="94" spans="2:14" ht="3.95" customHeight="1" x14ac:dyDescent="0.2">
      <c r="B94" s="1365"/>
      <c r="C94" s="1364"/>
      <c r="D94" s="1364"/>
      <c r="E94" s="1364"/>
      <c r="F94" s="1364"/>
      <c r="G94" s="1364"/>
      <c r="H94" s="1364"/>
      <c r="I94" s="1364"/>
      <c r="J94" s="1364"/>
      <c r="K94" s="1364"/>
      <c r="L94" s="1364"/>
      <c r="M94" s="1364"/>
    </row>
    <row r="95" spans="2:14" ht="11.25" customHeight="1" x14ac:dyDescent="0.2">
      <c r="B95" s="1362" t="s">
        <v>1838</v>
      </c>
      <c r="C95" s="1364"/>
      <c r="D95" s="1364"/>
      <c r="E95" s="1364"/>
      <c r="F95" s="1364"/>
      <c r="G95" s="1364"/>
      <c r="H95" s="1364"/>
      <c r="I95" s="1364"/>
      <c r="J95" s="1364"/>
      <c r="K95" s="1364"/>
      <c r="L95" s="1364"/>
      <c r="M95" s="1364"/>
    </row>
    <row r="96" spans="2:14" ht="11.25" customHeight="1" x14ac:dyDescent="0.2">
      <c r="B96" s="1300" t="s">
        <v>1667</v>
      </c>
      <c r="C96" s="1366"/>
      <c r="D96" s="1367"/>
      <c r="E96" s="1300"/>
      <c r="F96" s="1300"/>
      <c r="G96" s="1300"/>
      <c r="H96" s="1300"/>
      <c r="I96" s="1300"/>
      <c r="J96" s="1300"/>
      <c r="K96" s="1368"/>
      <c r="L96" s="1368"/>
      <c r="M96" s="1300"/>
    </row>
    <row r="97" spans="2:13" ht="3.95" customHeight="1" x14ac:dyDescent="0.2">
      <c r="B97" s="1300"/>
      <c r="C97" s="1366"/>
      <c r="D97" s="1367"/>
      <c r="E97" s="1300"/>
      <c r="F97" s="1300"/>
      <c r="G97" s="1300"/>
      <c r="H97" s="1300"/>
      <c r="I97" s="1300"/>
      <c r="J97" s="1300"/>
      <c r="K97" s="1368"/>
      <c r="L97" s="1368"/>
      <c r="M97" s="1300"/>
    </row>
    <row r="98" spans="2:13" ht="11.25" customHeight="1" x14ac:dyDescent="0.2">
      <c r="B98" s="1369" t="s">
        <v>1839</v>
      </c>
      <c r="C98" s="1366"/>
      <c r="D98" s="1367"/>
      <c r="E98" s="1300"/>
      <c r="F98" s="1300"/>
      <c r="G98" s="1300"/>
      <c r="H98" s="1300"/>
      <c r="I98" s="1300"/>
      <c r="J98" s="1300"/>
      <c r="K98" s="1368"/>
      <c r="L98" s="1368"/>
      <c r="M98" s="1300"/>
    </row>
    <row r="99" spans="2:13" ht="3.95" customHeight="1" x14ac:dyDescent="0.2">
      <c r="B99" s="1369"/>
      <c r="C99" s="1366"/>
      <c r="D99" s="1367"/>
      <c r="E99" s="1300"/>
      <c r="F99" s="1300"/>
      <c r="G99" s="1300"/>
      <c r="H99" s="1300"/>
      <c r="I99" s="1300"/>
      <c r="J99" s="1300"/>
      <c r="K99" s="1368"/>
      <c r="L99" s="1368"/>
      <c r="M99" s="1300"/>
    </row>
    <row r="100" spans="2:13" ht="11.25" customHeight="1" x14ac:dyDescent="0.2">
      <c r="B100" s="1370" t="s">
        <v>1840</v>
      </c>
      <c r="C100" s="1366"/>
      <c r="D100" s="1367"/>
      <c r="E100" s="1300"/>
      <c r="F100" s="1300"/>
      <c r="G100" s="1300"/>
      <c r="H100" s="1300"/>
      <c r="I100" s="1300"/>
      <c r="J100" s="1300"/>
      <c r="K100" s="1368"/>
      <c r="L100" s="1368"/>
      <c r="M100" s="1300"/>
    </row>
    <row r="101" spans="2:13" ht="11.25" customHeight="1" x14ac:dyDescent="0.2">
      <c r="B101" s="1300" t="s">
        <v>1668</v>
      </c>
      <c r="G101" s="317"/>
      <c r="H101" s="317"/>
      <c r="I101" s="317"/>
      <c r="J101" s="317"/>
    </row>
    <row r="102" spans="2:13" ht="11.1" customHeight="1" x14ac:dyDescent="0.2">
      <c r="B102" s="1300"/>
      <c r="G102" s="317"/>
      <c r="H102" s="317"/>
      <c r="I102" s="317"/>
      <c r="J102" s="317"/>
    </row>
    <row r="103" spans="2:13" ht="11.1" customHeight="1" x14ac:dyDescent="0.2">
      <c r="B103" s="1300"/>
      <c r="G103" s="317"/>
      <c r="H103" s="317"/>
      <c r="I103" s="317"/>
      <c r="J103" s="317"/>
    </row>
    <row r="104" spans="2:13" ht="13.5" customHeight="1" x14ac:dyDescent="0.2">
      <c r="M104" s="1371"/>
    </row>
    <row r="105" spans="2:13" ht="13.5" customHeight="1" x14ac:dyDescent="0.2">
      <c r="M105" s="1371"/>
    </row>
    <row r="106" spans="2:13" ht="13.5" customHeight="1" x14ac:dyDescent="0.2">
      <c r="M106" s="1371"/>
    </row>
    <row r="107" spans="2:13" ht="13.5" customHeight="1" x14ac:dyDescent="0.2">
      <c r="G107" s="317"/>
      <c r="H107" s="317"/>
      <c r="I107" s="317"/>
      <c r="J107" s="317"/>
    </row>
    <row r="108" spans="2:13" ht="13.5" customHeight="1" x14ac:dyDescent="0.2">
      <c r="G108" s="317"/>
      <c r="H108" s="317"/>
      <c r="I108" s="317"/>
      <c r="J108" s="317"/>
    </row>
    <row r="109" spans="2:13" ht="13.5" customHeight="1" x14ac:dyDescent="0.2">
      <c r="G109" s="317"/>
      <c r="H109" s="317"/>
      <c r="I109" s="317"/>
      <c r="J109" s="317"/>
    </row>
    <row r="110" spans="2:13" ht="13.5" customHeight="1" x14ac:dyDescent="0.2">
      <c r="G110" s="317"/>
      <c r="H110" s="317"/>
      <c r="I110" s="317"/>
      <c r="J110" s="317"/>
    </row>
    <row r="111" spans="2:13" ht="13.5" customHeight="1" x14ac:dyDescent="0.2">
      <c r="G111" s="317"/>
      <c r="H111" s="317"/>
      <c r="I111" s="317"/>
      <c r="J111" s="317"/>
    </row>
    <row r="112" spans="2:13" ht="13.5" customHeight="1" x14ac:dyDescent="0.2">
      <c r="G112" s="317"/>
      <c r="H112" s="317"/>
      <c r="I112" s="317"/>
      <c r="J112" s="317"/>
    </row>
    <row r="113" spans="7:10" ht="13.5" customHeight="1" x14ac:dyDescent="0.2">
      <c r="G113" s="317"/>
      <c r="H113" s="317"/>
      <c r="I113" s="317"/>
      <c r="J113" s="317"/>
    </row>
    <row r="114" spans="7:10" ht="13.5" customHeight="1" x14ac:dyDescent="0.2"/>
    <row r="115" spans="7:10" ht="13.5" customHeight="1" x14ac:dyDescent="0.2"/>
    <row r="116" spans="7:10" ht="13.5" customHeight="1" x14ac:dyDescent="0.2"/>
    <row r="117" spans="7:10" ht="25.5" customHeight="1" x14ac:dyDescent="0.2"/>
    <row r="118" spans="7:10" ht="25.5" customHeight="1" x14ac:dyDescent="0.2"/>
    <row r="119" spans="7:10" ht="25.5" customHeight="1" x14ac:dyDescent="0.2"/>
    <row r="120" spans="7:10" ht="25.5" customHeight="1" x14ac:dyDescent="0.2"/>
    <row r="121" spans="7:10" ht="25.5" customHeight="1" x14ac:dyDescent="0.2"/>
    <row r="122" spans="7:10" ht="25.5" customHeight="1" x14ac:dyDescent="0.2"/>
    <row r="123" spans="7:10" ht="25.5" customHeight="1" x14ac:dyDescent="0.2"/>
    <row r="124" spans="7:10" ht="25.5" customHeight="1" x14ac:dyDescent="0.2"/>
    <row r="125" spans="7:10" ht="25.5" customHeight="1" x14ac:dyDescent="0.2"/>
    <row r="126" spans="7:10" ht="25.5" customHeight="1" x14ac:dyDescent="0.2"/>
    <row r="127" spans="7:10" ht="25.5" customHeight="1" x14ac:dyDescent="0.2"/>
    <row r="128" spans="7:10" ht="25.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4.7" customHeight="1" x14ac:dyDescent="0.2"/>
    <row r="167" ht="12.2"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4.7" customHeight="1" x14ac:dyDescent="0.2"/>
    <row r="20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89" colorId="8" zoomScale="110" zoomScaleNormal="110" workbookViewId="0">
      <selection activeCell="I118" sqref="I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23" t="s">
        <v>1230</v>
      </c>
      <c r="B2" s="2223"/>
      <c r="C2" s="2223"/>
      <c r="D2" s="2223"/>
      <c r="E2" s="2223"/>
      <c r="F2" s="2223"/>
      <c r="G2" s="2223"/>
      <c r="H2" s="2223"/>
      <c r="I2" s="2223"/>
      <c r="J2" s="222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37" t="s">
        <v>1730</v>
      </c>
      <c r="B35" s="2238"/>
      <c r="C35" s="2238"/>
      <c r="D35" s="2238"/>
      <c r="E35" s="2239"/>
      <c r="F35" s="2239"/>
      <c r="G35" s="2239"/>
      <c r="H35" s="2239"/>
      <c r="I35" s="223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37" t="s">
        <v>331</v>
      </c>
      <c r="B47" s="2240"/>
      <c r="C47" s="2240"/>
      <c r="D47" s="2240"/>
      <c r="E47" s="2241"/>
      <c r="F47" s="2241"/>
      <c r="G47" s="2241"/>
      <c r="H47" s="2241"/>
      <c r="I47" s="224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34335</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4" t="s">
        <v>2284</v>
      </c>
      <c r="C57" s="2245"/>
      <c r="D57" s="2245"/>
      <c r="E57" s="2245"/>
      <c r="F57" s="2245"/>
      <c r="G57" s="2245"/>
      <c r="H57" s="2245"/>
      <c r="I57" s="2245"/>
      <c r="J57" s="2246"/>
    </row>
    <row r="58" spans="1:10" s="181" customFormat="1" x14ac:dyDescent="0.2">
      <c r="A58" s="253"/>
      <c r="B58" s="2247"/>
      <c r="C58" s="2248"/>
      <c r="D58" s="2248"/>
      <c r="E58" s="2248"/>
      <c r="F58" s="2248"/>
      <c r="G58" s="2248"/>
      <c r="H58" s="2248"/>
      <c r="I58" s="2248"/>
      <c r="J58" s="2249"/>
    </row>
    <row r="59" spans="1:10" s="181" customFormat="1" x14ac:dyDescent="0.2">
      <c r="A59" s="253"/>
      <c r="B59" s="2247"/>
      <c r="C59" s="2248"/>
      <c r="D59" s="2248"/>
      <c r="E59" s="2248"/>
      <c r="F59" s="2248"/>
      <c r="G59" s="2248"/>
      <c r="H59" s="2248"/>
      <c r="I59" s="2248"/>
      <c r="J59" s="2249"/>
    </row>
    <row r="60" spans="1:10" s="181" customFormat="1" x14ac:dyDescent="0.2">
      <c r="A60" s="253"/>
      <c r="B60" s="2247"/>
      <c r="C60" s="2248"/>
      <c r="D60" s="2248"/>
      <c r="E60" s="2248"/>
      <c r="F60" s="2248"/>
      <c r="G60" s="2248"/>
      <c r="H60" s="2248"/>
      <c r="I60" s="2248"/>
      <c r="J60" s="2249"/>
    </row>
    <row r="61" spans="1:10" s="181" customFormat="1" x14ac:dyDescent="0.2">
      <c r="A61" s="253"/>
      <c r="B61" s="2247"/>
      <c r="C61" s="2248"/>
      <c r="D61" s="2248"/>
      <c r="E61" s="2248"/>
      <c r="F61" s="2248"/>
      <c r="G61" s="2248"/>
      <c r="H61" s="2248"/>
      <c r="I61" s="2248"/>
      <c r="J61" s="2249"/>
    </row>
    <row r="62" spans="1:10" s="181" customFormat="1" x14ac:dyDescent="0.2">
      <c r="A62" s="253"/>
      <c r="B62" s="2247"/>
      <c r="C62" s="2248"/>
      <c r="D62" s="2248"/>
      <c r="E62" s="2248"/>
      <c r="F62" s="2248"/>
      <c r="G62" s="2248"/>
      <c r="H62" s="2248"/>
      <c r="I62" s="2248"/>
      <c r="J62" s="2249"/>
    </row>
    <row r="63" spans="1:10" s="181" customFormat="1" x14ac:dyDescent="0.2">
      <c r="A63" s="253"/>
      <c r="B63" s="2247"/>
      <c r="C63" s="2248"/>
      <c r="D63" s="2248"/>
      <c r="E63" s="2248"/>
      <c r="F63" s="2248"/>
      <c r="G63" s="2248"/>
      <c r="H63" s="2248"/>
      <c r="I63" s="2248"/>
      <c r="J63" s="2249"/>
    </row>
    <row r="64" spans="1:10" s="181" customFormat="1" x14ac:dyDescent="0.2">
      <c r="A64" s="253"/>
      <c r="B64" s="2247"/>
      <c r="C64" s="2248"/>
      <c r="D64" s="2248"/>
      <c r="E64" s="2248"/>
      <c r="F64" s="2248"/>
      <c r="G64" s="2248"/>
      <c r="H64" s="2248"/>
      <c r="I64" s="2248"/>
      <c r="J64" s="2249"/>
    </row>
    <row r="65" spans="1:10" s="181" customFormat="1" x14ac:dyDescent="0.2">
      <c r="A65" s="253"/>
      <c r="B65" s="2247"/>
      <c r="C65" s="2248"/>
      <c r="D65" s="2248"/>
      <c r="E65" s="2248"/>
      <c r="F65" s="2248"/>
      <c r="G65" s="2248"/>
      <c r="H65" s="2248"/>
      <c r="I65" s="2248"/>
      <c r="J65" s="2249"/>
    </row>
    <row r="66" spans="1:10" s="181" customFormat="1" x14ac:dyDescent="0.2">
      <c r="A66" s="253"/>
      <c r="B66" s="2247"/>
      <c r="C66" s="2248"/>
      <c r="D66" s="2248"/>
      <c r="E66" s="2248"/>
      <c r="F66" s="2248"/>
      <c r="G66" s="2248"/>
      <c r="H66" s="2248"/>
      <c r="I66" s="2248"/>
      <c r="J66" s="2249"/>
    </row>
    <row r="67" spans="1:10" s="181" customFormat="1" ht="9" customHeight="1" x14ac:dyDescent="0.2">
      <c r="A67" s="254"/>
      <c r="B67" s="2250"/>
      <c r="C67" s="2251"/>
      <c r="D67" s="2251"/>
      <c r="E67" s="2251"/>
      <c r="F67" s="2251"/>
      <c r="G67" s="2251"/>
      <c r="H67" s="2251"/>
      <c r="I67" s="2251"/>
      <c r="J67" s="225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37" t="s">
        <v>1390</v>
      </c>
      <c r="B70" s="2240"/>
      <c r="C70" s="2240"/>
      <c r="D70" s="2240"/>
      <c r="E70" s="2241"/>
      <c r="F70" s="2241"/>
      <c r="G70" s="2241"/>
      <c r="H70" s="2241"/>
      <c r="I70" s="224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42" t="s">
        <v>1387</v>
      </c>
      <c r="B83" s="2242"/>
      <c r="C83" s="2242"/>
      <c r="D83" s="224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24"/>
      <c r="C102" s="2225"/>
      <c r="D102" s="2225"/>
      <c r="E102" s="2225"/>
      <c r="F102" s="2225"/>
      <c r="G102" s="2225"/>
      <c r="H102" s="2225"/>
      <c r="I102" s="2226"/>
    </row>
    <row r="103" spans="1:9" s="181" customFormat="1" ht="11.25" customHeight="1" x14ac:dyDescent="0.2">
      <c r="A103" s="316"/>
      <c r="B103" s="2227"/>
      <c r="C103" s="2228"/>
      <c r="D103" s="2228"/>
      <c r="E103" s="2228"/>
      <c r="F103" s="2228"/>
      <c r="G103" s="2228"/>
      <c r="H103" s="2228"/>
      <c r="I103" s="2229"/>
    </row>
    <row r="104" spans="1:9" s="181" customFormat="1" ht="11.25" customHeight="1" x14ac:dyDescent="0.2">
      <c r="A104" s="316"/>
      <c r="B104" s="2227"/>
      <c r="C104" s="2228"/>
      <c r="D104" s="2228"/>
      <c r="E104" s="2228"/>
      <c r="F104" s="2228"/>
      <c r="G104" s="2228"/>
      <c r="H104" s="2228"/>
      <c r="I104" s="2229"/>
    </row>
    <row r="105" spans="1:9" s="181" customFormat="1" x14ac:dyDescent="0.2">
      <c r="A105" s="316"/>
      <c r="B105" s="2227"/>
      <c r="C105" s="2228"/>
      <c r="D105" s="2228"/>
      <c r="E105" s="2228"/>
      <c r="F105" s="2228"/>
      <c r="G105" s="2228"/>
      <c r="H105" s="2228"/>
      <c r="I105" s="2229"/>
    </row>
    <row r="106" spans="1:9" s="181" customFormat="1" ht="11.25" customHeight="1" x14ac:dyDescent="0.2">
      <c r="A106" s="316"/>
      <c r="B106" s="2227"/>
      <c r="C106" s="2228"/>
      <c r="D106" s="2228"/>
      <c r="E106" s="2228"/>
      <c r="F106" s="2228"/>
      <c r="G106" s="2228"/>
      <c r="H106" s="2228"/>
      <c r="I106" s="2229"/>
    </row>
    <row r="107" spans="1:9" s="181" customFormat="1" ht="11.25" customHeight="1" x14ac:dyDescent="0.2">
      <c r="A107" s="316"/>
      <c r="B107" s="2227"/>
      <c r="C107" s="2228"/>
      <c r="D107" s="2228"/>
      <c r="E107" s="2228"/>
      <c r="F107" s="2228"/>
      <c r="G107" s="2228"/>
      <c r="H107" s="2228"/>
      <c r="I107" s="2229"/>
    </row>
    <row r="108" spans="1:9" s="181" customFormat="1" ht="11.25" customHeight="1" x14ac:dyDescent="0.2">
      <c r="A108" s="316"/>
      <c r="B108" s="2227"/>
      <c r="C108" s="2228"/>
      <c r="D108" s="2228"/>
      <c r="E108" s="2228"/>
      <c r="F108" s="2228"/>
      <c r="G108" s="2228"/>
      <c r="H108" s="2228"/>
      <c r="I108" s="2229"/>
    </row>
    <row r="109" spans="1:9" s="181" customFormat="1" ht="11.25" customHeight="1" x14ac:dyDescent="0.2">
      <c r="A109" s="316"/>
      <c r="B109" s="2227"/>
      <c r="C109" s="2228"/>
      <c r="D109" s="2228"/>
      <c r="E109" s="2228"/>
      <c r="F109" s="2228"/>
      <c r="G109" s="2228"/>
      <c r="H109" s="2228"/>
      <c r="I109" s="2229"/>
    </row>
    <row r="110" spans="1:9" s="181" customFormat="1" ht="11.25" customHeight="1" x14ac:dyDescent="0.2">
      <c r="A110" s="316"/>
      <c r="B110" s="2227"/>
      <c r="C110" s="2228"/>
      <c r="D110" s="2228"/>
      <c r="E110" s="2228"/>
      <c r="F110" s="2228"/>
      <c r="G110" s="2228"/>
      <c r="H110" s="2228"/>
      <c r="I110" s="2229"/>
    </row>
    <row r="111" spans="1:9" s="181" customFormat="1" ht="11.25" customHeight="1" x14ac:dyDescent="0.2">
      <c r="A111" s="316"/>
      <c r="B111" s="2227"/>
      <c r="C111" s="2228"/>
      <c r="D111" s="2228"/>
      <c r="E111" s="2228"/>
      <c r="F111" s="2228"/>
      <c r="G111" s="2228"/>
      <c r="H111" s="2228"/>
      <c r="I111" s="2229"/>
    </row>
    <row r="112" spans="1:9" s="181" customFormat="1" ht="11.25" customHeight="1" x14ac:dyDescent="0.2">
      <c r="A112" s="316"/>
      <c r="B112" s="2230"/>
      <c r="C112" s="2231"/>
      <c r="D112" s="2231"/>
      <c r="E112" s="2231"/>
      <c r="F112" s="2231"/>
      <c r="G112" s="2231"/>
      <c r="H112" s="2231"/>
      <c r="I112" s="22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33" t="s">
        <v>2088</v>
      </c>
      <c r="D114" s="223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4" t="s">
        <v>1397</v>
      </c>
      <c r="D117" s="2235"/>
      <c r="E117" s="2236"/>
      <c r="F117" s="2236"/>
      <c r="G117" s="2236"/>
      <c r="H117" s="2236"/>
      <c r="I117" s="304"/>
    </row>
    <row r="118" spans="1:9" s="181" customFormat="1" ht="24" customHeight="1" x14ac:dyDescent="0.2">
      <c r="A118" s="316"/>
      <c r="B118" s="316"/>
      <c r="C118" s="316"/>
      <c r="D118" s="323" t="s">
        <v>2291</v>
      </c>
      <c r="E118" s="322"/>
      <c r="F118" s="324"/>
      <c r="G118" s="1860"/>
      <c r="H118" s="322"/>
      <c r="I118" s="304"/>
    </row>
    <row r="119" spans="1:9" s="181" customFormat="1" ht="11.25" customHeight="1" x14ac:dyDescent="0.2">
      <c r="A119" s="325"/>
      <c r="B119" s="325"/>
      <c r="C119" s="326"/>
      <c r="D119" s="327" t="s">
        <v>379</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22" zoomScale="110" zoomScaleNormal="110" workbookViewId="0">
      <selection activeCell="P34" sqref="P34"/>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22" t="str">
        <f>'Single Audit Cover'!A7</f>
        <v>Chicago Heights School District 170</v>
      </c>
      <c r="C1" s="2623"/>
      <c r="D1" s="2623"/>
      <c r="E1" s="2623"/>
      <c r="F1" s="2623"/>
      <c r="G1" s="2623"/>
      <c r="H1" s="2623"/>
      <c r="I1" s="2623"/>
      <c r="J1" s="1420"/>
    </row>
    <row r="2" spans="2:10" s="317" customFormat="1" ht="12.75" customHeight="1" x14ac:dyDescent="0.2">
      <c r="B2" s="2624">
        <f>'Single Audit Cover'!E7</f>
        <v>17016170002</v>
      </c>
      <c r="C2" s="2625"/>
      <c r="D2" s="2625"/>
      <c r="E2" s="2625"/>
      <c r="F2" s="2625"/>
      <c r="G2" s="2625"/>
      <c r="H2" s="2625"/>
      <c r="I2" s="2625"/>
      <c r="J2" s="1420"/>
    </row>
    <row r="3" spans="2:10" s="317" customFormat="1" ht="12.75" customHeight="1" x14ac:dyDescent="0.2">
      <c r="B3" s="2626" t="s">
        <v>1347</v>
      </c>
      <c r="C3" s="2627"/>
      <c r="D3" s="2627"/>
      <c r="E3" s="2627"/>
      <c r="F3" s="2627"/>
      <c r="G3" s="2627"/>
      <c r="H3" s="2627"/>
      <c r="I3" s="2627"/>
      <c r="J3" s="1421"/>
    </row>
    <row r="4" spans="2:10" s="317" customFormat="1" ht="12.75" customHeight="1" x14ac:dyDescent="0.2">
      <c r="B4" s="2626" t="str">
        <f>'Single Audit Cover'!A4</f>
        <v>Year Ending June 30, 2018</v>
      </c>
      <c r="C4" s="2627"/>
      <c r="D4" s="2627"/>
      <c r="E4" s="2627"/>
      <c r="F4" s="2627"/>
      <c r="G4" s="2627"/>
      <c r="H4" s="2627"/>
      <c r="I4" s="2627"/>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626" t="s">
        <v>1346</v>
      </c>
      <c r="C7" s="2627"/>
      <c r="D7" s="2627"/>
      <c r="E7" s="2627"/>
      <c r="F7" s="2627"/>
      <c r="G7" s="2627"/>
      <c r="H7" s="2627"/>
      <c r="I7" s="2627"/>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628" t="s">
        <v>1226</v>
      </c>
      <c r="D11" s="2628"/>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2074</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t="s">
        <v>2074</v>
      </c>
      <c r="F18" s="1300" t="s">
        <v>940</v>
      </c>
      <c r="G18" s="1436"/>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2074</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2074</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t="s">
        <v>2074</v>
      </c>
      <c r="F27" s="1300" t="s">
        <v>940</v>
      </c>
      <c r="G27" s="1436"/>
      <c r="H27" s="1300" t="s">
        <v>1338</v>
      </c>
      <c r="I27" s="1300"/>
    </row>
    <row r="28" spans="2:9" s="317" customFormat="1" ht="12.75" customHeight="1" x14ac:dyDescent="0.2">
      <c r="B28" s="1366"/>
      <c r="C28" s="1282"/>
      <c r="E28" s="1258"/>
    </row>
    <row r="29" spans="2:9" s="317" customFormat="1" ht="12.75" customHeight="1" x14ac:dyDescent="0.2">
      <c r="B29" s="1366" t="s">
        <v>1337</v>
      </c>
      <c r="C29" s="1282"/>
      <c r="D29" s="2629" t="s">
        <v>2175</v>
      </c>
      <c r="E29" s="2629"/>
      <c r="F29" s="2629"/>
      <c r="G29" s="2629"/>
      <c r="H29" s="2629"/>
      <c r="I29" s="2629"/>
    </row>
    <row r="30" spans="2:9" s="317" customFormat="1" x14ac:dyDescent="0.2">
      <c r="B30" s="1366"/>
      <c r="C30" s="322"/>
      <c r="D30" s="1431" t="s">
        <v>1847</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t="s">
        <v>2074</v>
      </c>
      <c r="F33" s="1300" t="s">
        <v>940</v>
      </c>
      <c r="G33" s="1436"/>
      <c r="H33" s="1300" t="s">
        <v>101</v>
      </c>
    </row>
    <row r="35" spans="2:9" x14ac:dyDescent="0.2">
      <c r="B35" s="1439" t="s">
        <v>1848</v>
      </c>
      <c r="C35" s="1440"/>
      <c r="D35" s="1267"/>
    </row>
    <row r="36" spans="2:9" ht="6" customHeight="1" x14ac:dyDescent="0.2">
      <c r="B36" s="1439"/>
      <c r="C36" s="1440"/>
      <c r="D36" s="1267"/>
    </row>
    <row r="37" spans="2:9" ht="17.25" customHeight="1" x14ac:dyDescent="0.2">
      <c r="B37" s="1441" t="s">
        <v>1849</v>
      </c>
      <c r="C37" s="2630" t="s">
        <v>1850</v>
      </c>
      <c r="D37" s="2631"/>
      <c r="E37" s="2631"/>
      <c r="F37" s="2632"/>
      <c r="G37" s="2630" t="s">
        <v>1674</v>
      </c>
      <c r="H37" s="2631"/>
      <c r="I37" s="2632"/>
    </row>
    <row r="38" spans="2:9" ht="16.5" customHeight="1" x14ac:dyDescent="0.2">
      <c r="B38" s="1442" t="s">
        <v>2282</v>
      </c>
      <c r="C38" s="2618" t="s">
        <v>2155</v>
      </c>
      <c r="D38" s="2619"/>
      <c r="E38" s="2619"/>
      <c r="F38" s="2620"/>
      <c r="G38" s="2633">
        <v>2072476</v>
      </c>
      <c r="H38" s="2634"/>
      <c r="I38" s="2635"/>
    </row>
    <row r="39" spans="2:9" ht="16.5" customHeight="1" x14ac:dyDescent="0.2">
      <c r="B39" s="1442" t="s">
        <v>2283</v>
      </c>
      <c r="C39" s="2618" t="s">
        <v>2159</v>
      </c>
      <c r="D39" s="2619"/>
      <c r="E39" s="2619"/>
      <c r="F39" s="2620"/>
      <c r="G39" s="2621">
        <v>773147</v>
      </c>
      <c r="H39" s="2621"/>
      <c r="I39" s="2621"/>
    </row>
    <row r="40" spans="2:9" ht="16.5" customHeight="1" x14ac:dyDescent="0.2">
      <c r="B40" s="1442"/>
      <c r="C40" s="2618"/>
      <c r="D40" s="2619"/>
      <c r="E40" s="2619"/>
      <c r="F40" s="2620"/>
      <c r="G40" s="2621"/>
      <c r="H40" s="2621"/>
      <c r="I40" s="2621"/>
    </row>
    <row r="41" spans="2:9" ht="16.5" customHeight="1" x14ac:dyDescent="0.2">
      <c r="B41" s="1442"/>
      <c r="C41" s="2618"/>
      <c r="D41" s="2619"/>
      <c r="E41" s="2619"/>
      <c r="F41" s="2620"/>
      <c r="G41" s="2621"/>
      <c r="H41" s="2621"/>
      <c r="I41" s="2621"/>
    </row>
    <row r="42" spans="2:9" ht="16.5" customHeight="1" x14ac:dyDescent="0.2">
      <c r="B42" s="1442"/>
      <c r="C42" s="2618"/>
      <c r="D42" s="2619"/>
      <c r="E42" s="2619"/>
      <c r="F42" s="2620"/>
      <c r="G42" s="2621"/>
      <c r="H42" s="2621"/>
      <c r="I42" s="2621"/>
    </row>
    <row r="43" spans="2:9" ht="16.5" customHeight="1" x14ac:dyDescent="0.2">
      <c r="B43" s="1442"/>
      <c r="C43" s="2636" t="s">
        <v>1675</v>
      </c>
      <c r="D43" s="2637"/>
      <c r="E43" s="2637"/>
      <c r="F43" s="2638"/>
      <c r="G43" s="2639">
        <f>SUM(G38:I42)</f>
        <v>2845623</v>
      </c>
      <c r="H43" s="2639"/>
      <c r="I43" s="2639"/>
    </row>
    <row r="44" spans="2:9" ht="12.75" customHeight="1" x14ac:dyDescent="0.2"/>
    <row r="45" spans="2:9" ht="12.75" customHeight="1" x14ac:dyDescent="0.2">
      <c r="B45" s="1433" t="s">
        <v>1947</v>
      </c>
      <c r="D45" s="2640">
        <v>6200778</v>
      </c>
      <c r="E45" s="2641"/>
    </row>
    <row r="46" spans="2:9" ht="5.25" customHeight="1" x14ac:dyDescent="0.2">
      <c r="B46" s="1443"/>
      <c r="D46" s="1444"/>
      <c r="E46" s="1445"/>
    </row>
    <row r="47" spans="2:9" ht="12.75" customHeight="1" x14ac:dyDescent="0.2">
      <c r="B47" s="1300" t="s">
        <v>1676</v>
      </c>
      <c r="C47" s="1300"/>
      <c r="D47" s="1446">
        <f>+G43/D45</f>
        <v>0.45891386532464151</v>
      </c>
      <c r="E47" s="1447"/>
      <c r="F47" s="1448"/>
      <c r="I47" s="1449"/>
    </row>
    <row r="48" spans="2:9" ht="9.9499999999999993" customHeight="1" x14ac:dyDescent="0.2"/>
    <row r="49" spans="1:9" x14ac:dyDescent="0.2">
      <c r="B49" s="1366" t="s">
        <v>1335</v>
      </c>
      <c r="C49" s="1282"/>
      <c r="D49" s="1282"/>
      <c r="E49" s="2642">
        <v>750000</v>
      </c>
      <c r="F49" s="2642"/>
      <c r="G49" s="2642"/>
      <c r="H49" s="322"/>
    </row>
    <row r="51" spans="1:9" ht="13.5" customHeight="1" x14ac:dyDescent="0.2">
      <c r="B51" s="1366" t="s">
        <v>1334</v>
      </c>
      <c r="C51" s="1282"/>
      <c r="E51" s="1436"/>
      <c r="F51" s="1300" t="s">
        <v>940</v>
      </c>
      <c r="G51" s="1436" t="s">
        <v>2074</v>
      </c>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1851</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1852</v>
      </c>
      <c r="C58" s="1462"/>
      <c r="D58" s="1462"/>
    </row>
    <row r="59" spans="1:9" s="1459" customFormat="1" ht="3.95" customHeight="1" x14ac:dyDescent="0.2">
      <c r="A59" s="1456"/>
      <c r="B59" s="1461"/>
      <c r="C59" s="1462"/>
      <c r="D59" s="1462"/>
    </row>
    <row r="60" spans="1:9" s="1459" customFormat="1" ht="13.5" customHeight="1" x14ac:dyDescent="0.2">
      <c r="A60" s="1456"/>
      <c r="B60" s="1461" t="s">
        <v>1853</v>
      </c>
      <c r="C60" s="1462"/>
      <c r="D60" s="1462"/>
    </row>
    <row r="61" spans="1:9" s="1459" customFormat="1" ht="3.95" customHeight="1" x14ac:dyDescent="0.2">
      <c r="A61" s="1456"/>
      <c r="B61" s="1461"/>
      <c r="C61" s="1462"/>
      <c r="D61" s="1462"/>
    </row>
    <row r="62" spans="1:9" s="1459" customFormat="1" ht="12.75" customHeight="1" x14ac:dyDescent="0.2">
      <c r="A62" s="1456"/>
      <c r="B62" s="1461" t="s">
        <v>1854</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5"/>
  <sheetViews>
    <sheetView showGridLines="0" topLeftCell="B25" zoomScale="110" zoomScaleNormal="110" workbookViewId="0">
      <selection activeCell="N35" sqref="N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2" t="str">
        <f>'Single Audit Cover'!A7</f>
        <v>Chicago Heights School District 170</v>
      </c>
      <c r="C1" s="2622"/>
      <c r="D1" s="2622"/>
      <c r="E1" s="2622"/>
      <c r="F1" s="2622"/>
      <c r="G1" s="2622"/>
      <c r="H1" s="2622"/>
      <c r="I1" s="2622"/>
      <c r="J1" s="2622"/>
      <c r="K1" s="2622"/>
      <c r="L1" s="1372"/>
      <c r="M1" s="1372"/>
    </row>
    <row r="2" spans="1:13" ht="12" customHeight="1" x14ac:dyDescent="0.2">
      <c r="B2" s="2624">
        <f>'Single Audit Cover'!E7</f>
        <v>17016170002</v>
      </c>
      <c r="C2" s="2624"/>
      <c r="D2" s="2624"/>
      <c r="E2" s="2624"/>
      <c r="F2" s="2624"/>
      <c r="G2" s="2624"/>
      <c r="H2" s="2624"/>
      <c r="I2" s="2624"/>
      <c r="J2" s="2624"/>
      <c r="K2" s="2624"/>
      <c r="L2" s="1373"/>
      <c r="M2" s="1374"/>
    </row>
    <row r="3" spans="1:13" ht="10.35" customHeight="1" x14ac:dyDescent="0.2">
      <c r="B3" s="2644" t="s">
        <v>1347</v>
      </c>
      <c r="C3" s="2644"/>
      <c r="D3" s="2644"/>
      <c r="E3" s="2644"/>
      <c r="F3" s="2644"/>
      <c r="G3" s="2644"/>
      <c r="H3" s="2644"/>
      <c r="I3" s="2644"/>
      <c r="J3" s="2644"/>
      <c r="K3" s="2644"/>
      <c r="L3" s="1375"/>
      <c r="M3" s="1375"/>
    </row>
    <row r="4" spans="1:13" ht="14.25" customHeight="1" x14ac:dyDescent="0.2">
      <c r="B4" s="2645" t="str">
        <f>'Single Audit Cover'!A4</f>
        <v>Year Ending June 30, 2018</v>
      </c>
      <c r="C4" s="2645"/>
      <c r="D4" s="2645"/>
      <c r="E4" s="2645"/>
      <c r="F4" s="2645"/>
      <c r="G4" s="2645"/>
      <c r="H4" s="2645"/>
      <c r="I4" s="2645"/>
      <c r="J4" s="2645"/>
      <c r="K4" s="2645"/>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645" t="s">
        <v>1363</v>
      </c>
      <c r="C7" s="2645"/>
      <c r="D7" s="2646"/>
      <c r="E7" s="2646"/>
      <c r="F7" s="2646"/>
      <c r="G7" s="2646"/>
      <c r="H7" s="2646"/>
      <c r="I7" s="2646"/>
      <c r="J7" s="2646"/>
      <c r="K7" s="264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1</v>
      </c>
      <c r="E10" s="322"/>
      <c r="F10" s="1385" t="s">
        <v>1362</v>
      </c>
      <c r="G10" s="1386"/>
      <c r="H10" s="1387" t="s">
        <v>1361</v>
      </c>
      <c r="I10" s="1386" t="s">
        <v>2074</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53.25" customHeight="1" x14ac:dyDescent="0.2">
      <c r="B14" s="2643" t="s">
        <v>2195</v>
      </c>
      <c r="C14" s="2643"/>
      <c r="D14" s="2643"/>
      <c r="E14" s="2643"/>
      <c r="F14" s="2643"/>
      <c r="G14" s="2643"/>
      <c r="H14" s="2643"/>
      <c r="I14" s="2643"/>
      <c r="J14" s="2643"/>
      <c r="K14" s="2643"/>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9" ht="55.5" customHeight="1" x14ac:dyDescent="0.2">
      <c r="B17" s="2643" t="s">
        <v>2196</v>
      </c>
      <c r="C17" s="2643"/>
      <c r="D17" s="2643"/>
      <c r="E17" s="2643"/>
      <c r="F17" s="2643"/>
      <c r="G17" s="2643"/>
      <c r="H17" s="2643"/>
      <c r="I17" s="2643"/>
      <c r="J17" s="2643"/>
      <c r="K17" s="2643"/>
      <c r="L17" s="1379"/>
      <c r="O17" s="317">
        <v>0</v>
      </c>
    </row>
    <row r="18" spans="2:19" ht="4.5" customHeight="1" x14ac:dyDescent="0.2">
      <c r="B18" s="1396"/>
      <c r="C18" s="1396"/>
      <c r="L18" s="1379"/>
      <c r="O18" s="317" t="s">
        <v>2198</v>
      </c>
      <c r="S18" s="317" t="s">
        <v>2198</v>
      </c>
    </row>
    <row r="19" spans="2:19" s="1282" customFormat="1" ht="13.5" customHeight="1" x14ac:dyDescent="0.2">
      <c r="B19" s="1391" t="s">
        <v>1842</v>
      </c>
      <c r="C19" s="1391"/>
      <c r="D19" s="1392"/>
      <c r="E19" s="1392"/>
      <c r="F19" s="1392"/>
      <c r="G19" s="1393"/>
      <c r="H19" s="1392"/>
      <c r="I19" s="1393"/>
      <c r="J19" s="1392"/>
      <c r="K19" s="1392"/>
      <c r="L19" s="1394"/>
    </row>
    <row r="20" spans="2:19" ht="57" customHeight="1" x14ac:dyDescent="0.2">
      <c r="B20" s="2649" t="s">
        <v>2197</v>
      </c>
      <c r="C20" s="2649"/>
      <c r="D20" s="2643"/>
      <c r="E20" s="2643"/>
      <c r="F20" s="2643"/>
      <c r="G20" s="2643"/>
      <c r="H20" s="2643"/>
      <c r="I20" s="2643"/>
      <c r="J20" s="2643"/>
      <c r="K20" s="2643"/>
      <c r="L20" s="1379"/>
    </row>
    <row r="21" spans="2:19" ht="4.5" hidden="1" customHeight="1" x14ac:dyDescent="0.2">
      <c r="B21" s="1398"/>
      <c r="C21" s="1398"/>
      <c r="L21" s="1379"/>
    </row>
    <row r="22" spans="2:19" ht="13.5" customHeight="1" x14ac:dyDescent="0.2">
      <c r="B22" s="1391" t="s">
        <v>1356</v>
      </c>
      <c r="C22" s="1391"/>
      <c r="D22" s="1377"/>
      <c r="E22" s="1377"/>
      <c r="F22" s="1377"/>
      <c r="G22" s="1378"/>
      <c r="H22" s="1377"/>
      <c r="I22" s="1378"/>
      <c r="J22" s="1377"/>
      <c r="K22" s="1377"/>
      <c r="L22" s="1379"/>
    </row>
    <row r="23" spans="2:19" ht="45" customHeight="1" x14ac:dyDescent="0.2">
      <c r="B23" s="2643" t="s">
        <v>2193</v>
      </c>
      <c r="C23" s="2643"/>
      <c r="D23" s="2643"/>
      <c r="E23" s="2643"/>
      <c r="F23" s="2643"/>
      <c r="G23" s="2643"/>
      <c r="H23" s="2643"/>
      <c r="I23" s="2643"/>
      <c r="J23" s="2643"/>
      <c r="K23" s="2643"/>
      <c r="L23" s="1379"/>
    </row>
    <row r="24" spans="2:19" ht="4.5" customHeight="1" x14ac:dyDescent="0.2">
      <c r="B24" s="1396"/>
      <c r="C24" s="1396"/>
      <c r="L24" s="1379"/>
    </row>
    <row r="25" spans="2:19" ht="13.5" customHeight="1" x14ac:dyDescent="0.2">
      <c r="B25" s="1391" t="s">
        <v>1355</v>
      </c>
      <c r="C25" s="1391"/>
      <c r="D25" s="1377"/>
      <c r="E25" s="1377"/>
      <c r="F25" s="1377"/>
      <c r="G25" s="1378"/>
      <c r="H25" s="1377"/>
      <c r="I25" s="1378"/>
      <c r="J25" s="1377"/>
      <c r="K25" s="1377"/>
      <c r="L25" s="1379"/>
    </row>
    <row r="26" spans="2:19" ht="45.75" customHeight="1" x14ac:dyDescent="0.2">
      <c r="B26" s="2651" t="s">
        <v>2169</v>
      </c>
      <c r="C26" s="2651"/>
      <c r="D26" s="2651"/>
      <c r="E26" s="2651"/>
      <c r="F26" s="2651"/>
      <c r="G26" s="2651"/>
      <c r="H26" s="2651"/>
      <c r="I26" s="2651"/>
      <c r="J26" s="2651"/>
      <c r="K26" s="2651"/>
      <c r="L26" s="1379"/>
    </row>
    <row r="27" spans="2:19" ht="4.5" customHeight="1" x14ac:dyDescent="0.2">
      <c r="B27" s="1396"/>
      <c r="C27" s="1396"/>
      <c r="L27" s="1379"/>
    </row>
    <row r="28" spans="2:19" ht="13.5" customHeight="1" x14ac:dyDescent="0.2">
      <c r="B28" s="1399" t="s">
        <v>1354</v>
      </c>
      <c r="C28" s="1399"/>
      <c r="D28" s="1377"/>
      <c r="E28" s="1377"/>
      <c r="F28" s="1377"/>
      <c r="G28" s="1378"/>
      <c r="H28" s="1377"/>
      <c r="I28" s="1378"/>
      <c r="J28" s="1377"/>
      <c r="K28" s="1377"/>
      <c r="L28" s="1379"/>
    </row>
    <row r="29" spans="2:19" ht="54.75" customHeight="1" x14ac:dyDescent="0.2">
      <c r="B29" s="2650" t="s">
        <v>2199</v>
      </c>
      <c r="C29" s="2650"/>
      <c r="D29" s="2643"/>
      <c r="E29" s="2643"/>
      <c r="F29" s="2643"/>
      <c r="G29" s="2643"/>
      <c r="H29" s="2643"/>
      <c r="I29" s="2643"/>
      <c r="J29" s="2643"/>
      <c r="K29" s="2643"/>
      <c r="L29" s="1379"/>
    </row>
    <row r="30" spans="2:19" ht="4.5" customHeight="1" x14ac:dyDescent="0.2">
      <c r="B30" s="1400"/>
      <c r="C30" s="1400"/>
      <c r="D30" s="322"/>
      <c r="E30" s="322"/>
      <c r="F30" s="322"/>
      <c r="G30" s="1381"/>
      <c r="H30" s="322"/>
      <c r="I30" s="1381"/>
      <c r="J30" s="322"/>
      <c r="K30" s="322"/>
      <c r="L30" s="1379"/>
    </row>
    <row r="31" spans="2:19" s="322" customFormat="1" ht="13.5" customHeight="1" x14ac:dyDescent="0.2">
      <c r="B31" s="1401" t="s">
        <v>1843</v>
      </c>
      <c r="C31" s="1401"/>
      <c r="D31" s="1376"/>
      <c r="E31" s="1377"/>
      <c r="F31" s="1377"/>
      <c r="G31" s="1378"/>
      <c r="H31" s="1377"/>
      <c r="I31" s="1378"/>
      <c r="J31" s="1377"/>
      <c r="K31" s="1377"/>
      <c r="L31" s="1379"/>
    </row>
    <row r="32" spans="2:19" s="322" customFormat="1" ht="45.75" customHeight="1" x14ac:dyDescent="0.2">
      <c r="B32" s="2647" t="s">
        <v>2194</v>
      </c>
      <c r="C32" s="2647"/>
      <c r="D32" s="2648"/>
      <c r="E32" s="2648"/>
      <c r="F32" s="2648"/>
      <c r="G32" s="2648"/>
      <c r="H32" s="2648"/>
      <c r="I32" s="2648"/>
      <c r="J32" s="2648"/>
      <c r="K32" s="2648"/>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s="322" customFormat="1" x14ac:dyDescent="0.2">
      <c r="B35" s="2083" t="s">
        <v>1353</v>
      </c>
      <c r="C35" s="2084"/>
      <c r="D35" s="2085"/>
      <c r="E35" s="2085"/>
      <c r="F35" s="2085"/>
      <c r="G35" s="2086"/>
      <c r="H35" s="2085"/>
      <c r="I35" s="2086"/>
      <c r="J35" s="2085"/>
      <c r="K35" s="2087"/>
      <c r="L35" s="1379"/>
    </row>
    <row r="36" spans="1:13" s="322" customFormat="1" x14ac:dyDescent="0.2">
      <c r="B36" s="2088" t="s">
        <v>1352</v>
      </c>
      <c r="C36" s="2089"/>
      <c r="D36" s="2090"/>
      <c r="E36" s="2091"/>
      <c r="F36" s="2092" t="s">
        <v>1351</v>
      </c>
      <c r="G36" s="2093"/>
      <c r="H36" s="2094"/>
      <c r="I36" s="2095"/>
      <c r="J36" s="2096"/>
      <c r="K36" s="2097"/>
      <c r="L36" s="1379"/>
    </row>
    <row r="37" spans="1:13" s="322" customFormat="1" x14ac:dyDescent="0.2">
      <c r="B37" s="2088" t="s">
        <v>1350</v>
      </c>
      <c r="C37" s="2089"/>
      <c r="D37" s="2098"/>
      <c r="E37" s="2094"/>
      <c r="F37" s="2099" t="s">
        <v>1349</v>
      </c>
      <c r="G37" s="2093"/>
      <c r="H37" s="2094"/>
      <c r="I37" s="2095"/>
      <c r="J37" s="2096"/>
      <c r="K37" s="2097"/>
      <c r="L37" s="1379"/>
    </row>
    <row r="38" spans="1:13" s="322" customFormat="1" x14ac:dyDescent="0.2">
      <c r="B38" s="2100"/>
      <c r="C38" s="2096"/>
      <c r="D38" s="2096"/>
      <c r="E38" s="2096"/>
      <c r="F38" s="2096"/>
      <c r="G38" s="2101"/>
      <c r="H38" s="2096"/>
      <c r="I38" s="2101"/>
      <c r="J38" s="2096"/>
      <c r="K38" s="2102"/>
      <c r="L38" s="1379"/>
    </row>
    <row r="39" spans="1:13" ht="11.85" customHeight="1" x14ac:dyDescent="0.2">
      <c r="B39" s="1417" t="s">
        <v>1844</v>
      </c>
      <c r="C39" s="1417"/>
      <c r="D39" s="322"/>
      <c r="E39" s="322"/>
      <c r="F39" s="322"/>
      <c r="L39" s="1379"/>
    </row>
    <row r="40" spans="1:13" ht="9.6" customHeight="1" x14ac:dyDescent="0.2">
      <c r="B40" s="1300" t="s">
        <v>1949</v>
      </c>
      <c r="C40" s="1300"/>
      <c r="L40" s="1379"/>
    </row>
    <row r="41" spans="1:13" ht="9.6" customHeight="1" x14ac:dyDescent="0.2">
      <c r="B41" s="1300" t="s">
        <v>1950</v>
      </c>
      <c r="C41" s="1300"/>
    </row>
    <row r="42" spans="1:13" ht="11.85" customHeight="1" x14ac:dyDescent="0.2">
      <c r="B42" s="1418" t="s">
        <v>1845</v>
      </c>
      <c r="C42" s="1418"/>
    </row>
    <row r="43" spans="1:13" ht="9.6" customHeight="1" x14ac:dyDescent="0.2">
      <c r="B43" s="1300" t="s">
        <v>1348</v>
      </c>
      <c r="C43" s="1300"/>
      <c r="M43" s="1419"/>
    </row>
    <row r="44" spans="1:13" ht="12.6" customHeight="1" x14ac:dyDescent="0.2">
      <c r="B44" s="1418" t="s">
        <v>1846</v>
      </c>
      <c r="C44" s="1418"/>
      <c r="M44" s="1419"/>
    </row>
    <row r="45" spans="1:13" ht="9.6" customHeight="1" x14ac:dyDescent="0.2">
      <c r="B45" s="1300"/>
      <c r="C45" s="1300"/>
      <c r="M45" s="1419"/>
    </row>
  </sheetData>
  <mergeCells count="12">
    <mergeCell ref="B32:K32"/>
    <mergeCell ref="B17:K17"/>
    <mergeCell ref="B20:K20"/>
    <mergeCell ref="B23:K23"/>
    <mergeCell ref="B29:K29"/>
    <mergeCell ref="B26:K26"/>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5"/>
  <sheetViews>
    <sheetView showGridLines="0" topLeftCell="B28" zoomScale="110" zoomScaleNormal="110" workbookViewId="0">
      <selection activeCell="O29" sqref="O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2" t="str">
        <f>'Single Audit Cover'!A7</f>
        <v>Chicago Heights School District 170</v>
      </c>
      <c r="C1" s="2622"/>
      <c r="D1" s="2622"/>
      <c r="E1" s="2622"/>
      <c r="F1" s="2622"/>
      <c r="G1" s="2622"/>
      <c r="H1" s="2622"/>
      <c r="I1" s="2622"/>
      <c r="J1" s="2622"/>
      <c r="K1" s="2622"/>
      <c r="L1" s="1372"/>
      <c r="M1" s="1372"/>
    </row>
    <row r="2" spans="1:13" ht="12" customHeight="1" x14ac:dyDescent="0.2">
      <c r="B2" s="2624">
        <f>'Single Audit Cover'!E7</f>
        <v>17016170002</v>
      </c>
      <c r="C2" s="2624"/>
      <c r="D2" s="2624"/>
      <c r="E2" s="2624"/>
      <c r="F2" s="2624"/>
      <c r="G2" s="2624"/>
      <c r="H2" s="2624"/>
      <c r="I2" s="2624"/>
      <c r="J2" s="2624"/>
      <c r="K2" s="2624"/>
      <c r="L2" s="1373"/>
      <c r="M2" s="1374"/>
    </row>
    <row r="3" spans="1:13" ht="10.35" customHeight="1" x14ac:dyDescent="0.2">
      <c r="B3" s="2644" t="s">
        <v>1347</v>
      </c>
      <c r="C3" s="2644"/>
      <c r="D3" s="2644"/>
      <c r="E3" s="2644"/>
      <c r="F3" s="2644"/>
      <c r="G3" s="2644"/>
      <c r="H3" s="2644"/>
      <c r="I3" s="2644"/>
      <c r="J3" s="2644"/>
      <c r="K3" s="2644"/>
      <c r="L3" s="2082"/>
      <c r="M3" s="2082"/>
    </row>
    <row r="4" spans="1:13" ht="14.25" customHeight="1" x14ac:dyDescent="0.2">
      <c r="B4" s="2645" t="str">
        <f>'Single Audit Cover'!A4</f>
        <v>Year Ending June 30, 2018</v>
      </c>
      <c r="C4" s="2645"/>
      <c r="D4" s="2645"/>
      <c r="E4" s="2645"/>
      <c r="F4" s="2645"/>
      <c r="G4" s="2645"/>
      <c r="H4" s="2645"/>
      <c r="I4" s="2645"/>
      <c r="J4" s="2645"/>
      <c r="K4" s="2645"/>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645" t="s">
        <v>1363</v>
      </c>
      <c r="C7" s="2645"/>
      <c r="D7" s="2646"/>
      <c r="E7" s="2646"/>
      <c r="F7" s="2646"/>
      <c r="G7" s="2646"/>
      <c r="H7" s="2646"/>
      <c r="I7" s="2646"/>
      <c r="J7" s="2646"/>
      <c r="K7" s="264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2</v>
      </c>
      <c r="E10" s="322"/>
      <c r="F10" s="1385" t="s">
        <v>1362</v>
      </c>
      <c r="G10" s="1386"/>
      <c r="H10" s="1387" t="s">
        <v>1361</v>
      </c>
      <c r="I10" s="1386" t="s">
        <v>2074</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652" t="s">
        <v>2200</v>
      </c>
      <c r="C14" s="2652"/>
      <c r="D14" s="2652"/>
      <c r="E14" s="2652"/>
      <c r="F14" s="2652"/>
      <c r="G14" s="2652"/>
      <c r="H14" s="2652"/>
      <c r="I14" s="2652"/>
      <c r="J14" s="2652"/>
      <c r="K14" s="2652"/>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652" t="s">
        <v>2182</v>
      </c>
      <c r="C17" s="2652"/>
      <c r="D17" s="2652"/>
      <c r="E17" s="2652"/>
      <c r="F17" s="2652"/>
      <c r="G17" s="2652"/>
      <c r="H17" s="2652"/>
      <c r="I17" s="2652"/>
      <c r="J17" s="2652"/>
      <c r="K17" s="2652"/>
      <c r="L17" s="1379"/>
    </row>
    <row r="18" spans="2:12" ht="4.5" customHeight="1" x14ac:dyDescent="0.2">
      <c r="B18" s="1396"/>
      <c r="C18" s="1396"/>
      <c r="L18" s="1379"/>
    </row>
    <row r="19" spans="2:12" s="1282" customFormat="1" ht="13.5" customHeight="1" x14ac:dyDescent="0.2">
      <c r="B19" s="1391" t="s">
        <v>1842</v>
      </c>
      <c r="C19" s="1391"/>
      <c r="D19" s="1392"/>
      <c r="E19" s="1392"/>
      <c r="F19" s="1392"/>
      <c r="G19" s="1393"/>
      <c r="H19" s="1392"/>
      <c r="I19" s="1393"/>
      <c r="J19" s="1392"/>
      <c r="K19" s="1392"/>
      <c r="L19" s="1394"/>
    </row>
    <row r="20" spans="2:12" ht="45.75" customHeight="1" x14ac:dyDescent="0.2">
      <c r="B20" s="2653" t="s">
        <v>2169</v>
      </c>
      <c r="C20" s="2653"/>
      <c r="D20" s="2651"/>
      <c r="E20" s="2651"/>
      <c r="F20" s="2651"/>
      <c r="G20" s="2651"/>
      <c r="H20" s="2651"/>
      <c r="I20" s="2651"/>
      <c r="J20" s="2651"/>
      <c r="K20" s="265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52" t="s">
        <v>2201</v>
      </c>
      <c r="C23" s="2652"/>
      <c r="D23" s="2652"/>
      <c r="E23" s="2652"/>
      <c r="F23" s="2652"/>
      <c r="G23" s="2652"/>
      <c r="H23" s="2652"/>
      <c r="I23" s="2652"/>
      <c r="J23" s="2652"/>
      <c r="K23" s="265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51" t="s">
        <v>2169</v>
      </c>
      <c r="C26" s="2651"/>
      <c r="D26" s="2651"/>
      <c r="E26" s="2651"/>
      <c r="F26" s="2651"/>
      <c r="G26" s="2651"/>
      <c r="H26" s="2651"/>
      <c r="I26" s="2651"/>
      <c r="J26" s="2651"/>
      <c r="K26" s="265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652" t="s">
        <v>2202</v>
      </c>
      <c r="C29" s="2652"/>
      <c r="D29" s="2652"/>
      <c r="E29" s="2652"/>
      <c r="F29" s="2652"/>
      <c r="G29" s="2652"/>
      <c r="H29" s="2652"/>
      <c r="I29" s="2652"/>
      <c r="J29" s="2652"/>
      <c r="K29" s="2652"/>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47" t="s">
        <v>2203</v>
      </c>
      <c r="C32" s="2647"/>
      <c r="D32" s="2648"/>
      <c r="E32" s="2648"/>
      <c r="F32" s="2648"/>
      <c r="G32" s="2648"/>
      <c r="H32" s="2648"/>
      <c r="I32" s="2648"/>
      <c r="J32" s="2648"/>
      <c r="K32" s="2648"/>
      <c r="L32" s="1379"/>
    </row>
    <row r="33" spans="1:13" s="322" customFormat="1" ht="4.5" customHeight="1" x14ac:dyDescent="0.2">
      <c r="B33" s="1400"/>
      <c r="C33" s="1400"/>
      <c r="G33" s="1381"/>
      <c r="I33" s="1381"/>
      <c r="L33" s="1379"/>
    </row>
    <row r="34" spans="1:13" s="322" customFormat="1" ht="18.75" customHeight="1" x14ac:dyDescent="0.2">
      <c r="B34" s="2083" t="s">
        <v>1353</v>
      </c>
      <c r="C34" s="2084"/>
      <c r="D34" s="2085"/>
      <c r="E34" s="2085"/>
      <c r="F34" s="2085"/>
      <c r="G34" s="2086"/>
      <c r="H34" s="2085"/>
      <c r="I34" s="2086"/>
      <c r="J34" s="2085"/>
      <c r="K34" s="2087"/>
      <c r="L34" s="1379"/>
    </row>
    <row r="35" spans="1:13" s="322" customFormat="1" ht="22.5" customHeight="1" x14ac:dyDescent="0.2">
      <c r="B35" s="2088" t="s">
        <v>1352</v>
      </c>
      <c r="C35" s="2089"/>
      <c r="D35" s="2090"/>
      <c r="E35" s="2091"/>
      <c r="F35" s="2092" t="s">
        <v>1351</v>
      </c>
      <c r="G35" s="2093"/>
      <c r="H35" s="2094"/>
      <c r="I35" s="2095"/>
      <c r="J35" s="2096"/>
      <c r="K35" s="2097"/>
      <c r="L35" s="1379"/>
    </row>
    <row r="36" spans="1:13" s="322" customFormat="1" ht="18" customHeight="1" x14ac:dyDescent="0.2">
      <c r="B36" s="2088" t="s">
        <v>1350</v>
      </c>
      <c r="C36" s="2089"/>
      <c r="D36" s="2098"/>
      <c r="E36" s="2094"/>
      <c r="F36" s="2099" t="s">
        <v>1349</v>
      </c>
      <c r="G36" s="2093"/>
      <c r="H36" s="2094"/>
      <c r="I36" s="2095"/>
      <c r="J36" s="2096"/>
      <c r="K36" s="2097"/>
      <c r="L36" s="1379"/>
    </row>
    <row r="37" spans="1:13" s="322" customFormat="1" ht="18" customHeight="1" x14ac:dyDescent="0.2">
      <c r="B37" s="2100"/>
      <c r="C37" s="2096"/>
      <c r="D37" s="2096"/>
      <c r="E37" s="2096"/>
      <c r="F37" s="2096"/>
      <c r="G37" s="2101"/>
      <c r="H37" s="2096"/>
      <c r="I37" s="2101"/>
      <c r="J37" s="2096"/>
      <c r="K37" s="2102"/>
      <c r="L37" s="1379"/>
    </row>
    <row r="38" spans="1:13" s="322" customFormat="1" x14ac:dyDescent="0.2">
      <c r="A38" s="1297"/>
      <c r="B38" s="1415"/>
      <c r="C38" s="1415"/>
      <c r="D38" s="1415"/>
      <c r="E38" s="1415"/>
      <c r="F38" s="1415"/>
      <c r="G38" s="1416"/>
      <c r="H38" s="1415"/>
      <c r="I38" s="1416"/>
      <c r="J38" s="1415"/>
      <c r="K38" s="1415"/>
      <c r="L38" s="1379"/>
    </row>
    <row r="39" spans="1:13" ht="11.85" customHeight="1" x14ac:dyDescent="0.2">
      <c r="B39" s="1417" t="s">
        <v>1844</v>
      </c>
      <c r="C39" s="1417"/>
      <c r="D39" s="322"/>
      <c r="E39" s="322"/>
      <c r="F39" s="322"/>
      <c r="L39" s="1379"/>
    </row>
    <row r="40" spans="1:13" ht="9.6" customHeight="1" x14ac:dyDescent="0.2">
      <c r="B40" s="1300" t="s">
        <v>1949</v>
      </c>
      <c r="C40" s="1300"/>
      <c r="L40" s="1379"/>
    </row>
    <row r="41" spans="1:13" ht="9.6" customHeight="1" x14ac:dyDescent="0.2">
      <c r="B41" s="1300" t="s">
        <v>1950</v>
      </c>
      <c r="C41" s="1300"/>
    </row>
    <row r="42" spans="1:13" ht="11.85" customHeight="1" x14ac:dyDescent="0.2">
      <c r="B42" s="1418" t="s">
        <v>1845</v>
      </c>
      <c r="C42" s="1418"/>
    </row>
    <row r="43" spans="1:13" ht="9.6" customHeight="1" x14ac:dyDescent="0.2">
      <c r="B43" s="1300" t="s">
        <v>1348</v>
      </c>
      <c r="C43" s="1300"/>
      <c r="M43" s="1419"/>
    </row>
    <row r="44" spans="1:13" ht="12.6" customHeight="1" x14ac:dyDescent="0.2">
      <c r="B44" s="1418" t="s">
        <v>1846</v>
      </c>
      <c r="C44" s="1418"/>
      <c r="M44" s="1419"/>
    </row>
    <row r="45" spans="1:13" ht="9.6" customHeight="1" x14ac:dyDescent="0.2">
      <c r="B45" s="1300"/>
      <c r="C45" s="1300"/>
      <c r="M45" s="1419"/>
    </row>
  </sheetData>
  <mergeCells count="12">
    <mergeCell ref="B32:K32"/>
    <mergeCell ref="B1:K1"/>
    <mergeCell ref="B2:K2"/>
    <mergeCell ref="B3:K3"/>
    <mergeCell ref="B4:K4"/>
    <mergeCell ref="B7:K7"/>
    <mergeCell ref="B14:K14"/>
    <mergeCell ref="B20:K20"/>
    <mergeCell ref="B26:K26"/>
    <mergeCell ref="B17:K17"/>
    <mergeCell ref="B23:K23"/>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4"/>
  <sheetViews>
    <sheetView showGridLines="0" topLeftCell="B4" zoomScale="110" zoomScaleNormal="110" workbookViewId="0">
      <selection activeCell="S39" sqref="S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2" t="str">
        <f>'Single Audit Cover'!A7</f>
        <v>Chicago Heights School District 170</v>
      </c>
      <c r="C1" s="2622"/>
      <c r="D1" s="2622"/>
      <c r="E1" s="2622"/>
      <c r="F1" s="2622"/>
      <c r="G1" s="2622"/>
      <c r="H1" s="2622"/>
      <c r="I1" s="2622"/>
      <c r="J1" s="2622"/>
      <c r="K1" s="2622"/>
      <c r="L1" s="1372"/>
      <c r="M1" s="1372"/>
    </row>
    <row r="2" spans="1:13" ht="12" customHeight="1" x14ac:dyDescent="0.2">
      <c r="B2" s="2624">
        <f>'Single Audit Cover'!E7</f>
        <v>17016170002</v>
      </c>
      <c r="C2" s="2624"/>
      <c r="D2" s="2624"/>
      <c r="E2" s="2624"/>
      <c r="F2" s="2624"/>
      <c r="G2" s="2624"/>
      <c r="H2" s="2624"/>
      <c r="I2" s="2624"/>
      <c r="J2" s="2624"/>
      <c r="K2" s="2624"/>
      <c r="L2" s="1373"/>
      <c r="M2" s="1374"/>
    </row>
    <row r="3" spans="1:13" ht="10.35" customHeight="1" x14ac:dyDescent="0.2">
      <c r="B3" s="2644" t="s">
        <v>1347</v>
      </c>
      <c r="C3" s="2644"/>
      <c r="D3" s="2644"/>
      <c r="E3" s="2644"/>
      <c r="F3" s="2644"/>
      <c r="G3" s="2644"/>
      <c r="H3" s="2644"/>
      <c r="I3" s="2644"/>
      <c r="J3" s="2644"/>
      <c r="K3" s="2644"/>
      <c r="L3" s="2082"/>
      <c r="M3" s="2082"/>
    </row>
    <row r="4" spans="1:13" ht="14.25" customHeight="1" x14ac:dyDescent="0.2">
      <c r="B4" s="2645" t="str">
        <f>'Single Audit Cover'!A4</f>
        <v>Year Ending June 30, 2018</v>
      </c>
      <c r="C4" s="2645"/>
      <c r="D4" s="2645"/>
      <c r="E4" s="2645"/>
      <c r="F4" s="2645"/>
      <c r="G4" s="2645"/>
      <c r="H4" s="2645"/>
      <c r="I4" s="2645"/>
      <c r="J4" s="2645"/>
      <c r="K4" s="2645"/>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645" t="s">
        <v>1363</v>
      </c>
      <c r="C7" s="2645"/>
      <c r="D7" s="2646"/>
      <c r="E7" s="2646"/>
      <c r="F7" s="2646"/>
      <c r="G7" s="2646"/>
      <c r="H7" s="2646"/>
      <c r="I7" s="2646"/>
      <c r="J7" s="2646"/>
      <c r="K7" s="264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3</v>
      </c>
      <c r="E10" s="322"/>
      <c r="F10" s="1385" t="s">
        <v>1362</v>
      </c>
      <c r="G10" s="1386"/>
      <c r="H10" s="1387" t="s">
        <v>1361</v>
      </c>
      <c r="I10" s="1386" t="s">
        <v>2074</v>
      </c>
      <c r="J10" s="1388" t="s">
        <v>1360</v>
      </c>
      <c r="K10" s="322"/>
      <c r="L10" s="1379"/>
    </row>
    <row r="11" spans="1:13" ht="13.5" customHeight="1" x14ac:dyDescent="0.2">
      <c r="B11" s="322"/>
      <c r="C11" s="322"/>
      <c r="D11" s="322"/>
      <c r="E11" s="322"/>
      <c r="F11" s="322"/>
      <c r="G11" s="1381"/>
      <c r="H11" s="322"/>
      <c r="I11" s="1389" t="s">
        <v>1359</v>
      </c>
      <c r="J11" s="322"/>
      <c r="K11" s="1390">
        <v>2015</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651" t="s">
        <v>2204</v>
      </c>
      <c r="C14" s="2651"/>
      <c r="D14" s="2651"/>
      <c r="E14" s="2651"/>
      <c r="F14" s="2651"/>
      <c r="G14" s="2651"/>
      <c r="H14" s="2651"/>
      <c r="I14" s="2651"/>
      <c r="J14" s="2651"/>
      <c r="K14" s="2651"/>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643" t="s">
        <v>2205</v>
      </c>
      <c r="C17" s="2643"/>
      <c r="D17" s="2643"/>
      <c r="E17" s="2643"/>
      <c r="F17" s="2643"/>
      <c r="G17" s="2643"/>
      <c r="H17" s="2643"/>
      <c r="I17" s="2643"/>
      <c r="J17" s="2643"/>
      <c r="K17" s="2643"/>
      <c r="L17" s="1379"/>
    </row>
    <row r="18" spans="2:12" ht="4.5" customHeight="1" x14ac:dyDescent="0.2">
      <c r="B18" s="1396"/>
      <c r="C18" s="1396"/>
      <c r="L18" s="1379"/>
    </row>
    <row r="19" spans="2:12" s="1282" customFormat="1" ht="13.5" customHeight="1" x14ac:dyDescent="0.2">
      <c r="B19" s="1391" t="s">
        <v>1842</v>
      </c>
      <c r="C19" s="1391"/>
      <c r="D19" s="1392"/>
      <c r="E19" s="1392"/>
      <c r="F19" s="1392"/>
      <c r="G19" s="1393"/>
      <c r="H19" s="1392"/>
      <c r="I19" s="1393"/>
      <c r="J19" s="1392"/>
      <c r="K19" s="1392"/>
      <c r="L19" s="1394"/>
    </row>
    <row r="20" spans="2:12" ht="45.75" customHeight="1" x14ac:dyDescent="0.2">
      <c r="B20" s="2653" t="s">
        <v>2210</v>
      </c>
      <c r="C20" s="2653"/>
      <c r="D20" s="2651"/>
      <c r="E20" s="2651"/>
      <c r="F20" s="2651"/>
      <c r="G20" s="2651"/>
      <c r="H20" s="2651"/>
      <c r="I20" s="2651"/>
      <c r="J20" s="2651"/>
      <c r="K20" s="265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43" t="s">
        <v>2206</v>
      </c>
      <c r="C23" s="2643"/>
      <c r="D23" s="2643"/>
      <c r="E23" s="2643"/>
      <c r="F23" s="2643"/>
      <c r="G23" s="2643"/>
      <c r="H23" s="2643"/>
      <c r="I23" s="2643"/>
      <c r="J23" s="2643"/>
      <c r="K23" s="264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43" t="s">
        <v>2207</v>
      </c>
      <c r="C26" s="2643"/>
      <c r="D26" s="2643"/>
      <c r="E26" s="2643"/>
      <c r="F26" s="2643"/>
      <c r="G26" s="2643"/>
      <c r="H26" s="2643"/>
      <c r="I26" s="2643"/>
      <c r="J26" s="2643"/>
      <c r="K26" s="264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60" customHeight="1" x14ac:dyDescent="0.2">
      <c r="B29" s="2650" t="s">
        <v>2208</v>
      </c>
      <c r="C29" s="2650"/>
      <c r="D29" s="2643"/>
      <c r="E29" s="2643"/>
      <c r="F29" s="2643"/>
      <c r="G29" s="2643"/>
      <c r="H29" s="2643"/>
      <c r="I29" s="2643"/>
      <c r="J29" s="2643"/>
      <c r="K29" s="264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47" t="s">
        <v>2209</v>
      </c>
      <c r="C32" s="2647"/>
      <c r="D32" s="2648"/>
      <c r="E32" s="2648"/>
      <c r="F32" s="2648"/>
      <c r="G32" s="2648"/>
      <c r="H32" s="2648"/>
      <c r="I32" s="2648"/>
      <c r="J32" s="2648"/>
      <c r="K32" s="2648"/>
      <c r="L32" s="1379"/>
    </row>
    <row r="33" spans="1:13" s="322" customFormat="1" ht="4.5" customHeight="1" x14ac:dyDescent="0.2">
      <c r="B33" s="1400"/>
      <c r="C33" s="1400"/>
      <c r="G33" s="1381"/>
      <c r="I33" s="1381"/>
      <c r="L33" s="1379"/>
    </row>
    <row r="34" spans="1:13" s="322" customFormat="1" ht="18" customHeight="1" x14ac:dyDescent="0.2">
      <c r="B34" s="2083" t="s">
        <v>1353</v>
      </c>
      <c r="C34" s="2084"/>
      <c r="D34" s="2085"/>
      <c r="E34" s="2085"/>
      <c r="F34" s="2085"/>
      <c r="G34" s="2086"/>
      <c r="H34" s="2085"/>
      <c r="I34" s="2086"/>
      <c r="J34" s="2085"/>
      <c r="K34" s="2087"/>
      <c r="L34" s="1379"/>
    </row>
    <row r="35" spans="1:13" s="322" customFormat="1" ht="22.5" customHeight="1" x14ac:dyDescent="0.2">
      <c r="B35" s="2088" t="s">
        <v>1352</v>
      </c>
      <c r="C35" s="2089"/>
      <c r="D35" s="2090"/>
      <c r="E35" s="2091"/>
      <c r="F35" s="2092" t="s">
        <v>1351</v>
      </c>
      <c r="G35" s="2093"/>
      <c r="H35" s="2094"/>
      <c r="I35" s="2095"/>
      <c r="J35" s="2096"/>
      <c r="K35" s="2097"/>
      <c r="L35" s="1379"/>
    </row>
    <row r="36" spans="1:13" s="322" customFormat="1" ht="15.75" customHeight="1" x14ac:dyDescent="0.2">
      <c r="B36" s="2088" t="s">
        <v>1350</v>
      </c>
      <c r="C36" s="2089"/>
      <c r="D36" s="2098"/>
      <c r="E36" s="2094"/>
      <c r="F36" s="2099" t="s">
        <v>1349</v>
      </c>
      <c r="G36" s="2093"/>
      <c r="H36" s="2094"/>
      <c r="I36" s="2095"/>
      <c r="J36" s="2096"/>
      <c r="K36" s="2097"/>
      <c r="L36" s="1379"/>
    </row>
    <row r="37" spans="1:13" s="322" customFormat="1" ht="24" customHeight="1" x14ac:dyDescent="0.2">
      <c r="A37" s="1297"/>
      <c r="B37" s="2100"/>
      <c r="C37" s="2096"/>
      <c r="D37" s="2096"/>
      <c r="E37" s="2096"/>
      <c r="F37" s="2096"/>
      <c r="G37" s="2101"/>
      <c r="H37" s="2096"/>
      <c r="I37" s="2101"/>
      <c r="J37" s="2096"/>
      <c r="K37" s="2102"/>
      <c r="L37" s="1379"/>
    </row>
    <row r="38" spans="1:13" ht="11.85" customHeight="1" x14ac:dyDescent="0.2">
      <c r="B38" s="1417" t="s">
        <v>1844</v>
      </c>
      <c r="C38" s="1417"/>
      <c r="D38" s="322"/>
      <c r="E38" s="322"/>
      <c r="F38" s="322"/>
      <c r="L38" s="1379"/>
    </row>
    <row r="39" spans="1:13" ht="9.6" customHeight="1" x14ac:dyDescent="0.2">
      <c r="B39" s="1300" t="s">
        <v>1949</v>
      </c>
      <c r="C39" s="1300"/>
      <c r="L39" s="1379"/>
    </row>
    <row r="40" spans="1:13" ht="9.6" customHeight="1" x14ac:dyDescent="0.2">
      <c r="B40" s="1300" t="s">
        <v>1950</v>
      </c>
      <c r="C40" s="1300"/>
    </row>
    <row r="41" spans="1:13" ht="11.85" customHeight="1" x14ac:dyDescent="0.2">
      <c r="B41" s="1418" t="s">
        <v>1845</v>
      </c>
      <c r="C41" s="1418"/>
    </row>
    <row r="42" spans="1:13" ht="9.6" customHeight="1" x14ac:dyDescent="0.2">
      <c r="B42" s="1300" t="s">
        <v>1348</v>
      </c>
      <c r="C42" s="1300"/>
      <c r="M42" s="1419"/>
    </row>
    <row r="43" spans="1:13" ht="12.6" customHeight="1" x14ac:dyDescent="0.2">
      <c r="B43" s="1418" t="s">
        <v>1846</v>
      </c>
      <c r="C43" s="1418"/>
      <c r="M43" s="1419"/>
    </row>
    <row r="44" spans="1:13" ht="9.6" customHeight="1" x14ac:dyDescent="0.2">
      <c r="B44" s="1300"/>
      <c r="C44" s="1300"/>
      <c r="M44" s="1419"/>
    </row>
  </sheetData>
  <mergeCells count="12">
    <mergeCell ref="B32:K32"/>
    <mergeCell ref="B20:K20"/>
    <mergeCell ref="B17:K17"/>
    <mergeCell ref="B23:K23"/>
    <mergeCell ref="B26:K26"/>
    <mergeCell ref="B29:K29"/>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4"/>
  <sheetViews>
    <sheetView showGridLines="0" topLeftCell="B1" zoomScale="110" zoomScaleNormal="110" workbookViewId="0">
      <selection activeCell="O29" sqref="O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2" t="str">
        <f>'Single Audit Cover'!A7</f>
        <v>Chicago Heights School District 170</v>
      </c>
      <c r="C1" s="2622"/>
      <c r="D1" s="2622"/>
      <c r="E1" s="2622"/>
      <c r="F1" s="2622"/>
      <c r="G1" s="2622"/>
      <c r="H1" s="2622"/>
      <c r="I1" s="2622"/>
      <c r="J1" s="2622"/>
      <c r="K1" s="2622"/>
      <c r="L1" s="1372"/>
      <c r="M1" s="1372"/>
    </row>
    <row r="2" spans="1:13" ht="12" customHeight="1" x14ac:dyDescent="0.2">
      <c r="B2" s="2624">
        <f>'Single Audit Cover'!E7</f>
        <v>17016170002</v>
      </c>
      <c r="C2" s="2624"/>
      <c r="D2" s="2624"/>
      <c r="E2" s="2624"/>
      <c r="F2" s="2624"/>
      <c r="G2" s="2624"/>
      <c r="H2" s="2624"/>
      <c r="I2" s="2624"/>
      <c r="J2" s="2624"/>
      <c r="K2" s="2624"/>
      <c r="L2" s="1373"/>
      <c r="M2" s="1374"/>
    </row>
    <row r="3" spans="1:13" ht="10.35" customHeight="1" x14ac:dyDescent="0.2">
      <c r="B3" s="2644" t="s">
        <v>1347</v>
      </c>
      <c r="C3" s="2644"/>
      <c r="D3" s="2644"/>
      <c r="E3" s="2644"/>
      <c r="F3" s="2644"/>
      <c r="G3" s="2644"/>
      <c r="H3" s="2644"/>
      <c r="I3" s="2644"/>
      <c r="J3" s="2644"/>
      <c r="K3" s="2644"/>
      <c r="L3" s="2082"/>
      <c r="M3" s="2082"/>
    </row>
    <row r="4" spans="1:13" ht="14.25" customHeight="1" x14ac:dyDescent="0.2">
      <c r="B4" s="2645" t="str">
        <f>'Single Audit Cover'!A4</f>
        <v>Year Ending June 30, 2018</v>
      </c>
      <c r="C4" s="2645"/>
      <c r="D4" s="2645"/>
      <c r="E4" s="2645"/>
      <c r="F4" s="2645"/>
      <c r="G4" s="2645"/>
      <c r="H4" s="2645"/>
      <c r="I4" s="2645"/>
      <c r="J4" s="2645"/>
      <c r="K4" s="2645"/>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645" t="s">
        <v>1363</v>
      </c>
      <c r="C7" s="2645"/>
      <c r="D7" s="2646"/>
      <c r="E7" s="2646"/>
      <c r="F7" s="2646"/>
      <c r="G7" s="2646"/>
      <c r="H7" s="2646"/>
      <c r="I7" s="2646"/>
      <c r="J7" s="2646"/>
      <c r="K7" s="2646"/>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1841</v>
      </c>
      <c r="C10" s="1383" t="s">
        <v>1948</v>
      </c>
      <c r="D10" s="1384">
        <v>4</v>
      </c>
      <c r="E10" s="322"/>
      <c r="F10" s="1385" t="s">
        <v>1362</v>
      </c>
      <c r="G10" s="1386"/>
      <c r="H10" s="1387" t="s">
        <v>1361</v>
      </c>
      <c r="I10" s="1386" t="s">
        <v>2074</v>
      </c>
      <c r="J10" s="1388" t="s">
        <v>1360</v>
      </c>
      <c r="K10" s="322"/>
      <c r="L10" s="1379"/>
    </row>
    <row r="11" spans="1:13" ht="13.5" customHeight="1" x14ac:dyDescent="0.2">
      <c r="B11" s="322"/>
      <c r="C11" s="322"/>
      <c r="D11" s="322"/>
      <c r="E11" s="322"/>
      <c r="F11" s="322"/>
      <c r="G11" s="1381"/>
      <c r="H11" s="322"/>
      <c r="I11" s="1389" t="s">
        <v>1359</v>
      </c>
      <c r="J11" s="322"/>
      <c r="K11" s="1390">
        <v>2017</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643" t="s">
        <v>2211</v>
      </c>
      <c r="C14" s="2643"/>
      <c r="D14" s="2643"/>
      <c r="E14" s="2643"/>
      <c r="F14" s="2643"/>
      <c r="G14" s="2643"/>
      <c r="H14" s="2643"/>
      <c r="I14" s="2643"/>
      <c r="J14" s="2643"/>
      <c r="K14" s="2643"/>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75" customHeight="1" x14ac:dyDescent="0.2">
      <c r="B17" s="2651" t="s">
        <v>2215</v>
      </c>
      <c r="C17" s="2651"/>
      <c r="D17" s="2651"/>
      <c r="E17" s="2651"/>
      <c r="F17" s="2651"/>
      <c r="G17" s="2651"/>
      <c r="H17" s="2651"/>
      <c r="I17" s="2651"/>
      <c r="J17" s="2651"/>
      <c r="K17" s="2651"/>
      <c r="L17" s="1379"/>
    </row>
    <row r="18" spans="2:12" ht="4.5" customHeight="1" x14ac:dyDescent="0.2">
      <c r="B18" s="1396"/>
      <c r="C18" s="1396"/>
      <c r="L18" s="1379"/>
    </row>
    <row r="19" spans="2:12" s="1282" customFormat="1" ht="13.5" customHeight="1" x14ac:dyDescent="0.2">
      <c r="B19" s="1391" t="s">
        <v>1842</v>
      </c>
      <c r="C19" s="1391"/>
      <c r="D19" s="1392"/>
      <c r="E19" s="1392"/>
      <c r="F19" s="1392"/>
      <c r="G19" s="1393"/>
      <c r="H19" s="1392"/>
      <c r="I19" s="1393"/>
      <c r="J19" s="1392"/>
      <c r="K19" s="1392"/>
      <c r="L19" s="1394"/>
    </row>
    <row r="20" spans="2:12" ht="45.75" customHeight="1" x14ac:dyDescent="0.2">
      <c r="B20" s="2649" t="s">
        <v>2216</v>
      </c>
      <c r="C20" s="2649"/>
      <c r="D20" s="2643"/>
      <c r="E20" s="2643"/>
      <c r="F20" s="2643"/>
      <c r="G20" s="2643"/>
      <c r="H20" s="2643"/>
      <c r="I20" s="2643"/>
      <c r="J20" s="2643"/>
      <c r="K20" s="264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643" t="s">
        <v>2212</v>
      </c>
      <c r="C23" s="2643"/>
      <c r="D23" s="2643"/>
      <c r="E23" s="2643"/>
      <c r="F23" s="2643"/>
      <c r="G23" s="2643"/>
      <c r="H23" s="2643"/>
      <c r="I23" s="2643"/>
      <c r="J23" s="2643"/>
      <c r="K23" s="264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643" t="s">
        <v>2213</v>
      </c>
      <c r="C26" s="2643"/>
      <c r="D26" s="2643"/>
      <c r="E26" s="2643"/>
      <c r="F26" s="2643"/>
      <c r="G26" s="2643"/>
      <c r="H26" s="2643"/>
      <c r="I26" s="2643"/>
      <c r="J26" s="2643"/>
      <c r="K26" s="264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54.75" customHeight="1" x14ac:dyDescent="0.2">
      <c r="B29" s="2650" t="s">
        <v>2214</v>
      </c>
      <c r="C29" s="2650"/>
      <c r="D29" s="2643"/>
      <c r="E29" s="2643"/>
      <c r="F29" s="2643"/>
      <c r="G29" s="2643"/>
      <c r="H29" s="2643"/>
      <c r="I29" s="2643"/>
      <c r="J29" s="2643"/>
      <c r="K29" s="2643"/>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1843</v>
      </c>
      <c r="C31" s="1401"/>
      <c r="D31" s="1376"/>
      <c r="E31" s="1377"/>
      <c r="F31" s="1377"/>
      <c r="G31" s="1378"/>
      <c r="H31" s="1377"/>
      <c r="I31" s="1378"/>
      <c r="J31" s="1377"/>
      <c r="K31" s="1377"/>
      <c r="L31" s="1379"/>
    </row>
    <row r="32" spans="2:12" s="322" customFormat="1" ht="44.25" customHeight="1" x14ac:dyDescent="0.2">
      <c r="B32" s="2647" t="s">
        <v>2217</v>
      </c>
      <c r="C32" s="2647"/>
      <c r="D32" s="2648"/>
      <c r="E32" s="2648"/>
      <c r="F32" s="2648"/>
      <c r="G32" s="2648"/>
      <c r="H32" s="2648"/>
      <c r="I32" s="2648"/>
      <c r="J32" s="2648"/>
      <c r="K32" s="2648"/>
      <c r="L32" s="1379"/>
    </row>
    <row r="33" spans="1:13" s="322" customFormat="1" ht="12.75" customHeight="1" x14ac:dyDescent="0.2">
      <c r="B33" s="1400"/>
      <c r="C33" s="1400"/>
      <c r="G33" s="1381"/>
      <c r="I33" s="1381"/>
      <c r="L33" s="1379"/>
    </row>
    <row r="34" spans="1:13" s="322" customFormat="1" ht="14.25" customHeight="1" x14ac:dyDescent="0.2">
      <c r="B34" s="2083" t="s">
        <v>1353</v>
      </c>
      <c r="C34" s="2084"/>
      <c r="D34" s="2085"/>
      <c r="E34" s="2085"/>
      <c r="F34" s="2085"/>
      <c r="G34" s="2086"/>
      <c r="H34" s="2085"/>
      <c r="I34" s="2086"/>
      <c r="J34" s="2085"/>
      <c r="K34" s="2087"/>
      <c r="L34" s="1379"/>
    </row>
    <row r="35" spans="1:13" s="322" customFormat="1" ht="21.75" customHeight="1" x14ac:dyDescent="0.2">
      <c r="B35" s="2088" t="s">
        <v>1352</v>
      </c>
      <c r="C35" s="2089"/>
      <c r="D35" s="2090"/>
      <c r="E35" s="2091"/>
      <c r="F35" s="2092" t="s">
        <v>1351</v>
      </c>
      <c r="G35" s="2093"/>
      <c r="H35" s="2094"/>
      <c r="I35" s="2095"/>
      <c r="J35" s="2096"/>
      <c r="K35" s="2097"/>
      <c r="L35" s="1379"/>
    </row>
    <row r="36" spans="1:13" s="322" customFormat="1" ht="19.5" customHeight="1" x14ac:dyDescent="0.2">
      <c r="B36" s="2088" t="s">
        <v>1350</v>
      </c>
      <c r="C36" s="2089"/>
      <c r="D36" s="2098"/>
      <c r="E36" s="2094"/>
      <c r="F36" s="2099" t="s">
        <v>1349</v>
      </c>
      <c r="G36" s="2093"/>
      <c r="H36" s="2094"/>
      <c r="I36" s="2095"/>
      <c r="J36" s="2096"/>
      <c r="K36" s="2097"/>
      <c r="L36" s="1379"/>
    </row>
    <row r="37" spans="1:13" s="322" customFormat="1" x14ac:dyDescent="0.2">
      <c r="A37" s="1297"/>
      <c r="B37" s="2100"/>
      <c r="C37" s="2096"/>
      <c r="D37" s="2096"/>
      <c r="E37" s="2096"/>
      <c r="F37" s="2096"/>
      <c r="G37" s="2101"/>
      <c r="H37" s="2096"/>
      <c r="I37" s="2101"/>
      <c r="J37" s="2096"/>
      <c r="K37" s="2102"/>
      <c r="L37" s="1379"/>
    </row>
    <row r="38" spans="1:13" ht="11.85" customHeight="1" x14ac:dyDescent="0.2">
      <c r="B38" s="1417" t="s">
        <v>1844</v>
      </c>
      <c r="C38" s="1417"/>
      <c r="D38" s="322"/>
      <c r="E38" s="322"/>
      <c r="F38" s="322"/>
      <c r="L38" s="1379"/>
    </row>
    <row r="39" spans="1:13" ht="9.6" customHeight="1" x14ac:dyDescent="0.2">
      <c r="B39" s="1300" t="s">
        <v>1949</v>
      </c>
      <c r="C39" s="1300"/>
      <c r="L39" s="1379"/>
    </row>
    <row r="40" spans="1:13" ht="9.6" customHeight="1" x14ac:dyDescent="0.2">
      <c r="B40" s="1300" t="s">
        <v>1950</v>
      </c>
      <c r="C40" s="1300"/>
    </row>
    <row r="41" spans="1:13" ht="11.85" customHeight="1" x14ac:dyDescent="0.2">
      <c r="B41" s="1418" t="s">
        <v>1845</v>
      </c>
      <c r="C41" s="1418"/>
    </row>
    <row r="42" spans="1:13" ht="9.6" customHeight="1" x14ac:dyDescent="0.2">
      <c r="B42" s="1300" t="s">
        <v>1348</v>
      </c>
      <c r="C42" s="1300"/>
      <c r="M42" s="1419"/>
    </row>
    <row r="43" spans="1:13" ht="12.6" customHeight="1" x14ac:dyDescent="0.2">
      <c r="B43" s="1418" t="s">
        <v>1846</v>
      </c>
      <c r="C43" s="1418"/>
      <c r="M43" s="1419"/>
    </row>
    <row r="44" spans="1:13" ht="9.6" customHeight="1" x14ac:dyDescent="0.2">
      <c r="B44" s="1300"/>
      <c r="C44" s="1300"/>
      <c r="M44" s="1419"/>
    </row>
  </sheetData>
  <mergeCells count="12">
    <mergeCell ref="B32:K32"/>
    <mergeCell ref="B17:K17"/>
    <mergeCell ref="B20:K20"/>
    <mergeCell ref="B23:K23"/>
    <mergeCell ref="B26:K26"/>
    <mergeCell ref="B29:K29"/>
    <mergeCell ref="B14:K14"/>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2"/>
  <sheetViews>
    <sheetView showGridLines="0" zoomScale="110" zoomScaleNormal="110" workbookViewId="0">
      <selection activeCell="O45" sqref="O4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54" t="str">
        <f>'Single Audit Cover'!A7</f>
        <v>Chicago Heights School District 170</v>
      </c>
      <c r="C1" s="2654"/>
      <c r="D1" s="2654"/>
      <c r="E1" s="2654"/>
      <c r="F1" s="2654"/>
      <c r="G1" s="2654"/>
      <c r="H1" s="2654"/>
      <c r="I1" s="2654"/>
      <c r="J1" s="2654"/>
      <c r="K1" s="2654"/>
      <c r="L1" s="1463"/>
    </row>
    <row r="2" spans="1:12" ht="12.75" customHeight="1" x14ac:dyDescent="0.2">
      <c r="B2" s="2655">
        <f>'Single Audit Cover'!E7</f>
        <v>17016170002</v>
      </c>
      <c r="C2" s="2655"/>
      <c r="D2" s="2655"/>
      <c r="E2" s="2655"/>
      <c r="F2" s="2655"/>
      <c r="G2" s="2655"/>
      <c r="H2" s="2655"/>
      <c r="I2" s="2655"/>
      <c r="J2" s="2655"/>
      <c r="K2" s="2655"/>
      <c r="L2" s="1464"/>
    </row>
    <row r="3" spans="1:12" ht="12.75" customHeight="1" x14ac:dyDescent="0.2">
      <c r="B3" s="2644" t="s">
        <v>1347</v>
      </c>
      <c r="C3" s="2644"/>
      <c r="D3" s="2644"/>
      <c r="E3" s="2644"/>
      <c r="F3" s="2644"/>
      <c r="G3" s="2644"/>
      <c r="H3" s="2644"/>
      <c r="I3" s="2644"/>
      <c r="J3" s="2644"/>
      <c r="K3" s="2644"/>
      <c r="L3" s="1375"/>
    </row>
    <row r="4" spans="1:12" ht="12.75" customHeight="1" x14ac:dyDescent="0.2">
      <c r="B4" s="2644" t="str">
        <f>'Single Audit Cover'!A4</f>
        <v>Year Ending June 30, 2018</v>
      </c>
      <c r="C4" s="2644"/>
      <c r="D4" s="2644"/>
      <c r="E4" s="2644"/>
      <c r="F4" s="2644"/>
      <c r="G4" s="2644"/>
      <c r="H4" s="2644"/>
      <c r="I4" s="2644"/>
      <c r="J4" s="2644"/>
      <c r="K4" s="2644"/>
      <c r="L4" s="1375"/>
    </row>
    <row r="5" spans="1:12" ht="5.25" customHeight="1" x14ac:dyDescent="0.2">
      <c r="B5" s="1260" t="s">
        <v>1231</v>
      </c>
      <c r="C5" s="1260"/>
      <c r="L5" s="322"/>
    </row>
    <row r="6" spans="1:12" ht="30.75" customHeight="1" x14ac:dyDescent="0.2">
      <c r="A6" s="322"/>
      <c r="B6" s="2656" t="s">
        <v>1375</v>
      </c>
      <c r="C6" s="2656"/>
      <c r="D6" s="2656"/>
      <c r="E6" s="2656"/>
      <c r="F6" s="2656"/>
      <c r="G6" s="2656"/>
      <c r="H6" s="2656"/>
      <c r="I6" s="2656"/>
      <c r="J6" s="2656"/>
      <c r="K6" s="2656"/>
      <c r="L6" s="322"/>
    </row>
    <row r="7" spans="1:12" ht="4.5" customHeight="1" x14ac:dyDescent="0.2">
      <c r="B7" s="1377"/>
      <c r="C7" s="1377"/>
      <c r="D7" s="1377"/>
      <c r="E7" s="1377"/>
      <c r="F7" s="1377"/>
      <c r="G7" s="1378"/>
      <c r="H7" s="1377"/>
      <c r="I7" s="1378"/>
      <c r="J7" s="1377"/>
      <c r="K7" s="1377"/>
      <c r="L7" s="322"/>
    </row>
    <row r="8" spans="1:12" ht="13.5" customHeight="1" x14ac:dyDescent="0.2">
      <c r="B8" s="1385" t="s">
        <v>1855</v>
      </c>
      <c r="C8" s="1465" t="s">
        <v>1948</v>
      </c>
      <c r="D8" s="1466">
        <v>5</v>
      </c>
      <c r="E8" s="322"/>
      <c r="F8" s="1382" t="s">
        <v>1362</v>
      </c>
      <c r="G8" s="1467" t="s">
        <v>2074</v>
      </c>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629" t="s">
        <v>2218</v>
      </c>
      <c r="G12" s="2629"/>
      <c r="H12" s="2629"/>
      <c r="I12" s="2629"/>
      <c r="J12" s="2629"/>
      <c r="K12" s="2629"/>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658" t="s">
        <v>2219</v>
      </c>
      <c r="E14" s="2658"/>
      <c r="F14" s="2658"/>
      <c r="H14" s="1473" t="s">
        <v>1370</v>
      </c>
      <c r="I14" s="2659">
        <v>84.027000000000001</v>
      </c>
      <c r="J14" s="2659"/>
      <c r="K14" s="2659"/>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659" t="s">
        <v>2220</v>
      </c>
      <c r="E16" s="2659"/>
      <c r="F16" s="2659"/>
      <c r="G16" s="2659"/>
      <c r="H16" s="2659"/>
      <c r="I16" s="2659"/>
      <c r="J16" s="2659"/>
      <c r="K16" s="2659"/>
      <c r="L16" s="322"/>
    </row>
    <row r="17" spans="2:12" ht="13.5" customHeight="1" x14ac:dyDescent="0.2">
      <c r="B17" s="1385" t="s">
        <v>1368</v>
      </c>
      <c r="C17" s="1385"/>
      <c r="D17" s="2660" t="s">
        <v>2221</v>
      </c>
      <c r="E17" s="2660"/>
      <c r="F17" s="2660"/>
      <c r="G17" s="2660"/>
      <c r="H17" s="2660"/>
      <c r="I17" s="2660"/>
      <c r="J17" s="2660"/>
      <c r="K17" s="2660"/>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651" t="s">
        <v>2222</v>
      </c>
      <c r="C20" s="2651"/>
      <c r="D20" s="2651"/>
      <c r="E20" s="2651"/>
      <c r="F20" s="2651"/>
      <c r="G20" s="2651"/>
      <c r="H20" s="2651"/>
      <c r="I20" s="2651"/>
      <c r="J20" s="2651"/>
      <c r="K20" s="265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1856</v>
      </c>
      <c r="C22" s="1475"/>
      <c r="D22" s="322"/>
      <c r="E22" s="322"/>
      <c r="F22" s="322"/>
      <c r="G22" s="1381"/>
      <c r="H22" s="322"/>
      <c r="I22" s="1381"/>
      <c r="J22" s="322"/>
      <c r="K22" s="322"/>
      <c r="L22" s="322"/>
    </row>
    <row r="23" spans="2:12" ht="37.5" customHeight="1" x14ac:dyDescent="0.2">
      <c r="B23" s="2651" t="s">
        <v>2223</v>
      </c>
      <c r="C23" s="2651"/>
      <c r="D23" s="2651"/>
      <c r="E23" s="2651"/>
      <c r="F23" s="2651"/>
      <c r="G23" s="2651"/>
      <c r="H23" s="2651"/>
      <c r="I23" s="2651"/>
      <c r="J23" s="2651"/>
      <c r="K23" s="265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1857</v>
      </c>
      <c r="C25" s="1475"/>
      <c r="D25" s="322"/>
      <c r="E25" s="322"/>
      <c r="F25" s="322"/>
      <c r="G25" s="1381"/>
      <c r="H25" s="322"/>
      <c r="I25" s="1381"/>
      <c r="J25" s="322"/>
      <c r="K25" s="322"/>
      <c r="L25" s="322"/>
    </row>
    <row r="26" spans="2:12" ht="37.5" customHeight="1" x14ac:dyDescent="0.2">
      <c r="B26" s="2651" t="s">
        <v>2128</v>
      </c>
      <c r="C26" s="2651"/>
      <c r="D26" s="2651"/>
      <c r="E26" s="2651"/>
      <c r="F26" s="2651"/>
      <c r="G26" s="2651"/>
      <c r="H26" s="2651"/>
      <c r="I26" s="2651"/>
      <c r="J26" s="2651"/>
      <c r="K26" s="265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1858</v>
      </c>
      <c r="C28" s="1475"/>
      <c r="D28" s="322"/>
      <c r="E28" s="322"/>
      <c r="F28" s="322"/>
      <c r="G28" s="1381"/>
      <c r="H28" s="322"/>
      <c r="I28" s="1381"/>
      <c r="J28" s="322"/>
      <c r="K28" s="322"/>
      <c r="L28" s="322"/>
    </row>
    <row r="29" spans="2:12" ht="37.5" customHeight="1" x14ac:dyDescent="0.2">
      <c r="B29" s="2651" t="s">
        <v>2227</v>
      </c>
      <c r="C29" s="2651"/>
      <c r="D29" s="2651"/>
      <c r="E29" s="2651"/>
      <c r="F29" s="2651"/>
      <c r="G29" s="2651"/>
      <c r="H29" s="2651"/>
      <c r="I29" s="2651"/>
      <c r="J29" s="2651"/>
      <c r="K29" s="265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651" t="s">
        <v>2224</v>
      </c>
      <c r="C32" s="2651"/>
      <c r="D32" s="2651"/>
      <c r="E32" s="2651"/>
      <c r="F32" s="2651"/>
      <c r="G32" s="2651"/>
      <c r="H32" s="2651"/>
      <c r="I32" s="2651"/>
      <c r="J32" s="2651"/>
      <c r="K32" s="265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651" t="s">
        <v>2225</v>
      </c>
      <c r="C35" s="2651"/>
      <c r="D35" s="2651"/>
      <c r="E35" s="2651"/>
      <c r="F35" s="2651"/>
      <c r="G35" s="2651"/>
      <c r="H35" s="2651"/>
      <c r="I35" s="2651"/>
      <c r="J35" s="2651"/>
      <c r="K35" s="265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46.5" customHeight="1" x14ac:dyDescent="0.2">
      <c r="B38" s="2651" t="s">
        <v>2226</v>
      </c>
      <c r="C38" s="2651"/>
      <c r="D38" s="2651"/>
      <c r="E38" s="2651"/>
      <c r="F38" s="2651"/>
      <c r="G38" s="2651"/>
      <c r="H38" s="2651"/>
      <c r="I38" s="2651"/>
      <c r="J38" s="2651"/>
      <c r="K38" s="265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1859</v>
      </c>
      <c r="C40" s="1401"/>
      <c r="D40" s="1376"/>
      <c r="E40" s="1377"/>
      <c r="F40" s="1377"/>
      <c r="G40" s="1378"/>
      <c r="H40" s="1377"/>
      <c r="I40" s="1378"/>
      <c r="J40" s="1377"/>
      <c r="K40" s="1377"/>
    </row>
    <row r="41" spans="2:12" s="322" customFormat="1" ht="33.75" customHeight="1" x14ac:dyDescent="0.2">
      <c r="B41" s="2657" t="s">
        <v>2290</v>
      </c>
      <c r="C41" s="2657"/>
      <c r="D41" s="2657"/>
      <c r="E41" s="2657"/>
      <c r="F41" s="2657"/>
      <c r="G41" s="2657"/>
      <c r="H41" s="2657"/>
      <c r="I41" s="2657"/>
      <c r="J41" s="2657"/>
      <c r="K41" s="2657"/>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1860</v>
      </c>
      <c r="C48" s="1417"/>
      <c r="D48" s="322"/>
      <c r="E48" s="322"/>
      <c r="F48" s="322"/>
    </row>
    <row r="49" spans="2:3" s="317" customFormat="1" ht="10.5" customHeight="1" x14ac:dyDescent="0.2">
      <c r="B49" s="1418" t="s">
        <v>1861</v>
      </c>
      <c r="C49" s="1418"/>
    </row>
    <row r="50" spans="2:3" s="317" customFormat="1" ht="11.1" customHeight="1" x14ac:dyDescent="0.2">
      <c r="B50" s="1418" t="s">
        <v>1862</v>
      </c>
      <c r="C50" s="1418"/>
    </row>
    <row r="51" spans="2:3" s="317" customFormat="1" ht="11.1" customHeight="1" x14ac:dyDescent="0.2">
      <c r="B51" s="1418" t="s">
        <v>1863</v>
      </c>
      <c r="C51" s="1418"/>
    </row>
    <row r="52" spans="2:3" s="317" customFormat="1" ht="11.1" customHeight="1" x14ac:dyDescent="0.2">
      <c r="B52" s="1418" t="s">
        <v>1864</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topLeftCell="A10" zoomScale="110" zoomScaleNormal="110" workbookViewId="0">
      <selection activeCell="H11" sqref="H11"/>
    </sheetView>
  </sheetViews>
  <sheetFormatPr defaultColWidth="9.140625" defaultRowHeight="12.75" x14ac:dyDescent="0.2"/>
  <cols>
    <col min="1" max="1" width="1.5703125" style="317" customWidth="1"/>
    <col min="2" max="2" width="14.7109375" style="317" customWidth="1"/>
    <col min="3" max="3" width="46.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622" t="str">
        <f>'Single Audit Cover'!A7</f>
        <v>Chicago Heights School District 170</v>
      </c>
      <c r="C1" s="2622"/>
      <c r="D1" s="2622"/>
      <c r="E1" s="1489"/>
    </row>
    <row r="2" spans="2:5" s="1282" customFormat="1" ht="12.75" customHeight="1" x14ac:dyDescent="0.2">
      <c r="B2" s="2624">
        <f>'Single Audit Cover'!E7</f>
        <v>17016170002</v>
      </c>
      <c r="C2" s="2624"/>
      <c r="D2" s="2624"/>
      <c r="E2" s="1490"/>
    </row>
    <row r="3" spans="2:5" ht="12.75" customHeight="1" x14ac:dyDescent="0.2">
      <c r="B3" s="2644" t="s">
        <v>1865</v>
      </c>
      <c r="C3" s="2644"/>
      <c r="D3" s="2644"/>
      <c r="E3" s="1274"/>
    </row>
    <row r="4" spans="2:5" s="1282" customFormat="1" ht="12.75" customHeight="1" x14ac:dyDescent="0.2">
      <c r="B4" s="2661" t="str">
        <f>'Single Audit Cover'!A4</f>
        <v>Year Ending June 30, 2018</v>
      </c>
      <c r="C4" s="2661"/>
      <c r="D4" s="2661"/>
      <c r="E4" s="1491"/>
    </row>
    <row r="5" spans="2:5" s="1282" customFormat="1" ht="40.15" customHeight="1" x14ac:dyDescent="0.2">
      <c r="B5" s="1492" t="s">
        <v>1866</v>
      </c>
      <c r="C5" s="328"/>
      <c r="D5" s="328"/>
      <c r="E5" s="328"/>
    </row>
    <row r="6" spans="2:5" s="1282" customFormat="1" ht="13.5" customHeight="1" x14ac:dyDescent="0.2">
      <c r="B6" s="1493" t="s">
        <v>1382</v>
      </c>
      <c r="C6" s="1493" t="s">
        <v>1381</v>
      </c>
      <c r="D6" s="1493" t="s">
        <v>1867</v>
      </c>
    </row>
    <row r="7" spans="2:5" ht="83.25" customHeight="1" x14ac:dyDescent="0.2">
      <c r="B7" s="2078" t="s">
        <v>2178</v>
      </c>
      <c r="C7" s="2075" t="s">
        <v>2179</v>
      </c>
      <c r="D7" s="2077" t="s">
        <v>2180</v>
      </c>
      <c r="E7" s="324"/>
    </row>
    <row r="8" spans="2:5" ht="69" customHeight="1" x14ac:dyDescent="0.2">
      <c r="B8" s="2078" t="s">
        <v>2181</v>
      </c>
      <c r="C8" s="2077" t="s">
        <v>2182</v>
      </c>
      <c r="D8" s="2077" t="s">
        <v>2183</v>
      </c>
      <c r="E8" s="324"/>
    </row>
    <row r="9" spans="2:5" ht="96.75" customHeight="1" x14ac:dyDescent="0.2">
      <c r="B9" s="2079" t="s">
        <v>2184</v>
      </c>
      <c r="C9" s="2080" t="s">
        <v>2185</v>
      </c>
      <c r="D9" s="2081" t="s">
        <v>2186</v>
      </c>
      <c r="E9" s="323"/>
    </row>
    <row r="10" spans="2:5" ht="163.5" customHeight="1" x14ac:dyDescent="0.2">
      <c r="B10" s="2078" t="s">
        <v>2187</v>
      </c>
      <c r="C10" s="2076" t="s">
        <v>2188</v>
      </c>
      <c r="D10" s="2080" t="s">
        <v>2189</v>
      </c>
      <c r="E10" s="323"/>
    </row>
    <row r="11" spans="2:5" ht="118.5" customHeight="1" x14ac:dyDescent="0.2">
      <c r="B11" s="2078" t="s">
        <v>2190</v>
      </c>
      <c r="C11" s="2080" t="s">
        <v>2191</v>
      </c>
      <c r="D11" s="2080" t="s">
        <v>2192</v>
      </c>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7" t="s">
        <v>1380</v>
      </c>
      <c r="C44" s="322"/>
    </row>
    <row r="45" spans="2:5" ht="12.2" customHeight="1" x14ac:dyDescent="0.2">
      <c r="B45" s="1502" t="s">
        <v>1868</v>
      </c>
    </row>
    <row r="46" spans="2:5" ht="12.2" customHeight="1" x14ac:dyDescent="0.2">
      <c r="B46" s="1502" t="s">
        <v>1869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300"/>
    </row>
    <row r="69" spans="2:2" x14ac:dyDescent="0.2">
      <c r="B69" s="1300"/>
    </row>
    <row r="70" spans="2:2" x14ac:dyDescent="0.2">
      <c r="B70" s="1418"/>
    </row>
    <row r="71" spans="2:2" x14ac:dyDescent="0.2">
      <c r="B71" s="1418"/>
    </row>
    <row r="72" spans="2:2" x14ac:dyDescent="0.2">
      <c r="B72" s="1418"/>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
  <sheetViews>
    <sheetView workbookViewId="0">
      <selection activeCell="A97" sqref="A97"/>
    </sheetView>
  </sheetViews>
  <sheetFormatPr defaultRowHeight="12.75"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94209" r:id="rId4">
          <objectPr defaultSize="0" r:id="rId5">
            <anchor moveWithCells="1">
              <from>
                <xdr:col>0</xdr:col>
                <xdr:colOff>0</xdr:colOff>
                <xdr:row>0</xdr:row>
                <xdr:rowOff>0</xdr:rowOff>
              </from>
              <to>
                <xdr:col>9</xdr:col>
                <xdr:colOff>342900</xdr:colOff>
                <xdr:row>46</xdr:row>
                <xdr:rowOff>95250</xdr:rowOff>
              </to>
            </anchor>
          </objectPr>
        </oleObject>
      </mc:Choice>
      <mc:Fallback>
        <oleObject progId="Acrobat Document" shapeId="94209" r:id="rId4"/>
      </mc:Fallback>
    </mc:AlternateContent>
    <mc:AlternateContent xmlns:mc="http://schemas.openxmlformats.org/markup-compatibility/2006">
      <mc:Choice Requires="x14">
        <oleObject progId="Acrobat Document" shapeId="94210" r:id="rId6">
          <objectPr defaultSize="0" r:id="rId7">
            <anchor moveWithCells="1">
              <from>
                <xdr:col>0</xdr:col>
                <xdr:colOff>0</xdr:colOff>
                <xdr:row>48</xdr:row>
                <xdr:rowOff>0</xdr:rowOff>
              </from>
              <to>
                <xdr:col>9</xdr:col>
                <xdr:colOff>342900</xdr:colOff>
                <xdr:row>94</xdr:row>
                <xdr:rowOff>95250</xdr:rowOff>
              </to>
            </anchor>
          </objectPr>
        </oleObject>
      </mc:Choice>
      <mc:Fallback>
        <oleObject progId="Acrobat Document" shapeId="94210" r:id="rId6"/>
      </mc:Fallback>
    </mc:AlternateContent>
    <mc:AlternateContent xmlns:mc="http://schemas.openxmlformats.org/markup-compatibility/2006">
      <mc:Choice Requires="x14">
        <oleObject progId="Acrobat Document" shapeId="94211" r:id="rId8">
          <objectPr defaultSize="0" r:id="rId9">
            <anchor moveWithCells="1">
              <from>
                <xdr:col>0</xdr:col>
                <xdr:colOff>0</xdr:colOff>
                <xdr:row>96</xdr:row>
                <xdr:rowOff>0</xdr:rowOff>
              </from>
              <to>
                <xdr:col>9</xdr:col>
                <xdr:colOff>342900</xdr:colOff>
                <xdr:row>142</xdr:row>
                <xdr:rowOff>95250</xdr:rowOff>
              </to>
            </anchor>
          </objectPr>
        </oleObject>
      </mc:Choice>
      <mc:Fallback>
        <oleObject progId="Acrobat Document" shapeId="94211"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53" t="s">
        <v>404</v>
      </c>
      <c r="B1" s="2253"/>
      <c r="C1" s="2253"/>
      <c r="D1" s="2253"/>
      <c r="E1" s="2253"/>
      <c r="F1" s="2253"/>
      <c r="G1" s="2253"/>
      <c r="H1" s="2253"/>
      <c r="I1" s="2253"/>
      <c r="J1" s="2253"/>
      <c r="K1" s="2253"/>
      <c r="L1" s="2253"/>
      <c r="M1" s="225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268593095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3.7034999999999998E-2</v>
      </c>
      <c r="E10" s="356" t="s">
        <v>1062</v>
      </c>
      <c r="F10" s="355">
        <v>4.999E-3</v>
      </c>
      <c r="G10" s="356" t="s">
        <v>1062</v>
      </c>
      <c r="H10" s="355">
        <v>3.0720000000000001E-3</v>
      </c>
      <c r="I10" s="356" t="s">
        <v>1063</v>
      </c>
      <c r="J10" s="1751">
        <f>ROUND(D10+F10+H10,5)</f>
        <v>4.5109999999999997E-2</v>
      </c>
      <c r="K10" s="222"/>
      <c r="L10" s="355">
        <v>4.5399999999999998E-3</v>
      </c>
      <c r="M10" s="222"/>
    </row>
    <row r="11" spans="1:14" ht="7.5" customHeight="1" x14ac:dyDescent="0.2">
      <c r="B11" s="222"/>
      <c r="C11" s="222"/>
      <c r="D11" s="2263" t="str">
        <f>IF(SUM(J10)&lt;=0.0999999,"","Enter the Tax Rates by moving the decimal two places to the left.")</f>
        <v/>
      </c>
      <c r="E11" s="2264"/>
      <c r="F11" s="2264"/>
      <c r="G11" s="2264"/>
      <c r="H11" s="2264"/>
      <c r="I11" s="2264"/>
      <c r="J11" s="226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45583751</v>
      </c>
      <c r="E16" s="356"/>
      <c r="F16" s="1752">
        <f>SUM('Acct Summary 7-8'!C17,'Acct Summary 7-8'!D17,'Acct Summary 7-8'!F17)</f>
        <v>39777533</v>
      </c>
      <c r="G16" s="356"/>
      <c r="H16" s="1752">
        <f>SUM(D16-F16)</f>
        <v>5806218</v>
      </c>
      <c r="I16" s="222"/>
      <c r="J16" s="1752">
        <f>SUM('Acct Summary 7-8'!C81,'Acct Summary 7-8'!D81,'Acct Summary 7-8'!F81,'Acct Summary 7-8'!I81)</f>
        <v>30270164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4">
        <f>IF(B31="X",(J7*0.069),IF(B32="X",(J7*0.138),"Enter x in a.or b."))</f>
        <v>18532923.555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52800000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54"/>
      <c r="C54" s="2255"/>
      <c r="D54" s="2255"/>
      <c r="E54" s="2255"/>
      <c r="F54" s="2255"/>
      <c r="G54" s="2255"/>
      <c r="H54" s="2255"/>
      <c r="I54" s="2255"/>
      <c r="J54" s="2255"/>
      <c r="K54" s="2255"/>
      <c r="L54" s="2256"/>
      <c r="M54" s="380"/>
    </row>
    <row r="55" spans="1:13" ht="12.75" customHeight="1" x14ac:dyDescent="0.2">
      <c r="B55" s="2257"/>
      <c r="C55" s="2258"/>
      <c r="D55" s="2258"/>
      <c r="E55" s="2258"/>
      <c r="F55" s="2258"/>
      <c r="G55" s="2258"/>
      <c r="H55" s="2258"/>
      <c r="I55" s="2258"/>
      <c r="J55" s="2258"/>
      <c r="K55" s="2258"/>
      <c r="L55" s="2259"/>
      <c r="M55" s="380"/>
    </row>
    <row r="56" spans="1:13" ht="12.75" customHeight="1" x14ac:dyDescent="0.2">
      <c r="B56" s="2257"/>
      <c r="C56" s="2258"/>
      <c r="D56" s="2258"/>
      <c r="E56" s="2258"/>
      <c r="F56" s="2258"/>
      <c r="G56" s="2258"/>
      <c r="H56" s="2258"/>
      <c r="I56" s="2258"/>
      <c r="J56" s="2258"/>
      <c r="K56" s="2258"/>
      <c r="L56" s="2259"/>
      <c r="M56" s="222"/>
    </row>
    <row r="57" spans="1:13" ht="12.75" customHeight="1" x14ac:dyDescent="0.2">
      <c r="B57" s="2257"/>
      <c r="C57" s="2258"/>
      <c r="D57" s="2258"/>
      <c r="E57" s="2258"/>
      <c r="F57" s="2258"/>
      <c r="G57" s="2258"/>
      <c r="H57" s="2258"/>
      <c r="I57" s="2258"/>
      <c r="J57" s="2258"/>
      <c r="K57" s="2258"/>
      <c r="L57" s="2259"/>
      <c r="M57" s="222"/>
    </row>
    <row r="58" spans="1:13" x14ac:dyDescent="0.2">
      <c r="B58" s="2260"/>
      <c r="C58" s="2261"/>
      <c r="D58" s="2261"/>
      <c r="E58" s="2261"/>
      <c r="F58" s="2261"/>
      <c r="G58" s="2261"/>
      <c r="H58" s="2261"/>
      <c r="I58" s="2261"/>
      <c r="J58" s="2261"/>
      <c r="K58" s="2261"/>
      <c r="L58" s="226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65"/>
      <c r="D61" s="226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16" zoomScale="110" zoomScaleNormal="110" workbookViewId="0">
      <selection activeCell="D9" sqref="D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68"/>
      <c r="B1" s="2269"/>
      <c r="C1" s="2269"/>
      <c r="D1" s="384"/>
      <c r="E1" s="384"/>
      <c r="F1" s="384"/>
      <c r="G1" s="384"/>
      <c r="H1" s="384"/>
      <c r="I1" s="384"/>
      <c r="J1" s="384"/>
      <c r="K1" s="384"/>
      <c r="L1" s="384"/>
      <c r="M1" s="384"/>
      <c r="N1" s="384"/>
      <c r="O1" s="2268"/>
      <c r="P1" s="2269"/>
      <c r="Q1" s="2269"/>
    </row>
    <row r="2" spans="1:18" ht="15" x14ac:dyDescent="0.2">
      <c r="A2" s="2272" t="s">
        <v>577</v>
      </c>
      <c r="B2" s="2272"/>
      <c r="C2" s="2272"/>
      <c r="D2" s="2272"/>
      <c r="E2" s="2272"/>
      <c r="F2" s="2272"/>
      <c r="G2" s="2272"/>
      <c r="H2" s="2272"/>
      <c r="I2" s="2272"/>
      <c r="J2" s="2272"/>
      <c r="K2" s="2272"/>
      <c r="L2" s="2272"/>
      <c r="M2" s="2272"/>
      <c r="N2" s="2272"/>
      <c r="O2" s="2272"/>
      <c r="P2" s="2272"/>
      <c r="Q2" s="2272"/>
      <c r="R2" s="2272"/>
    </row>
    <row r="3" spans="1:18" ht="12.75" x14ac:dyDescent="0.2">
      <c r="A3" s="2273" t="s">
        <v>1480</v>
      </c>
      <c r="B3" s="2273"/>
      <c r="C3" s="2273"/>
      <c r="D3" s="2273"/>
      <c r="E3" s="2273"/>
      <c r="F3" s="2273"/>
      <c r="G3" s="2273"/>
      <c r="H3" s="2273"/>
      <c r="I3" s="2273"/>
      <c r="J3" s="2273"/>
      <c r="K3" s="2273"/>
      <c r="L3" s="2273"/>
      <c r="M3" s="2273"/>
      <c r="N3" s="2273"/>
      <c r="O3" s="2273"/>
      <c r="P3" s="2273"/>
      <c r="Q3" s="2273"/>
      <c r="R3" s="2273"/>
    </row>
    <row r="4" spans="1:18" x14ac:dyDescent="0.2">
      <c r="A4" s="2274" t="s">
        <v>1635</v>
      </c>
      <c r="B4" s="2274"/>
      <c r="C4" s="2274"/>
      <c r="D4" s="2274"/>
      <c r="E4" s="2274"/>
      <c r="F4" s="2274"/>
      <c r="G4" s="2274"/>
      <c r="H4" s="2274"/>
      <c r="I4" s="2274"/>
      <c r="J4" s="2274"/>
      <c r="K4" s="2274"/>
      <c r="L4" s="2274"/>
      <c r="M4" s="2274"/>
      <c r="N4" s="2274"/>
      <c r="O4" s="2274"/>
      <c r="P4" s="2274"/>
      <c r="Q4" s="2274"/>
      <c r="R4" s="227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Chicago Heights School District 170</v>
      </c>
      <c r="E7" s="391"/>
      <c r="G7" s="252"/>
      <c r="H7" s="387"/>
      <c r="I7" s="387"/>
      <c r="J7" s="387"/>
      <c r="K7" s="387"/>
      <c r="L7" s="329"/>
      <c r="M7" s="329"/>
      <c r="N7" s="329"/>
      <c r="O7" s="329"/>
      <c r="P7" s="329"/>
    </row>
    <row r="8" spans="1:18" ht="12.75" x14ac:dyDescent="0.2">
      <c r="A8" s="329"/>
      <c r="B8" s="329"/>
      <c r="C8" s="389" t="s">
        <v>1187</v>
      </c>
      <c r="D8" s="392">
        <f>COVER!A13</f>
        <v>17016170002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30197004</v>
      </c>
      <c r="I12" s="404"/>
      <c r="J12" s="404"/>
      <c r="K12" s="405">
        <f>TRUNC((H12/H13*100000),5)/100000</f>
        <v>0.6624510562</v>
      </c>
      <c r="L12" s="406"/>
      <c r="M12" s="360" t="s">
        <v>1206</v>
      </c>
      <c r="N12" s="360"/>
      <c r="O12" s="407">
        <v>0.35</v>
      </c>
      <c r="P12" s="218"/>
      <c r="Q12" s="218"/>
    </row>
    <row r="13" spans="1:18" s="408" customFormat="1" ht="12.75" x14ac:dyDescent="0.2">
      <c r="A13" s="218"/>
      <c r="B13" s="401"/>
      <c r="C13" s="2270" t="s">
        <v>1391</v>
      </c>
      <c r="D13" s="2271"/>
      <c r="E13" s="218"/>
      <c r="F13" s="409" t="s">
        <v>826</v>
      </c>
      <c r="G13" s="402"/>
      <c r="H13" s="403">
        <f>SUM('Acct Summary 7-8'!C8+'Acct Summary 7-8'!D8+'Acct Summary 7-8'!F8+'Acct Summary 7-8'!I8)+H14</f>
        <v>45583751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39777533</v>
      </c>
      <c r="I17" s="404"/>
      <c r="J17" s="416"/>
      <c r="K17" s="405">
        <f>TRUNC((H17/H18*100000),5)/100000</f>
        <v>0.87262526939999996</v>
      </c>
      <c r="L17" s="406"/>
      <c r="M17" s="417" t="s">
        <v>1233</v>
      </c>
      <c r="O17" s="418" t="str">
        <f>IF(AND(O16="2", J20 &gt; 2),"1",IF(AND(O16 = "1", J20 &gt; 2),"2",IF(AND(O16="1", J20 &gt;1),"1","0")))</f>
        <v>0</v>
      </c>
      <c r="P17" s="218"/>
    </row>
    <row r="18" spans="1:18" s="408" customFormat="1" ht="11.25" x14ac:dyDescent="0.2">
      <c r="A18" s="218"/>
      <c r="B18" s="401"/>
      <c r="C18" s="2270" t="s">
        <v>1384</v>
      </c>
      <c r="D18" s="2271"/>
      <c r="E18" s="218"/>
      <c r="F18" s="419" t="s">
        <v>827</v>
      </c>
      <c r="G18" s="402"/>
      <c r="H18" s="403">
        <f>SUM('Acct Summary 7-8'!C8+'Acct Summary 7-8'!D8+'Acct Summary 7-8'!F8+'Acct Summary 7-8'!I8)+H19</f>
        <v>45583751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67" t="s">
        <v>1479</v>
      </c>
      <c r="D24" s="2267"/>
      <c r="E24" s="218"/>
      <c r="F24" s="218" t="s">
        <v>465</v>
      </c>
      <c r="G24" s="402"/>
      <c r="H24" s="403">
        <f>SUM('Assets-Liab 5-6'!C4+'Assets-Liab 5-6'!D4+'Assets-Liab 5-6'!F4+'Assets-Liab 5-6'!I4+'Assets-Liab 5-6'!C5+'Assets-Liab 5-6'!D5+'Assets-Liab 5-6'!F5+'Assets-Liab 5-6'!I5)</f>
        <v>30264331</v>
      </c>
      <c r="I24" s="422"/>
      <c r="J24" s="422"/>
      <c r="K24" s="423">
        <f>TRUNC(((H24/H25*100000)/100000),2)</f>
        <v>273.89999999999998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110493.14722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10298799.338129999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52800000</v>
      </c>
      <c r="I32" s="420"/>
      <c r="J32" s="420"/>
      <c r="K32" s="423">
        <f>TRUNC(100-((((H32/H33*100))*100)/100),2)</f>
        <v>-184.89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18532923.555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Normal="100" workbookViewId="0">
      <pane ySplit="2" topLeftCell="A15" activePane="bottomLeft" state="frozen"/>
      <selection activeCell="A47" sqref="A47"/>
      <selection pane="bottomLeft" activeCell="I41" sqref="I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27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7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77" t="s">
        <v>1030</v>
      </c>
      <c r="B3" s="2278"/>
      <c r="C3" s="1578"/>
      <c r="D3" s="1579"/>
      <c r="E3" s="1579"/>
      <c r="F3" s="1579"/>
      <c r="G3" s="1579"/>
      <c r="H3" s="1579"/>
      <c r="I3" s="1579"/>
      <c r="J3" s="1579"/>
      <c r="K3" s="1579"/>
      <c r="L3" s="1579"/>
      <c r="M3" s="1580"/>
      <c r="N3" s="1581"/>
    </row>
    <row r="4" spans="1:14" ht="13.5" customHeight="1" x14ac:dyDescent="0.2">
      <c r="A4" s="463" t="s">
        <v>1749</v>
      </c>
      <c r="B4" s="464"/>
      <c r="C4" s="465">
        <f>835721+17428399</f>
        <v>18264120</v>
      </c>
      <c r="D4" s="466">
        <v>1510891</v>
      </c>
      <c r="E4" s="466">
        <v>0</v>
      </c>
      <c r="F4" s="466">
        <v>2740549</v>
      </c>
      <c r="G4" s="466">
        <v>0</v>
      </c>
      <c r="H4" s="466">
        <v>50045084</v>
      </c>
      <c r="I4" s="466">
        <v>7748771</v>
      </c>
      <c r="J4" s="467">
        <v>607048</v>
      </c>
      <c r="K4" s="466">
        <v>504782</v>
      </c>
      <c r="L4" s="466">
        <v>50008</v>
      </c>
      <c r="M4" s="468"/>
      <c r="N4" s="469"/>
    </row>
    <row r="5" spans="1:14" x14ac:dyDescent="0.2">
      <c r="A5" s="463" t="s">
        <v>1049</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0</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v>5833</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18269953</v>
      </c>
      <c r="D13" s="1756">
        <f t="shared" ref="D13:L13" si="0">SUM(D4:D12)</f>
        <v>1510891</v>
      </c>
      <c r="E13" s="1756">
        <f t="shared" si="0"/>
        <v>0</v>
      </c>
      <c r="F13" s="1756">
        <f t="shared" si="0"/>
        <v>2740549</v>
      </c>
      <c r="G13" s="1756">
        <f t="shared" si="0"/>
        <v>0</v>
      </c>
      <c r="H13" s="1756">
        <f t="shared" si="0"/>
        <v>50045084</v>
      </c>
      <c r="I13" s="1756">
        <f t="shared" si="0"/>
        <v>7748771</v>
      </c>
      <c r="J13" s="1756">
        <f t="shared" si="0"/>
        <v>607048</v>
      </c>
      <c r="K13" s="1756">
        <f t="shared" si="0"/>
        <v>504782</v>
      </c>
      <c r="L13" s="1756">
        <f t="shared" si="0"/>
        <v>50008</v>
      </c>
      <c r="M13" s="468"/>
      <c r="N13" s="469"/>
    </row>
    <row r="14" spans="1:14" ht="18" customHeight="1" thickTop="1" x14ac:dyDescent="0.2">
      <c r="A14" s="2279" t="s">
        <v>149</v>
      </c>
      <c r="B14" s="2280"/>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332904</v>
      </c>
      <c r="N16" s="484"/>
    </row>
    <row r="17" spans="1:14" s="485" customFormat="1" ht="12.75" customHeight="1" x14ac:dyDescent="0.2">
      <c r="A17" s="482" t="s">
        <v>1470</v>
      </c>
      <c r="B17" s="483">
        <v>230</v>
      </c>
      <c r="C17" s="477"/>
      <c r="D17" s="477"/>
      <c r="E17" s="477"/>
      <c r="F17" s="477"/>
      <c r="G17" s="477"/>
      <c r="H17" s="477"/>
      <c r="I17" s="477"/>
      <c r="J17" s="477"/>
      <c r="K17" s="477"/>
      <c r="L17" s="477"/>
      <c r="M17" s="467">
        <v>16593797</v>
      </c>
      <c r="N17" s="484"/>
    </row>
    <row r="18" spans="1:14" s="485" customFormat="1" ht="12.75" customHeight="1" x14ac:dyDescent="0.2">
      <c r="A18" s="482" t="s">
        <v>1471</v>
      </c>
      <c r="B18" s="483">
        <v>240</v>
      </c>
      <c r="C18" s="477"/>
      <c r="D18" s="477"/>
      <c r="E18" s="477"/>
      <c r="F18" s="477"/>
      <c r="G18" s="477"/>
      <c r="H18" s="477"/>
      <c r="I18" s="477"/>
      <c r="J18" s="477"/>
      <c r="K18" s="477"/>
      <c r="L18" s="477"/>
      <c r="M18" s="467">
        <v>437554</v>
      </c>
      <c r="N18" s="484"/>
    </row>
    <row r="19" spans="1:14" s="485" customFormat="1" ht="12.75" customHeight="1" x14ac:dyDescent="0.2">
      <c r="A19" s="482" t="s">
        <v>1472</v>
      </c>
      <c r="B19" s="483">
        <v>250</v>
      </c>
      <c r="C19" s="477"/>
      <c r="D19" s="477"/>
      <c r="E19" s="477"/>
      <c r="F19" s="477"/>
      <c r="G19" s="477"/>
      <c r="H19" s="477"/>
      <c r="I19" s="477"/>
      <c r="J19" s="477"/>
      <c r="K19" s="477"/>
      <c r="L19" s="477"/>
      <c r="M19" s="467">
        <v>487408</v>
      </c>
      <c r="N19" s="484"/>
    </row>
    <row r="20" spans="1:14" s="485" customFormat="1" ht="12.75" customHeight="1" x14ac:dyDescent="0.2">
      <c r="A20" s="482" t="s">
        <v>1473</v>
      </c>
      <c r="B20" s="483">
        <v>260</v>
      </c>
      <c r="C20" s="477"/>
      <c r="D20" s="477"/>
      <c r="E20" s="477"/>
      <c r="F20" s="477"/>
      <c r="G20" s="477"/>
      <c r="H20" s="477"/>
      <c r="I20" s="477"/>
      <c r="J20" s="477"/>
      <c r="K20" s="477"/>
      <c r="L20" s="477"/>
      <c r="M20" s="467">
        <v>777245</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52800000</v>
      </c>
    </row>
    <row r="23" spans="1:14" ht="13.5" customHeight="1" thickBot="1" x14ac:dyDescent="0.25">
      <c r="A23" s="1755" t="s">
        <v>664</v>
      </c>
      <c r="B23" s="1760"/>
      <c r="C23" s="468"/>
      <c r="D23" s="468"/>
      <c r="E23" s="468"/>
      <c r="F23" s="468"/>
      <c r="G23" s="468"/>
      <c r="H23" s="468"/>
      <c r="I23" s="468"/>
      <c r="J23" s="468"/>
      <c r="K23" s="468"/>
      <c r="L23" s="468"/>
      <c r="M23" s="1707">
        <f>SUM(M15:M22)</f>
        <v>18628908</v>
      </c>
      <c r="N23" s="1707">
        <f>SUM(N21:N22)</f>
        <v>52800000</v>
      </c>
    </row>
    <row r="24" spans="1:14" ht="18" customHeight="1" thickTop="1" x14ac:dyDescent="0.2">
      <c r="A24" s="2281" t="s">
        <v>619</v>
      </c>
      <c r="B24" s="2282"/>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v>0</v>
      </c>
      <c r="D28" s="467">
        <v>0</v>
      </c>
      <c r="E28" s="474">
        <v>0</v>
      </c>
      <c r="F28" s="467">
        <v>0</v>
      </c>
      <c r="G28" s="474"/>
      <c r="H28" s="474">
        <v>0</v>
      </c>
      <c r="I28" s="467"/>
      <c r="J28" s="467">
        <v>0</v>
      </c>
      <c r="K28" s="479">
        <v>0</v>
      </c>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0</v>
      </c>
      <c r="D30" s="474">
        <v>0</v>
      </c>
      <c r="E30" s="467"/>
      <c r="F30" s="467">
        <v>0</v>
      </c>
      <c r="G30" s="467"/>
      <c r="H30" s="467"/>
      <c r="I30" s="467"/>
      <c r="J30" s="467">
        <v>0</v>
      </c>
      <c r="K30" s="478"/>
      <c r="L30" s="468"/>
      <c r="M30" s="468"/>
      <c r="N30" s="468"/>
    </row>
    <row r="31" spans="1:14" ht="13.5" customHeight="1" x14ac:dyDescent="0.2">
      <c r="A31" s="473" t="s">
        <v>672</v>
      </c>
      <c r="B31" s="470">
        <v>480</v>
      </c>
      <c r="C31" s="466"/>
      <c r="D31" s="467">
        <v>0</v>
      </c>
      <c r="E31" s="467"/>
      <c r="F31" s="466">
        <v>0</v>
      </c>
      <c r="G31" s="467"/>
      <c r="H31" s="467"/>
      <c r="I31" s="467"/>
      <c r="J31" s="467">
        <v>0</v>
      </c>
      <c r="K31" s="467"/>
      <c r="L31" s="468"/>
      <c r="M31" s="468"/>
      <c r="N31" s="468"/>
    </row>
    <row r="32" spans="1:14" ht="13.5" customHeight="1" x14ac:dyDescent="0.2">
      <c r="A32" s="490" t="s">
        <v>673</v>
      </c>
      <c r="B32" s="491">
        <v>490</v>
      </c>
      <c r="C32" s="492"/>
      <c r="D32" s="492"/>
      <c r="E32" s="474">
        <f>2088326-886833</f>
        <v>1201493</v>
      </c>
      <c r="F32" s="474"/>
      <c r="G32" s="474">
        <v>73160</v>
      </c>
      <c r="H32" s="474"/>
      <c r="I32" s="474"/>
      <c r="J32" s="474"/>
      <c r="K32" s="479"/>
      <c r="L32" s="468"/>
      <c r="M32" s="468"/>
      <c r="N32" s="468"/>
    </row>
    <row r="33" spans="1:14" ht="13.5" customHeight="1" x14ac:dyDescent="0.2">
      <c r="A33" s="493" t="s">
        <v>321</v>
      </c>
      <c r="B33" s="491">
        <v>493</v>
      </c>
      <c r="C33" s="467">
        <v>0</v>
      </c>
      <c r="D33" s="467"/>
      <c r="E33" s="467">
        <v>0</v>
      </c>
      <c r="F33" s="467"/>
      <c r="G33" s="467"/>
      <c r="H33" s="467"/>
      <c r="I33" s="467"/>
      <c r="J33" s="467"/>
      <c r="K33" s="467"/>
      <c r="L33" s="467">
        <v>50008</v>
      </c>
      <c r="M33" s="468"/>
      <c r="N33" s="469"/>
    </row>
    <row r="34" spans="1:14" ht="13.5" customHeight="1" thickBot="1" x14ac:dyDescent="0.25">
      <c r="A34" s="1757" t="s">
        <v>675</v>
      </c>
      <c r="B34" s="1758"/>
      <c r="C34" s="1759">
        <f>SUM(C25:C33)</f>
        <v>0</v>
      </c>
      <c r="D34" s="1759">
        <f t="shared" ref="D34:K34" si="1">SUM(D25:D33)</f>
        <v>0</v>
      </c>
      <c r="E34" s="1759">
        <f t="shared" si="1"/>
        <v>1201493</v>
      </c>
      <c r="F34" s="1759">
        <f t="shared" si="1"/>
        <v>0</v>
      </c>
      <c r="G34" s="1759">
        <f t="shared" si="1"/>
        <v>73160</v>
      </c>
      <c r="H34" s="1759">
        <f t="shared" si="1"/>
        <v>0</v>
      </c>
      <c r="I34" s="1759">
        <f t="shared" si="1"/>
        <v>0</v>
      </c>
      <c r="J34" s="1759">
        <f t="shared" si="1"/>
        <v>0</v>
      </c>
      <c r="K34" s="1759">
        <f t="shared" si="1"/>
        <v>0</v>
      </c>
      <c r="L34" s="1740">
        <f>SUM(L33)</f>
        <v>50008</v>
      </c>
      <c r="M34" s="468"/>
      <c r="N34" s="480"/>
    </row>
    <row r="35" spans="1:14" ht="18" customHeight="1" thickTop="1" x14ac:dyDescent="0.2">
      <c r="A35" s="2283" t="s">
        <v>550</v>
      </c>
      <c r="B35" s="2284"/>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52800000</v>
      </c>
    </row>
    <row r="37" spans="1:14" ht="13.5" thickBot="1" x14ac:dyDescent="0.25">
      <c r="A37" s="1755" t="s">
        <v>674</v>
      </c>
      <c r="B37" s="1760"/>
      <c r="C37" s="477"/>
      <c r="D37" s="477"/>
      <c r="E37" s="477"/>
      <c r="F37" s="477"/>
      <c r="G37" s="477"/>
      <c r="H37" s="477"/>
      <c r="I37" s="477"/>
      <c r="J37" s="477"/>
      <c r="K37" s="477"/>
      <c r="L37" s="480"/>
      <c r="M37" s="468"/>
      <c r="N37" s="1707">
        <f>SUM(N36:N36)</f>
        <v>52800000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f>
        <v>18269953</v>
      </c>
      <c r="D39" s="466">
        <v>1510891</v>
      </c>
      <c r="E39" s="466">
        <f>E13-E34</f>
        <v>-1201493</v>
      </c>
      <c r="F39" s="466">
        <v>2740549</v>
      </c>
      <c r="G39" s="466">
        <v>-73160</v>
      </c>
      <c r="H39" s="466">
        <v>50045084</v>
      </c>
      <c r="I39" s="466">
        <v>7748771</v>
      </c>
      <c r="J39" s="467">
        <v>607048</v>
      </c>
      <c r="K39" s="466">
        <v>504782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18628908</v>
      </c>
      <c r="N40" s="497"/>
    </row>
    <row r="41" spans="1:14" ht="13.5" customHeight="1" thickBot="1" x14ac:dyDescent="0.25">
      <c r="A41" s="1755" t="s">
        <v>676</v>
      </c>
      <c r="B41" s="1725"/>
      <c r="C41" s="1707">
        <f>(SUM(C34,C37,C38,C39))</f>
        <v>18269953</v>
      </c>
      <c r="D41" s="1707">
        <f t="shared" ref="D41:L41" si="2">SUM(D34,D37,D38:D39)</f>
        <v>1510891</v>
      </c>
      <c r="E41" s="1707">
        <f t="shared" si="2"/>
        <v>0</v>
      </c>
      <c r="F41" s="1707">
        <f t="shared" si="2"/>
        <v>2740549</v>
      </c>
      <c r="G41" s="1707">
        <f t="shared" si="2"/>
        <v>0</v>
      </c>
      <c r="H41" s="1707">
        <f t="shared" si="2"/>
        <v>50045084</v>
      </c>
      <c r="I41" s="1707">
        <f t="shared" si="2"/>
        <v>7748771</v>
      </c>
      <c r="J41" s="1707">
        <f t="shared" si="2"/>
        <v>607048</v>
      </c>
      <c r="K41" s="1707">
        <f t="shared" si="2"/>
        <v>504782</v>
      </c>
      <c r="L41" s="1707">
        <f t="shared" si="2"/>
        <v>50008</v>
      </c>
      <c r="M41" s="1707">
        <f>SUM(M40)</f>
        <v>18628908</v>
      </c>
      <c r="N41" s="1707">
        <f>SUM(N37)</f>
        <v>52800000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4" sqref="C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93"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9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305" t="s">
        <v>1237</v>
      </c>
      <c r="B3" s="2306"/>
      <c r="C3" s="1592"/>
      <c r="D3" s="1593"/>
      <c r="E3" s="1593"/>
      <c r="F3" s="1593"/>
      <c r="G3" s="1593"/>
      <c r="H3" s="1593"/>
      <c r="I3" s="1593"/>
      <c r="J3" s="1593"/>
      <c r="K3" s="1594"/>
      <c r="L3" s="506"/>
    </row>
    <row r="4" spans="1:13" ht="15.75" customHeight="1" x14ac:dyDescent="0.2">
      <c r="A4" s="1949" t="s">
        <v>1579</v>
      </c>
      <c r="B4" s="1950">
        <v>1000</v>
      </c>
      <c r="C4" s="1761">
        <f>'Revenues 9-14'!C109</f>
        <v>8855367</v>
      </c>
      <c r="D4" s="1761">
        <f>'Revenues 9-14'!D109</f>
        <v>981024</v>
      </c>
      <c r="E4" s="1761">
        <f>'Revenues 9-14'!E109</f>
        <v>859830</v>
      </c>
      <c r="F4" s="1761">
        <f>'Revenues 9-14'!F109</f>
        <v>883272</v>
      </c>
      <c r="G4" s="1761">
        <f>'Revenues 9-14'!G109</f>
        <v>1208581</v>
      </c>
      <c r="H4" s="1761">
        <f>'Revenues 9-14'!H109</f>
        <v>739393</v>
      </c>
      <c r="I4" s="1761">
        <f>'Revenues 9-14'!I109</f>
        <v>80946</v>
      </c>
      <c r="J4" s="1761">
        <f>'Revenues 9-14'!J109</f>
        <v>-65437</v>
      </c>
      <c r="K4" s="1761">
        <f>'Revenues 9-14'!K109</f>
        <v>82139</v>
      </c>
      <c r="L4" s="347"/>
    </row>
    <row r="5" spans="1:13" ht="15.75" customHeight="1" x14ac:dyDescent="0.2">
      <c r="A5" s="1595" t="s">
        <v>1580</v>
      </c>
      <c r="B5" s="1596">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1581</v>
      </c>
      <c r="B6" s="1597">
        <v>3000</v>
      </c>
      <c r="C6" s="1762">
        <f>'Revenues 9-14'!C173</f>
        <v>23290639</v>
      </c>
      <c r="D6" s="1762">
        <f>'Revenues 9-14'!D173</f>
        <v>4000000</v>
      </c>
      <c r="E6" s="1762">
        <f>'Revenues 9-14'!E173</f>
        <v>0</v>
      </c>
      <c r="F6" s="1762">
        <f>'Revenues 9-14'!F173</f>
        <v>799338</v>
      </c>
      <c r="G6" s="1762">
        <f>'Revenues 9-14'!G173</f>
        <v>0</v>
      </c>
      <c r="H6" s="1762">
        <f>'Revenues 9-14'!H173</f>
        <v>0</v>
      </c>
      <c r="I6" s="1762">
        <f>'Revenues 9-14'!I173</f>
        <v>0</v>
      </c>
      <c r="J6" s="1762">
        <f>'Revenues 9-14'!J173</f>
        <v>0</v>
      </c>
      <c r="K6" s="1762">
        <f>'Revenues 9-14'!K173</f>
        <v>0</v>
      </c>
      <c r="L6" s="347"/>
      <c r="M6" s="513"/>
    </row>
    <row r="7" spans="1:13" ht="15.75" customHeight="1" x14ac:dyDescent="0.2">
      <c r="A7" s="1595" t="s">
        <v>1582</v>
      </c>
      <c r="B7" s="1597">
        <v>4000</v>
      </c>
      <c r="C7" s="1762">
        <f>'Revenues 9-14'!C274</f>
        <v>6693165</v>
      </c>
      <c r="D7" s="1762">
        <f>'Revenues 9-14'!D274</f>
        <v>0</v>
      </c>
      <c r="E7" s="1762">
        <f>'Revenues 9-14'!E274</f>
        <v>1497762</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38839171</v>
      </c>
      <c r="D8" s="1707">
        <f t="shared" ref="D8:K8" si="0">SUM(D4:D7)</f>
        <v>4981024</v>
      </c>
      <c r="E8" s="1707">
        <f t="shared" si="0"/>
        <v>2357592</v>
      </c>
      <c r="F8" s="1707">
        <f t="shared" si="0"/>
        <v>1682610</v>
      </c>
      <c r="G8" s="1707">
        <f t="shared" si="0"/>
        <v>1208581</v>
      </c>
      <c r="H8" s="1707">
        <f t="shared" si="0"/>
        <v>739393</v>
      </c>
      <c r="I8" s="1707">
        <f t="shared" si="0"/>
        <v>80946</v>
      </c>
      <c r="J8" s="1707">
        <f t="shared" si="0"/>
        <v>-65437</v>
      </c>
      <c r="K8" s="1707">
        <f t="shared" si="0"/>
        <v>82139</v>
      </c>
      <c r="L8" s="347"/>
    </row>
    <row r="9" spans="1:13" ht="15.75" thickTop="1" x14ac:dyDescent="0.2">
      <c r="A9" s="514" t="s">
        <v>1751</v>
      </c>
      <c r="B9" s="515">
        <v>3998</v>
      </c>
      <c r="C9" s="481">
        <v>14773706</v>
      </c>
      <c r="D9" s="516"/>
      <c r="E9" s="481"/>
      <c r="F9" s="481"/>
      <c r="G9" s="517"/>
      <c r="H9" s="481"/>
      <c r="I9" s="509" t="s">
        <v>1231</v>
      </c>
      <c r="J9" s="478"/>
      <c r="K9" s="481"/>
      <c r="L9" s="347"/>
    </row>
    <row r="10" spans="1:13" s="519" customFormat="1" ht="13.5" thickBot="1" x14ac:dyDescent="0.25">
      <c r="A10" s="1755" t="s">
        <v>1235</v>
      </c>
      <c r="B10" s="1728"/>
      <c r="C10" s="1707">
        <f>SUM(C8:C9)</f>
        <v>53612877</v>
      </c>
      <c r="D10" s="1707">
        <f t="shared" ref="D10:K10" si="1">SUM(D8:D9)</f>
        <v>4981024</v>
      </c>
      <c r="E10" s="1707">
        <f t="shared" si="1"/>
        <v>2357592</v>
      </c>
      <c r="F10" s="1707">
        <f t="shared" si="1"/>
        <v>1682610</v>
      </c>
      <c r="G10" s="1707">
        <f t="shared" si="1"/>
        <v>1208581</v>
      </c>
      <c r="H10" s="1707">
        <f t="shared" si="1"/>
        <v>739393</v>
      </c>
      <c r="I10" s="1707">
        <f t="shared" si="1"/>
        <v>80946</v>
      </c>
      <c r="J10" s="1707">
        <f t="shared" si="1"/>
        <v>-65437</v>
      </c>
      <c r="K10" s="1707">
        <f t="shared" si="1"/>
        <v>82139</v>
      </c>
      <c r="L10" s="518"/>
    </row>
    <row r="11" spans="1:13" s="519" customFormat="1" ht="16.7" customHeight="1" thickTop="1" x14ac:dyDescent="0.2">
      <c r="A11" s="2279" t="s">
        <v>1238</v>
      </c>
      <c r="B11" s="2280"/>
      <c r="C11" s="1589"/>
      <c r="D11" s="1590"/>
      <c r="E11" s="1590"/>
      <c r="F11" s="1590"/>
      <c r="G11" s="1590"/>
      <c r="H11" s="1590"/>
      <c r="I11" s="1590"/>
      <c r="J11" s="1590"/>
      <c r="K11" s="1591"/>
      <c r="L11" s="518"/>
    </row>
    <row r="12" spans="1:13" ht="15.75" customHeight="1" x14ac:dyDescent="0.2">
      <c r="A12" s="1595" t="s">
        <v>476</v>
      </c>
      <c r="B12" s="1597">
        <v>1000</v>
      </c>
      <c r="C12" s="1761">
        <f>'Expenditures 15-22'!K33</f>
        <v>22880007</v>
      </c>
      <c r="D12" s="520" t="s">
        <v>1231</v>
      </c>
      <c r="E12" s="468" t="s">
        <v>1231</v>
      </c>
      <c r="F12" s="468" t="s">
        <v>1231</v>
      </c>
      <c r="G12" s="1761">
        <f>'Expenditures 15-22'!K229</f>
        <v>722660</v>
      </c>
      <c r="H12" s="521"/>
      <c r="I12" s="468" t="s">
        <v>1231</v>
      </c>
      <c r="J12" s="468" t="s">
        <v>1231</v>
      </c>
      <c r="K12" s="521" t="s">
        <v>1231</v>
      </c>
      <c r="L12" s="347"/>
    </row>
    <row r="13" spans="1:13" ht="15.75" customHeight="1" x14ac:dyDescent="0.2">
      <c r="A13" s="1595" t="s">
        <v>477</v>
      </c>
      <c r="B13" s="1597">
        <v>2000</v>
      </c>
      <c r="C13" s="1762">
        <f>'Expenditures 15-22'!K74</f>
        <v>11297784</v>
      </c>
      <c r="D13" s="1762">
        <f>'Expenditures 15-22'!K129</f>
        <v>2682231</v>
      </c>
      <c r="E13" s="469" t="s">
        <v>1231</v>
      </c>
      <c r="F13" s="1762">
        <f>'Expenditures 15-22'!K184</f>
        <v>1226910</v>
      </c>
      <c r="G13" s="1762">
        <f>'Expenditures 15-22'!K279</f>
        <v>789562</v>
      </c>
      <c r="H13" s="1762">
        <f>'Expenditures 15-22'!K303</f>
        <v>2890620</v>
      </c>
      <c r="I13" s="468" t="s">
        <v>1231</v>
      </c>
      <c r="J13" s="1762">
        <f>'Expenditures 15-22'!K330</f>
        <v>0</v>
      </c>
      <c r="K13" s="1766">
        <f>'Expenditures 15-22'!K352</f>
        <v>0</v>
      </c>
      <c r="L13" s="347"/>
    </row>
    <row r="14" spans="1:13" ht="15.75" customHeight="1" x14ac:dyDescent="0.2">
      <c r="A14" s="1595" t="s">
        <v>469</v>
      </c>
      <c r="B14" s="1597">
        <v>3000</v>
      </c>
      <c r="C14" s="1762">
        <f>'Expenditures 15-22'!K75</f>
        <v>303519</v>
      </c>
      <c r="D14" s="1762">
        <f>'Expenditures 15-22'!K130</f>
        <v>0</v>
      </c>
      <c r="E14" s="520" t="s">
        <v>1231</v>
      </c>
      <c r="F14" s="1762">
        <f>'Expenditures 15-22'!K185</f>
        <v>0</v>
      </c>
      <c r="G14" s="1762">
        <f>'Expenditures 15-22'!K280</f>
        <v>22872</v>
      </c>
      <c r="H14" s="512"/>
      <c r="I14" s="468" t="s">
        <v>1231</v>
      </c>
      <c r="J14" s="468" t="s">
        <v>1231</v>
      </c>
      <c r="K14" s="512" t="s">
        <v>1231</v>
      </c>
      <c r="L14" s="347"/>
    </row>
    <row r="15" spans="1:13" ht="15.75" customHeight="1" x14ac:dyDescent="0.2">
      <c r="A15" s="1595" t="s">
        <v>109</v>
      </c>
      <c r="B15" s="1597">
        <v>4000</v>
      </c>
      <c r="C15" s="1762">
        <f>'Expenditures 15-22'!K102</f>
        <v>1387082</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57405635</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35868392</v>
      </c>
      <c r="D17" s="1707">
        <f t="shared" si="2"/>
        <v>2682231</v>
      </c>
      <c r="E17" s="1707">
        <f t="shared" si="2"/>
        <v>57405635</v>
      </c>
      <c r="F17" s="1707">
        <f t="shared" si="2"/>
        <v>1226910</v>
      </c>
      <c r="G17" s="1707">
        <f t="shared" si="2"/>
        <v>1535094</v>
      </c>
      <c r="H17" s="1707">
        <f t="shared" si="2"/>
        <v>2890620</v>
      </c>
      <c r="I17" s="468"/>
      <c r="J17" s="1707">
        <f>SUM(J12:J16)</f>
        <v>0</v>
      </c>
      <c r="K17" s="1707">
        <f>SUM(K12:K16)</f>
        <v>0</v>
      </c>
      <c r="L17" s="347"/>
    </row>
    <row r="18" spans="1:12" ht="15" customHeight="1" thickTop="1" x14ac:dyDescent="0.2">
      <c r="A18" s="1763" t="s">
        <v>1752</v>
      </c>
      <c r="B18" s="1764">
        <v>4180</v>
      </c>
      <c r="C18" s="1761">
        <f t="shared" ref="C18:H18" si="3">C9</f>
        <v>14773706</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50642098</v>
      </c>
      <c r="D19" s="1707">
        <f t="shared" si="4"/>
        <v>2682231</v>
      </c>
      <c r="E19" s="1707">
        <f t="shared" si="4"/>
        <v>57405635</v>
      </c>
      <c r="F19" s="1707">
        <f t="shared" si="4"/>
        <v>1226910</v>
      </c>
      <c r="G19" s="1707">
        <f t="shared" si="4"/>
        <v>1535094</v>
      </c>
      <c r="H19" s="1707">
        <f t="shared" si="4"/>
        <v>2890620</v>
      </c>
      <c r="I19" s="468"/>
      <c r="J19" s="1707">
        <f>SUM(J17:J18)</f>
        <v>0</v>
      </c>
      <c r="K19" s="1707">
        <f>SUM(K17:K18)</f>
        <v>0</v>
      </c>
      <c r="L19" s="347"/>
    </row>
    <row r="20" spans="1:12" ht="16.5" thickTop="1" thickBot="1" x14ac:dyDescent="0.25">
      <c r="A20" s="2295" t="s">
        <v>1753</v>
      </c>
      <c r="B20" s="2296"/>
      <c r="C20" s="1765">
        <f>C8-C17</f>
        <v>2970779</v>
      </c>
      <c r="D20" s="1765">
        <f t="shared" ref="D20:K20" si="5">D8-D17</f>
        <v>2298793</v>
      </c>
      <c r="E20" s="1765">
        <f t="shared" si="5"/>
        <v>-55048043</v>
      </c>
      <c r="F20" s="1765">
        <f t="shared" si="5"/>
        <v>455700</v>
      </c>
      <c r="G20" s="1765">
        <f t="shared" si="5"/>
        <v>-326513</v>
      </c>
      <c r="H20" s="1765">
        <f t="shared" si="5"/>
        <v>-2151227</v>
      </c>
      <c r="I20" s="1765">
        <f t="shared" si="5"/>
        <v>80946</v>
      </c>
      <c r="J20" s="1765">
        <f t="shared" si="5"/>
        <v>-65437</v>
      </c>
      <c r="K20" s="1765">
        <f t="shared" si="5"/>
        <v>82139</v>
      </c>
      <c r="L20" s="347"/>
    </row>
    <row r="21" spans="1:12" ht="16.7" customHeight="1" thickTop="1" x14ac:dyDescent="0.2">
      <c r="A21" s="2307" t="s">
        <v>616</v>
      </c>
      <c r="B21" s="2308"/>
      <c r="C21" s="1589"/>
      <c r="D21" s="1590"/>
      <c r="E21" s="1590"/>
      <c r="F21" s="1590"/>
      <c r="G21" s="1590"/>
      <c r="H21" s="1590"/>
      <c r="I21" s="1590"/>
      <c r="J21" s="1590"/>
      <c r="K21" s="1591"/>
      <c r="L21" s="524"/>
    </row>
    <row r="22" spans="1:12" ht="15.75" customHeight="1" collapsed="1" x14ac:dyDescent="0.2">
      <c r="A22" s="2303" t="s">
        <v>617</v>
      </c>
      <c r="B22" s="2304"/>
      <c r="C22" s="477"/>
      <c r="D22" s="477"/>
      <c r="E22" s="477"/>
      <c r="F22" s="477"/>
      <c r="G22" s="477"/>
      <c r="H22" s="477"/>
      <c r="I22" s="477"/>
      <c r="J22" s="477"/>
      <c r="K22" s="477"/>
      <c r="L22" s="347"/>
    </row>
    <row r="23" spans="1:12" s="485" customFormat="1" ht="15.75" customHeight="1" x14ac:dyDescent="0.2">
      <c r="A23" s="2299" t="s">
        <v>311</v>
      </c>
      <c r="B23" s="2300"/>
      <c r="C23" s="480"/>
      <c r="D23" s="477"/>
      <c r="E23" s="477"/>
      <c r="F23" s="477"/>
      <c r="G23" s="477"/>
      <c r="H23" s="477"/>
      <c r="I23" s="477"/>
      <c r="J23" s="477"/>
      <c r="K23" s="477"/>
      <c r="L23" s="524"/>
    </row>
    <row r="24" spans="1:12" s="485" customFormat="1" ht="13.5" customHeight="1" x14ac:dyDescent="0.2">
      <c r="A24" s="1508" t="s">
        <v>1754</v>
      </c>
      <c r="B24" s="525">
        <v>7110</v>
      </c>
      <c r="C24" s="467"/>
      <c r="D24" s="477"/>
      <c r="E24" s="477"/>
      <c r="F24" s="477"/>
      <c r="G24" s="477"/>
      <c r="H24" s="477"/>
      <c r="I24" s="477"/>
      <c r="J24" s="477"/>
      <c r="K24" s="477"/>
      <c r="L24" s="524"/>
    </row>
    <row r="25" spans="1:12" s="485" customFormat="1" ht="13.5" customHeight="1" x14ac:dyDescent="0.2">
      <c r="A25" s="1508" t="s">
        <v>1755</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1893</v>
      </c>
      <c r="B30" s="527">
        <v>7160</v>
      </c>
      <c r="C30" s="477"/>
      <c r="D30" s="467"/>
      <c r="E30" s="477"/>
      <c r="F30" s="477"/>
      <c r="G30" s="477"/>
      <c r="H30" s="477"/>
      <c r="I30" s="477"/>
      <c r="J30" s="477"/>
      <c r="K30" s="477"/>
      <c r="L30" s="524"/>
    </row>
    <row r="31" spans="1:12" s="485" customFormat="1" ht="26.25" x14ac:dyDescent="0.2">
      <c r="A31" s="1508" t="s">
        <v>1897</v>
      </c>
      <c r="B31" s="527">
        <v>7170</v>
      </c>
      <c r="C31" s="477"/>
      <c r="D31" s="477"/>
      <c r="E31" s="474"/>
      <c r="F31" s="477"/>
      <c r="G31" s="477"/>
      <c r="H31" s="477"/>
      <c r="I31" s="477"/>
      <c r="J31" s="477"/>
      <c r="K31" s="477"/>
      <c r="L31" s="524"/>
    </row>
    <row r="32" spans="1:12" s="485" customFormat="1" ht="15.75" customHeight="1" x14ac:dyDescent="0.2">
      <c r="A32" s="2301" t="s">
        <v>1038</v>
      </c>
      <c r="B32" s="2302"/>
      <c r="C32" s="477"/>
      <c r="D32" s="477"/>
      <c r="E32" s="475"/>
      <c r="F32" s="477"/>
      <c r="G32" s="477"/>
      <c r="H32" s="477"/>
      <c r="I32" s="477"/>
      <c r="J32" s="477"/>
      <c r="K32" s="477"/>
      <c r="L32" s="524"/>
    </row>
    <row r="33" spans="1:12" s="485" customFormat="1" x14ac:dyDescent="0.2">
      <c r="A33" s="1508" t="s">
        <v>432</v>
      </c>
      <c r="B33" s="525">
        <v>7210</v>
      </c>
      <c r="C33" s="467"/>
      <c r="D33" s="467"/>
      <c r="E33" s="467">
        <v>52800000</v>
      </c>
      <c r="F33" s="467"/>
      <c r="G33" s="477"/>
      <c r="H33" s="467">
        <v>0</v>
      </c>
      <c r="I33" s="467">
        <v>0</v>
      </c>
      <c r="J33" s="467"/>
      <c r="K33" s="467"/>
      <c r="L33" s="524"/>
    </row>
    <row r="34" spans="1:12" s="485" customFormat="1" x14ac:dyDescent="0.2">
      <c r="A34" s="1508" t="s">
        <v>1058</v>
      </c>
      <c r="B34" s="525">
        <v>7220</v>
      </c>
      <c r="C34" s="467"/>
      <c r="D34" s="467"/>
      <c r="E34" s="467">
        <v>1130490</v>
      </c>
      <c r="F34" s="467"/>
      <c r="G34" s="477"/>
      <c r="H34" s="478">
        <v>0</v>
      </c>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1756</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0</v>
      </c>
      <c r="F39" s="477"/>
      <c r="G39" s="477"/>
      <c r="H39" s="477"/>
      <c r="I39" s="477"/>
      <c r="J39" s="477"/>
      <c r="K39" s="477"/>
      <c r="L39" s="524"/>
    </row>
    <row r="40" spans="1:12" s="485" customFormat="1" ht="13.5" customHeight="1" x14ac:dyDescent="0.2">
      <c r="A40" s="1508" t="s">
        <v>663</v>
      </c>
      <c r="B40" s="483">
        <v>7700</v>
      </c>
      <c r="C40" s="477"/>
      <c r="D40" s="477"/>
      <c r="E40" s="1762">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c r="F43" s="467"/>
      <c r="G43" s="467"/>
      <c r="H43" s="467"/>
      <c r="I43" s="467">
        <v>1500000</v>
      </c>
      <c r="J43" s="467"/>
      <c r="K43" s="467"/>
      <c r="L43" s="524"/>
    </row>
    <row r="44" spans="1:12" s="485" customFormat="1" ht="13.5" customHeight="1" thickBot="1" x14ac:dyDescent="0.25">
      <c r="A44" s="2309" t="s">
        <v>392</v>
      </c>
      <c r="B44" s="2310"/>
      <c r="C44" s="1722">
        <f>SUM(C24:C43)</f>
        <v>0</v>
      </c>
      <c r="D44" s="1722">
        <f t="shared" ref="D44:K44" si="6">SUM(D24:D43)</f>
        <v>0</v>
      </c>
      <c r="E44" s="1722">
        <f t="shared" si="6"/>
        <v>53930490</v>
      </c>
      <c r="F44" s="1722">
        <f t="shared" si="6"/>
        <v>0</v>
      </c>
      <c r="G44" s="1722">
        <f t="shared" si="6"/>
        <v>0</v>
      </c>
      <c r="H44" s="1722">
        <f t="shared" si="6"/>
        <v>0</v>
      </c>
      <c r="I44" s="1722">
        <f t="shared" si="6"/>
        <v>1500000</v>
      </c>
      <c r="J44" s="1722">
        <f t="shared" si="6"/>
        <v>0</v>
      </c>
      <c r="K44" s="1722">
        <f t="shared" si="6"/>
        <v>0</v>
      </c>
      <c r="L44" s="524"/>
    </row>
    <row r="45" spans="1:12" ht="15.75" customHeight="1" thickTop="1" x14ac:dyDescent="0.2">
      <c r="A45" s="2303" t="s">
        <v>110</v>
      </c>
      <c r="B45" s="2304"/>
      <c r="C45" s="528"/>
      <c r="D45" s="528"/>
      <c r="E45" s="528"/>
      <c r="F45" s="528"/>
      <c r="G45" s="528"/>
      <c r="H45" s="528"/>
      <c r="I45" s="528"/>
      <c r="J45" s="528"/>
      <c r="K45" s="528"/>
      <c r="L45" s="347"/>
    </row>
    <row r="46" spans="1:12" s="485" customFormat="1" ht="15.75" customHeight="1" x14ac:dyDescent="0.2">
      <c r="A46" s="2311" t="s">
        <v>111</v>
      </c>
      <c r="B46" s="2312"/>
      <c r="C46" s="477"/>
      <c r="D46" s="477"/>
      <c r="E46" s="477"/>
      <c r="F46" s="477"/>
      <c r="G46" s="477"/>
      <c r="H46" s="477"/>
      <c r="I46" s="480"/>
      <c r="J46" s="477"/>
      <c r="K46" s="477"/>
      <c r="L46" s="529"/>
    </row>
    <row r="47" spans="1:12" s="485" customFormat="1" ht="15" x14ac:dyDescent="0.2">
      <c r="A47" s="1509" t="s">
        <v>1757</v>
      </c>
      <c r="B47" s="483">
        <v>8110</v>
      </c>
      <c r="C47" s="477"/>
      <c r="D47" s="477"/>
      <c r="E47" s="477"/>
      <c r="F47" s="477"/>
      <c r="G47" s="477"/>
      <c r="H47" s="477"/>
      <c r="I47" s="1762">
        <f>SUM(C24,C25:H25,J25:K25)</f>
        <v>0</v>
      </c>
      <c r="J47" s="477"/>
      <c r="K47" s="477"/>
      <c r="L47" s="529"/>
    </row>
    <row r="48" spans="1:12" s="485" customFormat="1" ht="15" x14ac:dyDescent="0.2">
      <c r="A48" s="1509" t="s">
        <v>1758</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1896</v>
      </c>
      <c r="B52" s="483">
        <v>8160</v>
      </c>
      <c r="C52" s="477"/>
      <c r="D52" s="477"/>
      <c r="E52" s="477"/>
      <c r="F52" s="477"/>
      <c r="G52" s="477"/>
      <c r="H52" s="477"/>
      <c r="I52" s="477"/>
      <c r="J52" s="477"/>
      <c r="K52" s="1762">
        <f>D30</f>
        <v>0</v>
      </c>
      <c r="L52" s="524"/>
    </row>
    <row r="53" spans="1:12" s="485" customFormat="1" ht="26.25" x14ac:dyDescent="0.2">
      <c r="A53" s="1509" t="s">
        <v>1895</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c r="I75" s="530"/>
      <c r="J75" s="530"/>
      <c r="K75" s="532"/>
      <c r="L75" s="524"/>
    </row>
    <row r="76" spans="1:12" s="485" customFormat="1" ht="14.25" thickTop="1" thickBot="1" x14ac:dyDescent="0.25">
      <c r="A76" s="2285" t="s">
        <v>460</v>
      </c>
      <c r="B76" s="2286"/>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287" t="s">
        <v>1239</v>
      </c>
      <c r="B77" s="2288"/>
      <c r="C77" s="1722">
        <f t="shared" ref="C77:K77" si="8">C44-C76</f>
        <v>0</v>
      </c>
      <c r="D77" s="1722">
        <f t="shared" si="8"/>
        <v>0</v>
      </c>
      <c r="E77" s="1722">
        <f t="shared" si="8"/>
        <v>53930490</v>
      </c>
      <c r="F77" s="1722">
        <f t="shared" si="8"/>
        <v>0</v>
      </c>
      <c r="G77" s="1722">
        <f t="shared" si="8"/>
        <v>0</v>
      </c>
      <c r="H77" s="1722">
        <f t="shared" si="8"/>
        <v>0</v>
      </c>
      <c r="I77" s="1722">
        <f t="shared" si="8"/>
        <v>1500000</v>
      </c>
      <c r="J77" s="1722">
        <f t="shared" si="8"/>
        <v>0</v>
      </c>
      <c r="K77" s="1722">
        <f t="shared" si="8"/>
        <v>0</v>
      </c>
      <c r="L77" s="347"/>
    </row>
    <row r="78" spans="1:12" ht="21.75" customHeight="1" thickTop="1" thickBot="1" x14ac:dyDescent="0.25">
      <c r="A78" s="2291" t="s">
        <v>618</v>
      </c>
      <c r="B78" s="2292"/>
      <c r="C78" s="1721">
        <f t="shared" ref="C78:K78" si="9">C20+C77</f>
        <v>2970779</v>
      </c>
      <c r="D78" s="1721">
        <f t="shared" si="9"/>
        <v>2298793</v>
      </c>
      <c r="E78" s="1721">
        <f t="shared" si="9"/>
        <v>-1117553</v>
      </c>
      <c r="F78" s="1721">
        <f t="shared" si="9"/>
        <v>455700</v>
      </c>
      <c r="G78" s="1721">
        <f t="shared" si="9"/>
        <v>-326513</v>
      </c>
      <c r="H78" s="1721">
        <f t="shared" si="9"/>
        <v>-2151227</v>
      </c>
      <c r="I78" s="1721">
        <f t="shared" si="9"/>
        <v>1580946</v>
      </c>
      <c r="J78" s="1721">
        <f t="shared" si="9"/>
        <v>-65437</v>
      </c>
      <c r="K78" s="1721">
        <f t="shared" si="9"/>
        <v>82139</v>
      </c>
      <c r="L78" s="533"/>
    </row>
    <row r="79" spans="1:12" ht="13.5" thickTop="1" x14ac:dyDescent="0.2">
      <c r="A79" s="1513" t="s">
        <v>2067</v>
      </c>
      <c r="B79" s="534"/>
      <c r="C79" s="478">
        <v>15299174</v>
      </c>
      <c r="D79" s="535">
        <v>-787902</v>
      </c>
      <c r="E79" s="535">
        <v>-83940</v>
      </c>
      <c r="F79" s="535">
        <v>2284849</v>
      </c>
      <c r="G79" s="535">
        <v>253353</v>
      </c>
      <c r="H79" s="535">
        <v>52196311</v>
      </c>
      <c r="I79" s="535">
        <v>6167825</v>
      </c>
      <c r="J79" s="535">
        <v>672485</v>
      </c>
      <c r="K79" s="535">
        <v>422643</v>
      </c>
      <c r="L79" s="347"/>
    </row>
    <row r="80" spans="1:12" x14ac:dyDescent="0.2">
      <c r="A80" s="2297" t="s">
        <v>1894</v>
      </c>
      <c r="B80" s="2298"/>
      <c r="C80" s="467"/>
      <c r="D80" s="467"/>
      <c r="E80" s="467"/>
      <c r="F80" s="467"/>
      <c r="G80" s="467"/>
      <c r="H80" s="467"/>
      <c r="I80" s="467"/>
      <c r="J80" s="467"/>
      <c r="K80" s="467"/>
      <c r="L80" s="347"/>
    </row>
    <row r="81" spans="1:12" ht="13.5" thickBot="1" x14ac:dyDescent="0.25">
      <c r="A81" s="2289" t="s">
        <v>2068</v>
      </c>
      <c r="B81" s="2290"/>
      <c r="C81" s="1707">
        <f>(SUM(C78:C80))</f>
        <v>18269953</v>
      </c>
      <c r="D81" s="1707">
        <f>SUM(D78:D80)</f>
        <v>1510891</v>
      </c>
      <c r="E81" s="1707">
        <f t="shared" ref="E81:K81" si="10">SUM(E78:E80)</f>
        <v>-1201493</v>
      </c>
      <c r="F81" s="1707">
        <f t="shared" si="10"/>
        <v>2740549</v>
      </c>
      <c r="G81" s="1707">
        <f t="shared" si="10"/>
        <v>-73160</v>
      </c>
      <c r="H81" s="1707">
        <f t="shared" si="10"/>
        <v>50045084</v>
      </c>
      <c r="I81" s="1707">
        <f t="shared" si="10"/>
        <v>7748771</v>
      </c>
      <c r="J81" s="1707">
        <f t="shared" si="10"/>
        <v>607048</v>
      </c>
      <c r="K81" s="1707">
        <f t="shared" si="10"/>
        <v>504782</v>
      </c>
      <c r="L81" s="347"/>
    </row>
    <row r="82" spans="1:12" ht="0.75" customHeight="1" thickTop="1" thickBot="1" x14ac:dyDescent="0.25">
      <c r="A82" s="536" t="s">
        <v>361</v>
      </c>
      <c r="B82" s="537"/>
      <c r="C82" s="538">
        <f>(C81-C79)</f>
        <v>2970779</v>
      </c>
      <c r="D82" s="538">
        <f t="shared" ref="D82:K82" si="11">(D81-D79)</f>
        <v>2298793</v>
      </c>
      <c r="E82" s="538">
        <f t="shared" si="11"/>
        <v>-1117553</v>
      </c>
      <c r="F82" s="538">
        <f t="shared" si="11"/>
        <v>455700</v>
      </c>
      <c r="G82" s="538">
        <f t="shared" si="11"/>
        <v>-326513</v>
      </c>
      <c r="H82" s="538">
        <f t="shared" si="11"/>
        <v>-2151227</v>
      </c>
      <c r="I82" s="538">
        <f t="shared" si="11"/>
        <v>1580946</v>
      </c>
      <c r="J82" s="538">
        <f t="shared" si="11"/>
        <v>-65437</v>
      </c>
      <c r="K82" s="538">
        <f t="shared" si="11"/>
        <v>82139</v>
      </c>
    </row>
    <row r="83" spans="1:12" ht="14.25" hidden="1" thickTop="1" thickBot="1" x14ac:dyDescent="0.25">
      <c r="A83" s="539" t="s">
        <v>362</v>
      </c>
      <c r="B83" s="464"/>
      <c r="C83" s="540">
        <f>C82/C81</f>
        <v>0.16260463286358756</v>
      </c>
      <c r="D83" s="540">
        <f t="shared" ref="D83:K83" si="12">D82/D81</f>
        <v>1.5214816952381078</v>
      </c>
      <c r="E83" s="540">
        <f t="shared" si="12"/>
        <v>0.93013692131373216</v>
      </c>
      <c r="F83" s="540">
        <f t="shared" si="12"/>
        <v>0.16628055181644261</v>
      </c>
      <c r="G83" s="540">
        <f t="shared" si="12"/>
        <v>4.4629989065062876</v>
      </c>
      <c r="H83" s="540">
        <f t="shared" si="12"/>
        <v>-4.2985780581365395E-2</v>
      </c>
      <c r="I83" s="540">
        <f t="shared" si="12"/>
        <v>0.20402538673552231</v>
      </c>
      <c r="J83" s="540">
        <f t="shared" si="12"/>
        <v>-0.10779542968595564</v>
      </c>
      <c r="K83" s="540">
        <f t="shared" si="12"/>
        <v>0.16272172938020768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Normal="100" zoomScaleSheetLayoutView="75" workbookViewId="0">
      <pane ySplit="2" topLeftCell="A182" activePane="bottomLeft" state="frozen"/>
      <selection activeCell="A47" sqref="A47"/>
      <selection pane="bottomLeft" activeCell="C195" sqref="C19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93" t="s">
        <v>1901</v>
      </c>
      <c r="B1" s="452"/>
      <c r="C1" s="453" t="s">
        <v>445</v>
      </c>
      <c r="D1" s="453" t="s">
        <v>446</v>
      </c>
      <c r="E1" s="453" t="s">
        <v>447</v>
      </c>
      <c r="F1" s="453" t="s">
        <v>448</v>
      </c>
      <c r="G1" s="453" t="s">
        <v>449</v>
      </c>
      <c r="H1" s="453" t="s">
        <v>450</v>
      </c>
      <c r="I1" s="453" t="s">
        <v>451</v>
      </c>
      <c r="J1" s="453" t="s">
        <v>452</v>
      </c>
      <c r="K1" s="453" t="s">
        <v>780</v>
      </c>
    </row>
    <row r="2" spans="1:12" ht="36" x14ac:dyDescent="0.2">
      <c r="A2" s="229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1759</v>
      </c>
      <c r="B5" s="547"/>
      <c r="C5" s="481">
        <v>6168065</v>
      </c>
      <c r="D5" s="481">
        <v>889787</v>
      </c>
      <c r="E5" s="466">
        <v>859822</v>
      </c>
      <c r="F5" s="548">
        <v>860085</v>
      </c>
      <c r="G5" s="466">
        <v>576770</v>
      </c>
      <c r="H5" s="466"/>
      <c r="I5" s="466">
        <v>80946</v>
      </c>
      <c r="J5" s="467">
        <v>-74421</v>
      </c>
      <c r="K5" s="466">
        <v>74866</v>
      </c>
    </row>
    <row r="6" spans="1:12" ht="15" x14ac:dyDescent="0.2">
      <c r="A6" s="463" t="s">
        <v>1760</v>
      </c>
      <c r="B6" s="470">
        <v>1130</v>
      </c>
      <c r="C6" s="466"/>
      <c r="D6" s="466">
        <v>90337</v>
      </c>
      <c r="E6" s="475"/>
      <c r="F6" s="475"/>
      <c r="G6" s="468"/>
      <c r="H6" s="468"/>
      <c r="I6" s="468"/>
      <c r="J6" s="468"/>
      <c r="K6" s="468"/>
    </row>
    <row r="7" spans="1:12" x14ac:dyDescent="0.2">
      <c r="A7" s="463" t="s">
        <v>112</v>
      </c>
      <c r="B7" s="549">
        <v>1140</v>
      </c>
      <c r="C7" s="466">
        <v>299357</v>
      </c>
      <c r="D7" s="466"/>
      <c r="E7" s="468"/>
      <c r="F7" s="467"/>
      <c r="G7" s="467"/>
      <c r="H7" s="467"/>
      <c r="I7" s="468"/>
      <c r="J7" s="468"/>
      <c r="K7" s="468"/>
    </row>
    <row r="8" spans="1:12" x14ac:dyDescent="0.2">
      <c r="A8" s="463" t="s">
        <v>433</v>
      </c>
      <c r="B8" s="470">
        <v>1150</v>
      </c>
      <c r="C8" s="475"/>
      <c r="D8" s="475"/>
      <c r="E8" s="477"/>
      <c r="F8" s="477"/>
      <c r="G8" s="481">
        <v>577607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6467422</v>
      </c>
      <c r="D12" s="1726">
        <f t="shared" si="0"/>
        <v>980124</v>
      </c>
      <c r="E12" s="1726">
        <f t="shared" si="0"/>
        <v>859822</v>
      </c>
      <c r="F12" s="1726">
        <f t="shared" si="0"/>
        <v>860085</v>
      </c>
      <c r="G12" s="1726">
        <f t="shared" si="0"/>
        <v>1154377</v>
      </c>
      <c r="H12" s="1726">
        <f t="shared" si="0"/>
        <v>0</v>
      </c>
      <c r="I12" s="1726">
        <f t="shared" si="0"/>
        <v>80946</v>
      </c>
      <c r="J12" s="1726">
        <f t="shared" si="0"/>
        <v>-74421</v>
      </c>
      <c r="K12" s="1707">
        <f t="shared" si="0"/>
        <v>74866</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1161720</v>
      </c>
      <c r="D16" s="466"/>
      <c r="E16" s="466"/>
      <c r="F16" s="466"/>
      <c r="G16" s="466">
        <v>50000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1161720</v>
      </c>
      <c r="D18" s="1729">
        <f t="shared" ref="D18:K18" si="1">SUM(D14:D17)</f>
        <v>0</v>
      </c>
      <c r="E18" s="1729">
        <f t="shared" si="1"/>
        <v>0</v>
      </c>
      <c r="F18" s="1729">
        <f t="shared" si="1"/>
        <v>0</v>
      </c>
      <c r="G18" s="1729">
        <f t="shared" si="1"/>
        <v>50000</v>
      </c>
      <c r="H18" s="1729">
        <f t="shared" si="1"/>
        <v>0</v>
      </c>
      <c r="I18" s="1729">
        <f t="shared" si="1"/>
        <v>0</v>
      </c>
      <c r="J18" s="1729">
        <f t="shared" si="1"/>
        <v>0</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v>23187</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23187</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394702</v>
      </c>
      <c r="D65" s="466"/>
      <c r="E65" s="466">
        <v>8</v>
      </c>
      <c r="F65" s="467"/>
      <c r="G65" s="466">
        <v>4204</v>
      </c>
      <c r="H65" s="466">
        <v>723143</v>
      </c>
      <c r="I65" s="466"/>
      <c r="J65" s="467">
        <v>8984</v>
      </c>
      <c r="K65" s="466">
        <v>7273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394702</v>
      </c>
      <c r="D67" s="1707">
        <f t="shared" ref="D67:K67" si="2">SUM(D65:D66)</f>
        <v>0</v>
      </c>
      <c r="E67" s="1707">
        <f t="shared" si="2"/>
        <v>8</v>
      </c>
      <c r="F67" s="1707">
        <f t="shared" si="2"/>
        <v>0</v>
      </c>
      <c r="G67" s="1707">
        <f t="shared" si="2"/>
        <v>4204</v>
      </c>
      <c r="H67" s="1707">
        <f t="shared" si="2"/>
        <v>723143</v>
      </c>
      <c r="I67" s="1707">
        <f t="shared" si="2"/>
        <v>0</v>
      </c>
      <c r="J67" s="1707">
        <f t="shared" si="2"/>
        <v>8984</v>
      </c>
      <c r="K67" s="1707">
        <f t="shared" si="2"/>
        <v>7273</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22194</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11966</v>
      </c>
      <c r="D73" s="468"/>
      <c r="E73" s="468"/>
      <c r="F73" s="468"/>
      <c r="G73" s="468"/>
      <c r="H73" s="468"/>
      <c r="I73" s="468"/>
      <c r="J73" s="468"/>
      <c r="K73" s="468"/>
    </row>
    <row r="74" spans="1:11" ht="12.75" customHeight="1" x14ac:dyDescent="0.2">
      <c r="A74" s="463" t="s">
        <v>25</v>
      </c>
      <c r="B74" s="470">
        <v>1690</v>
      </c>
      <c r="C74" s="551">
        <v>12919</v>
      </c>
      <c r="D74" s="468"/>
      <c r="E74" s="468"/>
      <c r="F74" s="468"/>
      <c r="G74" s="468"/>
      <c r="H74" s="468"/>
      <c r="I74" s="468"/>
      <c r="J74" s="468"/>
      <c r="K74" s="468"/>
    </row>
    <row r="75" spans="1:11" ht="12.75" customHeight="1" thickBot="1" x14ac:dyDescent="0.25">
      <c r="A75" s="1727" t="s">
        <v>569</v>
      </c>
      <c r="B75" s="1728"/>
      <c r="C75" s="1707">
        <f>SUM(C69:C74)</f>
        <v>47079</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0</v>
      </c>
      <c r="D81" s="466"/>
      <c r="E81" s="468"/>
      <c r="F81" s="468"/>
      <c r="G81" s="468"/>
      <c r="H81" s="468"/>
      <c r="I81" s="468"/>
      <c r="J81" s="468"/>
      <c r="K81" s="468"/>
    </row>
    <row r="82" spans="1:11" ht="12.75" customHeight="1" thickBot="1" x14ac:dyDescent="0.25">
      <c r="A82" s="1727" t="s">
        <v>259</v>
      </c>
      <c r="B82" s="1728"/>
      <c r="C82" s="1726">
        <f>SUM(C77:C81)</f>
        <v>0</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18361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18361</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v>900</v>
      </c>
      <c r="E95" s="521"/>
      <c r="F95" s="521"/>
      <c r="G95" s="521"/>
      <c r="H95" s="521"/>
      <c r="I95" s="521"/>
      <c r="J95" s="521"/>
      <c r="K95" s="521"/>
    </row>
    <row r="96" spans="1:11" ht="12.75" customHeight="1" x14ac:dyDescent="0.2">
      <c r="A96" s="463" t="s">
        <v>409</v>
      </c>
      <c r="B96" s="470">
        <v>1920</v>
      </c>
      <c r="C96" s="551">
        <v>0</v>
      </c>
      <c r="D96" s="551"/>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273276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492807</v>
      </c>
      <c r="D107" s="466"/>
      <c r="E107" s="466"/>
      <c r="F107" s="466">
        <v>0</v>
      </c>
      <c r="G107" s="466"/>
      <c r="H107" s="466">
        <v>16250</v>
      </c>
      <c r="I107" s="466"/>
      <c r="J107" s="467"/>
      <c r="K107" s="466"/>
    </row>
    <row r="108" spans="1:12" ht="12.75" customHeight="1" thickBot="1" x14ac:dyDescent="0.25">
      <c r="A108" s="1727" t="s">
        <v>508</v>
      </c>
      <c r="B108" s="1731"/>
      <c r="C108" s="1726">
        <f>SUM(C95:C107)</f>
        <v>766083</v>
      </c>
      <c r="D108" s="1726">
        <f t="shared" ref="D108:K108" si="3">SUM(D95:D107)</f>
        <v>900</v>
      </c>
      <c r="E108" s="1726">
        <f t="shared" si="3"/>
        <v>0</v>
      </c>
      <c r="F108" s="1726">
        <f t="shared" si="3"/>
        <v>0</v>
      </c>
      <c r="G108" s="1726">
        <f t="shared" si="3"/>
        <v>0</v>
      </c>
      <c r="H108" s="1726">
        <f t="shared" si="3"/>
        <v>16250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8855367</v>
      </c>
      <c r="D109" s="1734">
        <f t="shared" si="4"/>
        <v>981024</v>
      </c>
      <c r="E109" s="1734">
        <f t="shared" si="4"/>
        <v>859830</v>
      </c>
      <c r="F109" s="1734">
        <f t="shared" si="4"/>
        <v>883272</v>
      </c>
      <c r="G109" s="1734">
        <f t="shared" si="4"/>
        <v>1208581</v>
      </c>
      <c r="H109" s="1734">
        <f t="shared" si="4"/>
        <v>739393</v>
      </c>
      <c r="I109" s="1734">
        <f t="shared" si="4"/>
        <v>80946</v>
      </c>
      <c r="J109" s="1734">
        <f t="shared" si="4"/>
        <v>-65437</v>
      </c>
      <c r="K109" s="1721">
        <f t="shared" si="4"/>
        <v>82139</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1765</v>
      </c>
      <c r="B117" s="562">
        <v>3001</v>
      </c>
      <c r="C117" s="516">
        <v>21091123</v>
      </c>
      <c r="D117" s="481">
        <v>4000000</v>
      </c>
      <c r="E117" s="466">
        <v>0</v>
      </c>
      <c r="F117" s="481">
        <v>0</v>
      </c>
      <c r="G117" s="481"/>
      <c r="H117" s="466"/>
      <c r="I117" s="468"/>
      <c r="J117" s="467">
        <v>0</v>
      </c>
      <c r="K117" s="466">
        <v>0</v>
      </c>
    </row>
    <row r="118" spans="1:11" ht="12.75" customHeight="1" x14ac:dyDescent="0.2">
      <c r="A118" s="463" t="s">
        <v>1898</v>
      </c>
      <c r="B118" s="562">
        <v>3002</v>
      </c>
      <c r="C118" s="551">
        <v>0</v>
      </c>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5" t="s">
        <v>1900</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21091123</v>
      </c>
      <c r="D121" s="1726">
        <f t="shared" si="5"/>
        <v>4000000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78751</v>
      </c>
      <c r="D124" s="561"/>
      <c r="E124" s="468"/>
      <c r="F124" s="548"/>
      <c r="G124" s="468"/>
      <c r="H124" s="468"/>
      <c r="I124" s="468"/>
      <c r="J124" s="468"/>
      <c r="K124" s="468"/>
    </row>
    <row r="125" spans="1:11" ht="12.75" customHeight="1" x14ac:dyDescent="0.2">
      <c r="A125" s="463" t="s">
        <v>1521</v>
      </c>
      <c r="B125" s="562">
        <v>3105</v>
      </c>
      <c r="C125" s="466">
        <v>245236</v>
      </c>
      <c r="D125" s="561"/>
      <c r="E125" s="468"/>
      <c r="F125" s="466"/>
      <c r="G125" s="468"/>
      <c r="H125" s="468"/>
      <c r="I125" s="468"/>
      <c r="J125" s="468"/>
      <c r="K125" s="468"/>
    </row>
    <row r="126" spans="1:11" ht="12.75" customHeight="1" x14ac:dyDescent="0.2">
      <c r="A126" s="463" t="s">
        <v>922</v>
      </c>
      <c r="B126" s="562">
        <v>3110</v>
      </c>
      <c r="C126" s="551">
        <v>403357</v>
      </c>
      <c r="D126" s="466"/>
      <c r="E126" s="468"/>
      <c r="F126" s="466"/>
      <c r="G126" s="468"/>
      <c r="H126" s="468"/>
      <c r="I126" s="468"/>
      <c r="J126" s="468"/>
      <c r="K126" s="468"/>
    </row>
    <row r="127" spans="1:11" ht="12.75" customHeight="1" x14ac:dyDescent="0.2">
      <c r="A127" s="463" t="s">
        <v>107</v>
      </c>
      <c r="B127" s="562">
        <v>3120</v>
      </c>
      <c r="C127" s="466">
        <v>138760</v>
      </c>
      <c r="D127" s="561"/>
      <c r="E127" s="468"/>
      <c r="F127" s="466"/>
      <c r="G127" s="468"/>
      <c r="H127" s="468"/>
      <c r="I127" s="468"/>
      <c r="J127" s="468"/>
      <c r="K127" s="468"/>
    </row>
    <row r="128" spans="1:11" ht="12.75" customHeight="1" x14ac:dyDescent="0.2">
      <c r="A128" s="463" t="s">
        <v>1522</v>
      </c>
      <c r="B128" s="562">
        <v>3130</v>
      </c>
      <c r="C128" s="466">
        <v>14908</v>
      </c>
      <c r="D128" s="561"/>
      <c r="E128" s="468"/>
      <c r="F128" s="466"/>
      <c r="G128" s="468"/>
      <c r="H128" s="468"/>
      <c r="I128" s="468"/>
      <c r="J128" s="468"/>
      <c r="K128" s="468"/>
    </row>
    <row r="129" spans="1:11" ht="12.75" customHeight="1" x14ac:dyDescent="0.2">
      <c r="A129" s="463" t="s">
        <v>139</v>
      </c>
      <c r="B129" s="562">
        <v>3145</v>
      </c>
      <c r="C129" s="466">
        <v>23985</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904997</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0</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v>291801</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291801</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33319</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174961</v>
      </c>
      <c r="G151" s="467"/>
      <c r="H151" s="468"/>
      <c r="I151" s="468"/>
      <c r="J151" s="468"/>
      <c r="K151" s="468"/>
    </row>
    <row r="152" spans="1:11" ht="12.75" customHeight="1" x14ac:dyDescent="0.2">
      <c r="A152" s="463" t="s">
        <v>1117</v>
      </c>
      <c r="B152" s="562">
        <v>3510</v>
      </c>
      <c r="C152" s="551"/>
      <c r="D152" s="466"/>
      <c r="E152" s="561"/>
      <c r="F152" s="466">
        <v>624377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799338</v>
      </c>
      <c r="G154" s="1726">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v>948951</v>
      </c>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20448</v>
      </c>
      <c r="D171" s="580"/>
      <c r="E171" s="580"/>
      <c r="F171" s="580"/>
      <c r="G171" s="581"/>
      <c r="H171" s="582"/>
      <c r="I171" s="581"/>
      <c r="J171" s="581"/>
      <c r="K171" s="582">
        <v>0</v>
      </c>
    </row>
    <row r="172" spans="1:11" ht="12.75" customHeight="1" thickTop="1" thickBot="1" x14ac:dyDescent="0.25">
      <c r="A172" s="2313" t="s">
        <v>418</v>
      </c>
      <c r="B172" s="2314"/>
      <c r="C172" s="1741">
        <f t="shared" ref="C172:K172" si="6">SUM(C131,C140,C144,C145:C149,C154,C155:C170,C171)</f>
        <v>2199516</v>
      </c>
      <c r="D172" s="1741">
        <f t="shared" si="6"/>
        <v>0</v>
      </c>
      <c r="E172" s="1741">
        <f t="shared" si="6"/>
        <v>0</v>
      </c>
      <c r="F172" s="1741">
        <f t="shared" si="6"/>
        <v>799338</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23290639</v>
      </c>
      <c r="D173" s="1734">
        <f>SUM(D121,D172)</f>
        <v>4000000</v>
      </c>
      <c r="E173" s="1734">
        <f>SUM(E121,E172)</f>
        <v>0</v>
      </c>
      <c r="F173" s="1734">
        <f t="shared" ref="F173:K173" si="7">SUM(F121,F172)</f>
        <v>799338</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315" t="s">
        <v>1572</v>
      </c>
      <c r="B175" s="231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319" t="s">
        <v>1763</v>
      </c>
      <c r="B178" s="2320"/>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323" t="s">
        <v>1762</v>
      </c>
      <c r="B179" s="232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321" t="s">
        <v>818</v>
      </c>
      <c r="B184" s="2322"/>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317" t="s">
        <v>1902</v>
      </c>
      <c r="B185" s="2318"/>
      <c r="C185" s="584"/>
      <c r="D185" s="566"/>
      <c r="E185" s="509"/>
      <c r="F185" s="566"/>
      <c r="G185" s="566"/>
      <c r="H185" s="468"/>
      <c r="I185" s="468"/>
      <c r="J185" s="468"/>
      <c r="K185" s="468"/>
    </row>
    <row r="186" spans="1:11" ht="15.75" customHeight="1" x14ac:dyDescent="0.2">
      <c r="A186" s="1622" t="s">
        <v>1691</v>
      </c>
      <c r="B186" s="1623"/>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7" t="s">
        <v>1696</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1476551+179070</f>
        <v>1655621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416855</v>
      </c>
      <c r="D196" s="468"/>
      <c r="E196" s="561"/>
      <c r="F196" s="468"/>
      <c r="G196" s="585"/>
      <c r="H196" s="468"/>
      <c r="I196" s="468"/>
      <c r="J196" s="468"/>
      <c r="K196" s="468"/>
    </row>
    <row r="197" spans="1:11" ht="12.75" customHeight="1" x14ac:dyDescent="0.2">
      <c r="A197" s="463" t="s">
        <v>1526</v>
      </c>
      <c r="B197" s="470">
        <v>4225</v>
      </c>
      <c r="C197" s="551">
        <v>0</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2072476</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3224795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3224795</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13937</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13937</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v>29274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652728</v>
      </c>
      <c r="D220" s="466"/>
      <c r="E220" s="468"/>
      <c r="F220" s="466"/>
      <c r="G220" s="466"/>
      <c r="H220" s="468"/>
      <c r="I220" s="468"/>
      <c r="J220" s="468"/>
      <c r="K220" s="468"/>
    </row>
    <row r="221" spans="1:11" ht="12.75" customHeight="1" x14ac:dyDescent="0.2">
      <c r="A221" s="463" t="s">
        <v>1114</v>
      </c>
      <c r="B221" s="470">
        <v>4625</v>
      </c>
      <c r="C221" s="551">
        <v>58307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740309</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f>610929+886833</f>
        <v>1497762</v>
      </c>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v>0</v>
      </c>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1497762</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86190</v>
      </c>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v>220283</v>
      </c>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107747</v>
      </c>
      <c r="D270" s="576"/>
      <c r="E270" s="468"/>
      <c r="F270" s="576"/>
      <c r="G270" s="576"/>
      <c r="H270" s="468"/>
      <c r="I270" s="468"/>
      <c r="J270" s="468"/>
      <c r="K270" s="468"/>
    </row>
    <row r="271" spans="1:11" ht="12.75" customHeight="1" thickTop="1" thickBot="1" x14ac:dyDescent="0.25">
      <c r="A271" s="463" t="s">
        <v>395</v>
      </c>
      <c r="B271" s="470">
        <v>4992</v>
      </c>
      <c r="C271" s="575">
        <v>227428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1764</v>
      </c>
      <c r="B273" s="1746"/>
      <c r="C273" s="1734">
        <f t="shared" ref="C273:H273" si="10">SUM(C191,C201,C211,C216,C224,C228,C229,C259:C272)</f>
        <v>6693165</v>
      </c>
      <c r="D273" s="1734">
        <f t="shared" si="10"/>
        <v>0</v>
      </c>
      <c r="E273" s="1734">
        <f t="shared" si="10"/>
        <v>1497762</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6693165</v>
      </c>
      <c r="D274" s="1734">
        <f>SUM(D178,D184,D273)</f>
        <v>0</v>
      </c>
      <c r="E274" s="1734">
        <f>SUM(E178,E273)</f>
        <v>1497762</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38839171</v>
      </c>
      <c r="D275" s="1734">
        <f t="shared" si="12"/>
        <v>4981024</v>
      </c>
      <c r="E275" s="1734">
        <f t="shared" si="12"/>
        <v>2357592</v>
      </c>
      <c r="F275" s="1734">
        <f t="shared" si="12"/>
        <v>1682610</v>
      </c>
      <c r="G275" s="1734">
        <f t="shared" si="12"/>
        <v>1208581</v>
      </c>
      <c r="H275" s="1734">
        <f t="shared" si="12"/>
        <v>739393</v>
      </c>
      <c r="I275" s="1734">
        <f t="shared" si="12"/>
        <v>80946</v>
      </c>
      <c r="J275" s="1734">
        <f t="shared" si="12"/>
        <v>-65437</v>
      </c>
      <c r="K275" s="1721">
        <f t="shared" si="12"/>
        <v>82139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357" activePane="bottomLeft" state="frozen"/>
      <selection activeCell="A47" sqref="A47"/>
      <selection pane="bottomLeft" activeCell="O173" sqref="O17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93"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32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333" t="s">
        <v>315</v>
      </c>
      <c r="B3" s="2334"/>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v>12275776</v>
      </c>
      <c r="D5" s="466">
        <v>3855114</v>
      </c>
      <c r="E5" s="466">
        <v>415009</v>
      </c>
      <c r="F5" s="466">
        <v>358999</v>
      </c>
      <c r="G5" s="466">
        <v>7146</v>
      </c>
      <c r="H5" s="466">
        <v>38694</v>
      </c>
      <c r="I5" s="467">
        <v>15335</v>
      </c>
      <c r="J5" s="467"/>
      <c r="K5" s="1690">
        <f>SUM(C5:J5)</f>
        <v>16966073</v>
      </c>
      <c r="L5" s="466">
        <v>241447</v>
      </c>
    </row>
    <row r="6" spans="1:14" x14ac:dyDescent="0.2">
      <c r="A6" s="1523" t="s">
        <v>1508</v>
      </c>
      <c r="B6" s="615" t="s">
        <v>1506</v>
      </c>
      <c r="C6" s="477"/>
      <c r="D6" s="477"/>
      <c r="E6" s="466"/>
      <c r="F6" s="477"/>
      <c r="G6" s="477"/>
      <c r="H6" s="477"/>
      <c r="I6" s="477"/>
      <c r="J6" s="477"/>
      <c r="K6" s="1690">
        <f>SUM(C6,E6)</f>
        <v>0</v>
      </c>
      <c r="L6" s="466"/>
    </row>
    <row r="7" spans="1:14" x14ac:dyDescent="0.2">
      <c r="A7" s="1523" t="s">
        <v>165</v>
      </c>
      <c r="B7" s="615" t="s">
        <v>1024</v>
      </c>
      <c r="C7" s="467"/>
      <c r="D7" s="467"/>
      <c r="E7" s="467"/>
      <c r="F7" s="467"/>
      <c r="G7" s="467"/>
      <c r="H7" s="467"/>
      <c r="I7" s="467"/>
      <c r="J7" s="467"/>
      <c r="K7" s="1690">
        <f t="shared" ref="K7:K32" si="0">SUM(C7:J7)</f>
        <v>0</v>
      </c>
      <c r="L7" s="466"/>
    </row>
    <row r="8" spans="1:14" x14ac:dyDescent="0.2">
      <c r="A8" s="1523" t="s">
        <v>166</v>
      </c>
      <c r="B8" s="615">
        <v>1200</v>
      </c>
      <c r="C8" s="466">
        <v>1905360</v>
      </c>
      <c r="D8" s="466">
        <v>472225</v>
      </c>
      <c r="E8" s="466">
        <v>472799</v>
      </c>
      <c r="F8" s="466"/>
      <c r="G8" s="466"/>
      <c r="H8" s="466"/>
      <c r="I8" s="467"/>
      <c r="J8" s="467"/>
      <c r="K8" s="1690">
        <f t="shared" si="0"/>
        <v>2850384</v>
      </c>
      <c r="L8" s="466"/>
    </row>
    <row r="9" spans="1:14" x14ac:dyDescent="0.2">
      <c r="A9" s="1523" t="s">
        <v>745</v>
      </c>
      <c r="B9" s="615" t="s">
        <v>1025</v>
      </c>
      <c r="C9" s="467">
        <v>48929</v>
      </c>
      <c r="D9" s="467">
        <v>9863</v>
      </c>
      <c r="E9" s="467">
        <v>9314</v>
      </c>
      <c r="F9" s="467">
        <v>39034</v>
      </c>
      <c r="G9" s="467"/>
      <c r="H9" s="467"/>
      <c r="I9" s="467"/>
      <c r="J9" s="467"/>
      <c r="K9" s="1690">
        <f t="shared" si="0"/>
        <v>107140</v>
      </c>
      <c r="L9" s="466"/>
    </row>
    <row r="10" spans="1:14" x14ac:dyDescent="0.2">
      <c r="A10" s="1523" t="s">
        <v>746</v>
      </c>
      <c r="B10" s="615">
        <v>1250</v>
      </c>
      <c r="C10" s="466">
        <v>634614</v>
      </c>
      <c r="D10" s="466">
        <v>130433</v>
      </c>
      <c r="E10" s="466">
        <v>89868</v>
      </c>
      <c r="F10" s="466">
        <v>877041</v>
      </c>
      <c r="G10" s="466">
        <v>42309</v>
      </c>
      <c r="H10" s="466"/>
      <c r="I10" s="467">
        <v>18135</v>
      </c>
      <c r="J10" s="467"/>
      <c r="K10" s="1690">
        <f t="shared" si="0"/>
        <v>1792400</v>
      </c>
      <c r="L10" s="466">
        <v>950527</v>
      </c>
    </row>
    <row r="11" spans="1:14" x14ac:dyDescent="0.2">
      <c r="A11" s="1523" t="s">
        <v>1192</v>
      </c>
      <c r="B11" s="615" t="s">
        <v>163</v>
      </c>
      <c r="C11" s="467"/>
      <c r="D11" s="467"/>
      <c r="E11" s="467"/>
      <c r="F11" s="467"/>
      <c r="G11" s="467"/>
      <c r="H11" s="467"/>
      <c r="I11" s="467"/>
      <c r="J11" s="467"/>
      <c r="K11" s="1690">
        <f t="shared" si="0"/>
        <v>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c r="D13" s="466"/>
      <c r="E13" s="466"/>
      <c r="F13" s="466"/>
      <c r="G13" s="466"/>
      <c r="H13" s="466"/>
      <c r="I13" s="467"/>
      <c r="J13" s="467"/>
      <c r="K13" s="1690">
        <f t="shared" si="0"/>
        <v>0</v>
      </c>
      <c r="L13" s="466"/>
    </row>
    <row r="14" spans="1:14" x14ac:dyDescent="0.2">
      <c r="A14" s="1523" t="s">
        <v>1020</v>
      </c>
      <c r="B14" s="615">
        <v>1500</v>
      </c>
      <c r="C14" s="466">
        <v>7799</v>
      </c>
      <c r="D14" s="466">
        <v>0</v>
      </c>
      <c r="E14" s="466">
        <v>29216</v>
      </c>
      <c r="F14" s="466">
        <v>13485</v>
      </c>
      <c r="G14" s="466">
        <v>7800</v>
      </c>
      <c r="H14" s="466">
        <v>9416</v>
      </c>
      <c r="I14" s="467">
        <v>2008</v>
      </c>
      <c r="J14" s="467"/>
      <c r="K14" s="1690">
        <f t="shared" si="0"/>
        <v>69724</v>
      </c>
      <c r="L14" s="466"/>
    </row>
    <row r="15" spans="1:14" x14ac:dyDescent="0.2">
      <c r="A15" s="1523" t="s">
        <v>1021</v>
      </c>
      <c r="B15" s="615">
        <v>1600</v>
      </c>
      <c r="C15" s="466"/>
      <c r="D15" s="466"/>
      <c r="E15" s="466"/>
      <c r="F15" s="466"/>
      <c r="G15" s="466"/>
      <c r="H15" s="466"/>
      <c r="I15" s="467"/>
      <c r="J15" s="467"/>
      <c r="K15" s="1690">
        <f t="shared" si="0"/>
        <v>0</v>
      </c>
      <c r="L15" s="466"/>
    </row>
    <row r="16" spans="1:14" x14ac:dyDescent="0.2">
      <c r="A16" s="1523" t="s">
        <v>1044</v>
      </c>
      <c r="B16" s="615" t="s">
        <v>444</v>
      </c>
      <c r="C16" s="466">
        <v>0</v>
      </c>
      <c r="D16" s="466">
        <v>0</v>
      </c>
      <c r="E16" s="466"/>
      <c r="F16" s="466"/>
      <c r="G16" s="466"/>
      <c r="H16" s="466"/>
      <c r="I16" s="467"/>
      <c r="J16" s="467"/>
      <c r="K16" s="1690">
        <f t="shared" si="0"/>
        <v>0</v>
      </c>
      <c r="L16" s="466"/>
    </row>
    <row r="17" spans="1:12" x14ac:dyDescent="0.2">
      <c r="A17" s="1523" t="s">
        <v>748</v>
      </c>
      <c r="B17" s="615" t="s">
        <v>164</v>
      </c>
      <c r="C17" s="467"/>
      <c r="D17" s="467"/>
      <c r="E17" s="467"/>
      <c r="F17" s="467"/>
      <c r="G17" s="467"/>
      <c r="H17" s="467"/>
      <c r="I17" s="467"/>
      <c r="J17" s="467"/>
      <c r="K17" s="1690">
        <f t="shared" si="0"/>
        <v>0</v>
      </c>
      <c r="L17" s="466"/>
    </row>
    <row r="18" spans="1:12" x14ac:dyDescent="0.2">
      <c r="A18" s="1523" t="s">
        <v>1148</v>
      </c>
      <c r="B18" s="615">
        <v>1800</v>
      </c>
      <c r="C18" s="466">
        <v>800608</v>
      </c>
      <c r="D18" s="466">
        <v>289075</v>
      </c>
      <c r="E18" s="466"/>
      <c r="F18" s="466"/>
      <c r="G18" s="466"/>
      <c r="H18" s="466"/>
      <c r="I18" s="467"/>
      <c r="J18" s="467"/>
      <c r="K18" s="1690">
        <f t="shared" si="0"/>
        <v>1089683</v>
      </c>
      <c r="L18" s="466">
        <v>157213</v>
      </c>
    </row>
    <row r="19" spans="1:12" x14ac:dyDescent="0.2">
      <c r="A19" s="1523" t="s">
        <v>136</v>
      </c>
      <c r="B19" s="615">
        <v>1900</v>
      </c>
      <c r="C19" s="466"/>
      <c r="D19" s="466"/>
      <c r="E19" s="466"/>
      <c r="F19" s="466"/>
      <c r="G19" s="466"/>
      <c r="H19" s="466"/>
      <c r="I19" s="467"/>
      <c r="J19" s="467"/>
      <c r="K19" s="1690">
        <f t="shared" si="0"/>
        <v>0</v>
      </c>
      <c r="L19" s="466"/>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v>4603</v>
      </c>
      <c r="I22" s="617"/>
      <c r="J22" s="477"/>
      <c r="K22" s="1690">
        <f t="shared" si="0"/>
        <v>4603</v>
      </c>
      <c r="L22" s="471"/>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1766</v>
      </c>
      <c r="B33" s="1688" t="s">
        <v>591</v>
      </c>
      <c r="C33" s="1689">
        <f>SUM(C5:C32)</f>
        <v>15673086</v>
      </c>
      <c r="D33" s="1689">
        <f t="shared" ref="D33:L33" si="1">SUM(D5:D32)</f>
        <v>4756710</v>
      </c>
      <c r="E33" s="1689">
        <f t="shared" si="1"/>
        <v>1016206</v>
      </c>
      <c r="F33" s="1689">
        <f t="shared" si="1"/>
        <v>1288559</v>
      </c>
      <c r="G33" s="1689">
        <f t="shared" si="1"/>
        <v>57255</v>
      </c>
      <c r="H33" s="1689">
        <f t="shared" si="1"/>
        <v>52713</v>
      </c>
      <c r="I33" s="1689">
        <f t="shared" si="1"/>
        <v>35478</v>
      </c>
      <c r="J33" s="1689">
        <f t="shared" si="1"/>
        <v>0</v>
      </c>
      <c r="K33" s="1689">
        <f t="shared" si="1"/>
        <v>22880007</v>
      </c>
      <c r="L33" s="1689">
        <f t="shared" si="1"/>
        <v>1349187</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v>502794</v>
      </c>
      <c r="D36" s="481">
        <v>92389</v>
      </c>
      <c r="E36" s="481"/>
      <c r="F36" s="481"/>
      <c r="G36" s="481"/>
      <c r="H36" s="481"/>
      <c r="I36" s="467"/>
      <c r="J36" s="467"/>
      <c r="K36" s="1690">
        <f t="shared" ref="K36:K41" si="2">SUM(C36:J36)</f>
        <v>595183</v>
      </c>
      <c r="L36" s="466"/>
    </row>
    <row r="37" spans="1:14" x14ac:dyDescent="0.2">
      <c r="A37" s="1523" t="s">
        <v>1151</v>
      </c>
      <c r="B37" s="615">
        <v>2120</v>
      </c>
      <c r="C37" s="466">
        <v>47480</v>
      </c>
      <c r="D37" s="466">
        <v>6752</v>
      </c>
      <c r="E37" s="466"/>
      <c r="F37" s="466">
        <v>4317</v>
      </c>
      <c r="G37" s="466"/>
      <c r="H37" s="466"/>
      <c r="I37" s="467"/>
      <c r="J37" s="467"/>
      <c r="K37" s="1690">
        <f t="shared" si="2"/>
        <v>58549</v>
      </c>
      <c r="L37" s="466"/>
    </row>
    <row r="38" spans="1:14" x14ac:dyDescent="0.2">
      <c r="A38" s="1523" t="s">
        <v>207</v>
      </c>
      <c r="B38" s="615">
        <v>2130</v>
      </c>
      <c r="C38" s="466">
        <v>39081</v>
      </c>
      <c r="D38" s="466">
        <v>8555</v>
      </c>
      <c r="E38" s="466">
        <v>0</v>
      </c>
      <c r="F38" s="466">
        <v>8554</v>
      </c>
      <c r="G38" s="466"/>
      <c r="H38" s="466"/>
      <c r="I38" s="467">
        <v>0</v>
      </c>
      <c r="J38" s="467"/>
      <c r="K38" s="1690">
        <f t="shared" si="2"/>
        <v>56190</v>
      </c>
      <c r="L38" s="466"/>
    </row>
    <row r="39" spans="1:14" x14ac:dyDescent="0.2">
      <c r="A39" s="1523" t="s">
        <v>208</v>
      </c>
      <c r="B39" s="615">
        <v>2140</v>
      </c>
      <c r="C39" s="466">
        <v>237374</v>
      </c>
      <c r="D39" s="466">
        <v>51914</v>
      </c>
      <c r="E39" s="466">
        <v>1000</v>
      </c>
      <c r="F39" s="466">
        <v>4350</v>
      </c>
      <c r="G39" s="466"/>
      <c r="H39" s="466"/>
      <c r="I39" s="467"/>
      <c r="J39" s="467"/>
      <c r="K39" s="1690">
        <f t="shared" si="2"/>
        <v>294638</v>
      </c>
      <c r="L39" s="466"/>
    </row>
    <row r="40" spans="1:14" x14ac:dyDescent="0.2">
      <c r="A40" s="1523" t="s">
        <v>209</v>
      </c>
      <c r="B40" s="615">
        <v>2150</v>
      </c>
      <c r="C40" s="466">
        <v>291516</v>
      </c>
      <c r="D40" s="466">
        <v>72967</v>
      </c>
      <c r="E40" s="466"/>
      <c r="F40" s="466">
        <v>3956</v>
      </c>
      <c r="G40" s="466"/>
      <c r="H40" s="466"/>
      <c r="I40" s="467"/>
      <c r="J40" s="467"/>
      <c r="K40" s="1690">
        <f t="shared" si="2"/>
        <v>368439</v>
      </c>
      <c r="L40" s="466"/>
    </row>
    <row r="41" spans="1:14" x14ac:dyDescent="0.2">
      <c r="A41" s="1523" t="s">
        <v>1767</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1118245</v>
      </c>
      <c r="D42" s="1689">
        <f t="shared" ref="D42:L42" si="3">SUM(D36:D41)</f>
        <v>232577</v>
      </c>
      <c r="E42" s="1689">
        <f t="shared" si="3"/>
        <v>1000</v>
      </c>
      <c r="F42" s="1689">
        <f t="shared" si="3"/>
        <v>21177</v>
      </c>
      <c r="G42" s="1689">
        <f t="shared" si="3"/>
        <v>0</v>
      </c>
      <c r="H42" s="1689">
        <f t="shared" si="3"/>
        <v>0</v>
      </c>
      <c r="I42" s="1689">
        <f t="shared" si="3"/>
        <v>0</v>
      </c>
      <c r="J42" s="1689">
        <f t="shared" si="3"/>
        <v>0</v>
      </c>
      <c r="K42" s="1689">
        <f t="shared" si="3"/>
        <v>1372999</v>
      </c>
      <c r="L42" s="1689">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v>664584</v>
      </c>
      <c r="D44" s="481">
        <v>24899</v>
      </c>
      <c r="E44" s="481">
        <v>418156</v>
      </c>
      <c r="F44" s="481">
        <v>9914</v>
      </c>
      <c r="G44" s="481"/>
      <c r="H44" s="481">
        <v>130</v>
      </c>
      <c r="I44" s="467"/>
      <c r="J44" s="467"/>
      <c r="K44" s="1691">
        <f>SUM(C44:J44)</f>
        <v>1117683</v>
      </c>
      <c r="L44" s="481">
        <v>424656</v>
      </c>
    </row>
    <row r="45" spans="1:14" x14ac:dyDescent="0.2">
      <c r="A45" s="1523" t="s">
        <v>869</v>
      </c>
      <c r="B45" s="615">
        <v>2220</v>
      </c>
      <c r="C45" s="466">
        <v>30435</v>
      </c>
      <c r="D45" s="466">
        <v>17944</v>
      </c>
      <c r="E45" s="466">
        <v>0</v>
      </c>
      <c r="F45" s="466">
        <v>16046</v>
      </c>
      <c r="G45" s="466">
        <v>0</v>
      </c>
      <c r="H45" s="466"/>
      <c r="I45" s="467">
        <v>0</v>
      </c>
      <c r="J45" s="467"/>
      <c r="K45" s="1691">
        <f>SUM(C45:J45)</f>
        <v>64425</v>
      </c>
      <c r="L45" s="466"/>
    </row>
    <row r="46" spans="1:14" x14ac:dyDescent="0.2">
      <c r="A46" s="1523" t="s">
        <v>870</v>
      </c>
      <c r="B46" s="615">
        <v>2230</v>
      </c>
      <c r="C46" s="466">
        <v>11385</v>
      </c>
      <c r="D46" s="466">
        <v>0</v>
      </c>
      <c r="E46" s="466">
        <v>31592</v>
      </c>
      <c r="F46" s="466">
        <v>918</v>
      </c>
      <c r="G46" s="466"/>
      <c r="H46" s="466"/>
      <c r="I46" s="467"/>
      <c r="J46" s="467"/>
      <c r="K46" s="1691">
        <f>SUM(C46:J46)</f>
        <v>43895</v>
      </c>
      <c r="L46" s="466">
        <v>28000</v>
      </c>
    </row>
    <row r="47" spans="1:14" ht="12.75" customHeight="1" thickBot="1" x14ac:dyDescent="0.25">
      <c r="A47" s="1687" t="s">
        <v>582</v>
      </c>
      <c r="B47" s="1688" t="s">
        <v>32</v>
      </c>
      <c r="C47" s="1689">
        <f>SUM(C44:C46)</f>
        <v>706404</v>
      </c>
      <c r="D47" s="1689">
        <f t="shared" ref="D47:K47" si="4">SUM(D44:D46)</f>
        <v>42843</v>
      </c>
      <c r="E47" s="1689">
        <f t="shared" si="4"/>
        <v>449748</v>
      </c>
      <c r="F47" s="1689">
        <f t="shared" si="4"/>
        <v>26878</v>
      </c>
      <c r="G47" s="1689">
        <f t="shared" si="4"/>
        <v>0</v>
      </c>
      <c r="H47" s="1689">
        <f t="shared" si="4"/>
        <v>130</v>
      </c>
      <c r="I47" s="1689">
        <f t="shared" si="4"/>
        <v>0</v>
      </c>
      <c r="J47" s="1689">
        <f t="shared" si="4"/>
        <v>0</v>
      </c>
      <c r="K47" s="1689">
        <f t="shared" si="4"/>
        <v>1226003</v>
      </c>
      <c r="L47" s="1689">
        <f>SUM(L44:L46)</f>
        <v>452656</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v>41589</v>
      </c>
      <c r="D49" s="481">
        <v>15951</v>
      </c>
      <c r="E49" s="481">
        <v>1446303</v>
      </c>
      <c r="F49" s="481">
        <v>27339</v>
      </c>
      <c r="G49" s="481">
        <v>0</v>
      </c>
      <c r="H49" s="481">
        <v>17822</v>
      </c>
      <c r="I49" s="467"/>
      <c r="J49" s="467"/>
      <c r="K49" s="1691">
        <f>SUM(C49:J49)</f>
        <v>1549004</v>
      </c>
      <c r="L49" s="481"/>
    </row>
    <row r="50" spans="1:14" x14ac:dyDescent="0.2">
      <c r="A50" s="1523" t="s">
        <v>872</v>
      </c>
      <c r="B50" s="615">
        <v>2320</v>
      </c>
      <c r="C50" s="466">
        <v>540088</v>
      </c>
      <c r="D50" s="466">
        <v>118374</v>
      </c>
      <c r="E50" s="466">
        <v>600</v>
      </c>
      <c r="F50" s="466">
        <v>3665</v>
      </c>
      <c r="G50" s="466">
        <v>0</v>
      </c>
      <c r="H50" s="466">
        <v>6832</v>
      </c>
      <c r="I50" s="467">
        <v>1898</v>
      </c>
      <c r="J50" s="467"/>
      <c r="K50" s="1691">
        <f>SUM(C50:J50)</f>
        <v>671457</v>
      </c>
      <c r="L50" s="466">
        <v>35000</v>
      </c>
    </row>
    <row r="51" spans="1:14" x14ac:dyDescent="0.2">
      <c r="A51" s="1523" t="s">
        <v>44</v>
      </c>
      <c r="B51" s="615">
        <v>2330</v>
      </c>
      <c r="C51" s="466">
        <v>305437</v>
      </c>
      <c r="D51" s="466">
        <v>78853</v>
      </c>
      <c r="E51" s="466">
        <v>0</v>
      </c>
      <c r="F51" s="466"/>
      <c r="G51" s="466"/>
      <c r="H51" s="466"/>
      <c r="I51" s="467"/>
      <c r="J51" s="467"/>
      <c r="K51" s="1691">
        <f>SUM(C51:J51)</f>
        <v>384290</v>
      </c>
      <c r="L51" s="466"/>
    </row>
    <row r="52" spans="1:14" ht="22.5" x14ac:dyDescent="0.2">
      <c r="A52" s="1524" t="s">
        <v>316</v>
      </c>
      <c r="B52" s="628" t="s">
        <v>384</v>
      </c>
      <c r="C52" s="474">
        <v>582597</v>
      </c>
      <c r="D52" s="474">
        <v>127300</v>
      </c>
      <c r="E52" s="474"/>
      <c r="F52" s="474"/>
      <c r="G52" s="474"/>
      <c r="H52" s="474"/>
      <c r="I52" s="474"/>
      <c r="J52" s="474"/>
      <c r="K52" s="1691">
        <f>SUM(C52:J52)</f>
        <v>709897</v>
      </c>
      <c r="L52" s="474"/>
    </row>
    <row r="53" spans="1:14" ht="12.75" customHeight="1" thickBot="1" x14ac:dyDescent="0.25">
      <c r="A53" s="1687" t="s">
        <v>741</v>
      </c>
      <c r="B53" s="1688" t="s">
        <v>33</v>
      </c>
      <c r="C53" s="1689">
        <f>SUM(C49:C52)</f>
        <v>1469711</v>
      </c>
      <c r="D53" s="1689">
        <f t="shared" ref="D53:L53" si="5">SUM(D49:D52)</f>
        <v>340478</v>
      </c>
      <c r="E53" s="1689">
        <f t="shared" si="5"/>
        <v>1446903</v>
      </c>
      <c r="F53" s="1689">
        <f t="shared" si="5"/>
        <v>31004</v>
      </c>
      <c r="G53" s="1689">
        <f t="shared" si="5"/>
        <v>0</v>
      </c>
      <c r="H53" s="1689">
        <f t="shared" si="5"/>
        <v>24654</v>
      </c>
      <c r="I53" s="1689">
        <f t="shared" si="5"/>
        <v>1898</v>
      </c>
      <c r="J53" s="1689">
        <f t="shared" si="5"/>
        <v>0</v>
      </c>
      <c r="K53" s="1689">
        <f t="shared" si="5"/>
        <v>3314648</v>
      </c>
      <c r="L53" s="1689">
        <f t="shared" si="5"/>
        <v>35000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v>1441742</v>
      </c>
      <c r="D55" s="481">
        <v>284141</v>
      </c>
      <c r="E55" s="481">
        <v>0</v>
      </c>
      <c r="F55" s="481">
        <v>3506</v>
      </c>
      <c r="G55" s="481"/>
      <c r="H55" s="481"/>
      <c r="I55" s="467"/>
      <c r="J55" s="467"/>
      <c r="K55" s="1691">
        <f>SUM(C55:J55)</f>
        <v>1729389</v>
      </c>
      <c r="L55" s="481"/>
    </row>
    <row r="56" spans="1:14" ht="12.75" customHeight="1" x14ac:dyDescent="0.2">
      <c r="A56" s="1527" t="s">
        <v>394</v>
      </c>
      <c r="B56" s="629">
        <v>2490</v>
      </c>
      <c r="C56" s="466">
        <v>0</v>
      </c>
      <c r="D56" s="466">
        <v>0</v>
      </c>
      <c r="E56" s="466"/>
      <c r="F56" s="466"/>
      <c r="G56" s="466"/>
      <c r="H56" s="466"/>
      <c r="I56" s="467"/>
      <c r="J56" s="467"/>
      <c r="K56" s="1691">
        <f>SUM(C56:J56)</f>
        <v>0</v>
      </c>
      <c r="L56" s="466"/>
    </row>
    <row r="57" spans="1:14" s="343" customFormat="1" ht="12.75" customHeight="1" thickBot="1" x14ac:dyDescent="0.25">
      <c r="A57" s="1687" t="s">
        <v>281</v>
      </c>
      <c r="B57" s="1692" t="s">
        <v>34</v>
      </c>
      <c r="C57" s="1693">
        <f>SUM(C55:C56)</f>
        <v>1441742</v>
      </c>
      <c r="D57" s="1693">
        <f t="shared" ref="D57:K57" si="6">SUM(D55:D56)</f>
        <v>284141</v>
      </c>
      <c r="E57" s="1693">
        <f t="shared" si="6"/>
        <v>0</v>
      </c>
      <c r="F57" s="1693">
        <f t="shared" si="6"/>
        <v>3506</v>
      </c>
      <c r="G57" s="1693">
        <f t="shared" si="6"/>
        <v>0</v>
      </c>
      <c r="H57" s="1693">
        <f t="shared" si="6"/>
        <v>0</v>
      </c>
      <c r="I57" s="1693">
        <f t="shared" si="6"/>
        <v>0</v>
      </c>
      <c r="J57" s="1693">
        <f t="shared" si="6"/>
        <v>0</v>
      </c>
      <c r="K57" s="1693">
        <f t="shared" si="6"/>
        <v>1729389</v>
      </c>
      <c r="L57" s="1689">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v>182835</v>
      </c>
      <c r="D59" s="481">
        <v>41174</v>
      </c>
      <c r="E59" s="481">
        <v>15181</v>
      </c>
      <c r="F59" s="481">
        <v>645</v>
      </c>
      <c r="G59" s="481"/>
      <c r="H59" s="481"/>
      <c r="I59" s="467"/>
      <c r="J59" s="467"/>
      <c r="K59" s="1691">
        <f t="shared" ref="K59:K64" si="7">SUM(C59:J59)</f>
        <v>239835</v>
      </c>
      <c r="L59" s="481"/>
      <c r="M59" s="610"/>
      <c r="N59" s="610"/>
    </row>
    <row r="60" spans="1:14" s="343" customFormat="1" x14ac:dyDescent="0.2">
      <c r="A60" s="1523" t="s">
        <v>483</v>
      </c>
      <c r="B60" s="615">
        <v>2520</v>
      </c>
      <c r="C60" s="466">
        <v>267189</v>
      </c>
      <c r="D60" s="466">
        <v>70521</v>
      </c>
      <c r="E60" s="466"/>
      <c r="F60" s="466"/>
      <c r="G60" s="466"/>
      <c r="H60" s="466"/>
      <c r="I60" s="467"/>
      <c r="J60" s="467"/>
      <c r="K60" s="1691">
        <f t="shared" si="7"/>
        <v>337710</v>
      </c>
      <c r="L60" s="466"/>
      <c r="M60" s="610"/>
      <c r="N60" s="610"/>
    </row>
    <row r="61" spans="1:14" s="343" customFormat="1" x14ac:dyDescent="0.2">
      <c r="A61" s="1523" t="s">
        <v>206</v>
      </c>
      <c r="B61" s="615">
        <v>2540</v>
      </c>
      <c r="C61" s="466">
        <v>0</v>
      </c>
      <c r="D61" s="466">
        <v>0</v>
      </c>
      <c r="E61" s="466">
        <v>397772</v>
      </c>
      <c r="F61" s="466">
        <v>700070</v>
      </c>
      <c r="G61" s="466">
        <v>0</v>
      </c>
      <c r="H61" s="466"/>
      <c r="I61" s="467">
        <v>0</v>
      </c>
      <c r="J61" s="467"/>
      <c r="K61" s="1691">
        <f t="shared" si="7"/>
        <v>1097842</v>
      </c>
      <c r="L61" s="466"/>
      <c r="M61" s="610"/>
      <c r="N61" s="610"/>
    </row>
    <row r="62" spans="1:14" s="343" customFormat="1" x14ac:dyDescent="0.2">
      <c r="A62" s="1523" t="s">
        <v>1010</v>
      </c>
      <c r="B62" s="615">
        <v>2550</v>
      </c>
      <c r="C62" s="466">
        <v>35031</v>
      </c>
      <c r="D62" s="466">
        <v>44</v>
      </c>
      <c r="E62" s="466">
        <v>70095</v>
      </c>
      <c r="F62" s="466"/>
      <c r="G62" s="466"/>
      <c r="H62" s="466"/>
      <c r="I62" s="467"/>
      <c r="J62" s="467"/>
      <c r="K62" s="1691">
        <f t="shared" si="7"/>
        <v>105170</v>
      </c>
      <c r="L62" s="466">
        <v>96979</v>
      </c>
      <c r="M62" s="610"/>
      <c r="N62" s="610"/>
    </row>
    <row r="63" spans="1:14" s="610" customFormat="1" x14ac:dyDescent="0.2">
      <c r="A63" s="1523" t="s">
        <v>102</v>
      </c>
      <c r="B63" s="615">
        <v>2560</v>
      </c>
      <c r="C63" s="466">
        <v>579101</v>
      </c>
      <c r="D63" s="466">
        <v>67485</v>
      </c>
      <c r="E63" s="466">
        <v>17375</v>
      </c>
      <c r="F63" s="466">
        <v>1149824</v>
      </c>
      <c r="G63" s="466">
        <v>0</v>
      </c>
      <c r="H63" s="466"/>
      <c r="I63" s="467">
        <v>27996</v>
      </c>
      <c r="J63" s="467"/>
      <c r="K63" s="1691">
        <f t="shared" si="7"/>
        <v>1841781</v>
      </c>
      <c r="L63" s="466"/>
    </row>
    <row r="64" spans="1:14" s="610" customFormat="1" x14ac:dyDescent="0.2">
      <c r="A64" s="1528" t="s">
        <v>103</v>
      </c>
      <c r="B64" s="631">
        <v>2570</v>
      </c>
      <c r="C64" s="481"/>
      <c r="D64" s="481"/>
      <c r="E64" s="481"/>
      <c r="F64" s="481"/>
      <c r="G64" s="481"/>
      <c r="H64" s="481"/>
      <c r="I64" s="467">
        <v>0</v>
      </c>
      <c r="J64" s="467"/>
      <c r="K64" s="1691">
        <f t="shared" si="7"/>
        <v>0</v>
      </c>
      <c r="L64" s="481"/>
    </row>
    <row r="65" spans="1:14" s="343" customFormat="1" ht="12.75" customHeight="1" thickBot="1" x14ac:dyDescent="0.25">
      <c r="A65" s="1687" t="s">
        <v>743</v>
      </c>
      <c r="B65" s="1688" t="s">
        <v>35</v>
      </c>
      <c r="C65" s="1689">
        <f>SUM(C59:C64)</f>
        <v>1064156</v>
      </c>
      <c r="D65" s="1689">
        <f t="shared" ref="D65:L65" si="8">SUM(D59:D64)</f>
        <v>179224</v>
      </c>
      <c r="E65" s="1689">
        <f t="shared" si="8"/>
        <v>500423</v>
      </c>
      <c r="F65" s="1689">
        <f t="shared" si="8"/>
        <v>1850539</v>
      </c>
      <c r="G65" s="1689">
        <f t="shared" si="8"/>
        <v>0</v>
      </c>
      <c r="H65" s="1689">
        <f t="shared" si="8"/>
        <v>0</v>
      </c>
      <c r="I65" s="1689">
        <f t="shared" si="8"/>
        <v>27996</v>
      </c>
      <c r="J65" s="1689">
        <f t="shared" si="8"/>
        <v>0</v>
      </c>
      <c r="K65" s="1689">
        <f t="shared" si="8"/>
        <v>3622338</v>
      </c>
      <c r="L65" s="1689">
        <f t="shared" si="8"/>
        <v>96979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c r="F68" s="466"/>
      <c r="G68" s="466"/>
      <c r="H68" s="466"/>
      <c r="I68" s="467"/>
      <c r="J68" s="467"/>
      <c r="K68" s="1691">
        <f>SUM(C68:J68)</f>
        <v>0</v>
      </c>
      <c r="L68" s="466"/>
      <c r="M68" s="610"/>
      <c r="N68" s="610"/>
    </row>
    <row r="69" spans="1:14" s="343" customFormat="1" x14ac:dyDescent="0.2">
      <c r="A69" s="1523" t="s">
        <v>1121</v>
      </c>
      <c r="B69" s="615">
        <v>2630</v>
      </c>
      <c r="C69" s="466"/>
      <c r="D69" s="466"/>
      <c r="E69" s="466"/>
      <c r="F69" s="466">
        <v>1550</v>
      </c>
      <c r="G69" s="466"/>
      <c r="H69" s="466"/>
      <c r="I69" s="467"/>
      <c r="J69" s="467"/>
      <c r="K69" s="1691">
        <f>SUM(C69:J69)</f>
        <v>1550</v>
      </c>
      <c r="L69" s="466"/>
      <c r="M69" s="610"/>
      <c r="N69" s="610"/>
    </row>
    <row r="70" spans="1:14" s="343" customFormat="1" x14ac:dyDescent="0.2">
      <c r="A70" s="1523" t="s">
        <v>423</v>
      </c>
      <c r="B70" s="615">
        <v>2640</v>
      </c>
      <c r="C70" s="466">
        <v>0</v>
      </c>
      <c r="D70" s="466">
        <v>145</v>
      </c>
      <c r="E70" s="466">
        <v>18756</v>
      </c>
      <c r="F70" s="466"/>
      <c r="G70" s="466"/>
      <c r="H70" s="466"/>
      <c r="I70" s="467"/>
      <c r="J70" s="467"/>
      <c r="K70" s="1691">
        <f>SUM(C70:J70)</f>
        <v>18901</v>
      </c>
      <c r="L70" s="466">
        <v>10000</v>
      </c>
      <c r="M70" s="610"/>
      <c r="N70" s="610"/>
    </row>
    <row r="71" spans="1:14" s="343" customFormat="1" x14ac:dyDescent="0.2">
      <c r="A71" s="1523" t="s">
        <v>424</v>
      </c>
      <c r="B71" s="615">
        <v>2660</v>
      </c>
      <c r="C71" s="466"/>
      <c r="D71" s="466"/>
      <c r="E71" s="466">
        <v>7250</v>
      </c>
      <c r="F71" s="466">
        <v>0</v>
      </c>
      <c r="G71" s="466"/>
      <c r="H71" s="466"/>
      <c r="I71" s="467">
        <v>1699</v>
      </c>
      <c r="J71" s="467"/>
      <c r="K71" s="1691">
        <f>SUM(C71:J71)</f>
        <v>8949</v>
      </c>
      <c r="L71" s="466"/>
      <c r="M71" s="610"/>
      <c r="N71" s="610"/>
    </row>
    <row r="72" spans="1:14" s="343" customFormat="1" ht="12.75" customHeight="1" thickBot="1" x14ac:dyDescent="0.25">
      <c r="A72" s="1687" t="s">
        <v>37</v>
      </c>
      <c r="B72" s="1694" t="s">
        <v>36</v>
      </c>
      <c r="C72" s="1689">
        <f>SUM(C67:C71)</f>
        <v>0</v>
      </c>
      <c r="D72" s="1689">
        <f t="shared" ref="D72:K72" si="9">SUM(D67:D71)</f>
        <v>145</v>
      </c>
      <c r="E72" s="1689">
        <f t="shared" si="9"/>
        <v>26006</v>
      </c>
      <c r="F72" s="1689">
        <f t="shared" si="9"/>
        <v>1550</v>
      </c>
      <c r="G72" s="1689">
        <f t="shared" si="9"/>
        <v>0</v>
      </c>
      <c r="H72" s="1689">
        <f t="shared" si="9"/>
        <v>0</v>
      </c>
      <c r="I72" s="1689">
        <f t="shared" si="9"/>
        <v>1699</v>
      </c>
      <c r="J72" s="1689">
        <f t="shared" si="9"/>
        <v>0</v>
      </c>
      <c r="K72" s="1689">
        <f t="shared" si="9"/>
        <v>29400</v>
      </c>
      <c r="L72" s="1689">
        <f>SUM(L67:L71)</f>
        <v>10000</v>
      </c>
      <c r="M72" s="610"/>
      <c r="N72" s="610"/>
    </row>
    <row r="73" spans="1:14" s="343" customFormat="1" ht="14.25" thickTop="1" thickBot="1" x14ac:dyDescent="0.25">
      <c r="A73" s="1529" t="s">
        <v>1037</v>
      </c>
      <c r="B73" s="633" t="s">
        <v>595</v>
      </c>
      <c r="C73" s="573"/>
      <c r="D73" s="573"/>
      <c r="E73" s="573">
        <v>0</v>
      </c>
      <c r="F73" s="573">
        <v>3007</v>
      </c>
      <c r="G73" s="573"/>
      <c r="H73" s="573"/>
      <c r="I73" s="531"/>
      <c r="J73" s="531"/>
      <c r="K73" s="1689">
        <f>SUM(C73:J73)</f>
        <v>3007</v>
      </c>
      <c r="L73" s="576">
        <v>280935</v>
      </c>
      <c r="M73" s="610"/>
      <c r="N73" s="610"/>
    </row>
    <row r="74" spans="1:14" ht="12.75" customHeight="1" thickTop="1" thickBot="1" x14ac:dyDescent="0.25">
      <c r="A74" s="1687" t="s">
        <v>865</v>
      </c>
      <c r="B74" s="1695">
        <v>2000</v>
      </c>
      <c r="C74" s="1696">
        <f>SUM(C42,C47,C53,C57,C65,C72,C73)</f>
        <v>5800258</v>
      </c>
      <c r="D74" s="1696">
        <f t="shared" ref="D74:K74" si="10">SUM(D42,D47,D53,D57,D65,D72,D73)</f>
        <v>1079408</v>
      </c>
      <c r="E74" s="1696">
        <f t="shared" si="10"/>
        <v>2424080</v>
      </c>
      <c r="F74" s="1696">
        <f t="shared" si="10"/>
        <v>1937661</v>
      </c>
      <c r="G74" s="1696">
        <f t="shared" si="10"/>
        <v>0</v>
      </c>
      <c r="H74" s="1696">
        <f t="shared" si="10"/>
        <v>24784</v>
      </c>
      <c r="I74" s="1696">
        <f t="shared" si="10"/>
        <v>31593</v>
      </c>
      <c r="J74" s="1696">
        <f t="shared" si="10"/>
        <v>0</v>
      </c>
      <c r="K74" s="1696">
        <f t="shared" si="10"/>
        <v>11297784</v>
      </c>
      <c r="L74" s="1696">
        <f>SUM(L42,L47,L53,L57,L65,L72,L73)</f>
        <v>875570</v>
      </c>
    </row>
    <row r="75" spans="1:14" s="259" customFormat="1" ht="15.75" customHeight="1" thickTop="1" thickBot="1" x14ac:dyDescent="0.25">
      <c r="A75" s="1629" t="s">
        <v>49</v>
      </c>
      <c r="B75" s="1630" t="s">
        <v>596</v>
      </c>
      <c r="C75" s="573">
        <v>132406</v>
      </c>
      <c r="D75" s="573">
        <v>64364</v>
      </c>
      <c r="E75" s="573">
        <v>28782</v>
      </c>
      <c r="F75" s="573">
        <v>47012</v>
      </c>
      <c r="G75" s="573">
        <v>30955</v>
      </c>
      <c r="H75" s="573"/>
      <c r="I75" s="531">
        <v>0</v>
      </c>
      <c r="J75" s="531"/>
      <c r="K75" s="1689">
        <f>SUM(C75:J75)</f>
        <v>303519</v>
      </c>
      <c r="L75" s="576">
        <v>51746</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90">
        <f t="shared" ref="K78:K83" si="11">SUM(C78:J78)</f>
        <v>0</v>
      </c>
      <c r="L78" s="481"/>
    </row>
    <row r="79" spans="1:14" x14ac:dyDescent="0.2">
      <c r="A79" s="1523" t="s">
        <v>322</v>
      </c>
      <c r="B79" s="615">
        <v>4120</v>
      </c>
      <c r="C79" s="617"/>
      <c r="D79" s="617"/>
      <c r="E79" s="466"/>
      <c r="F79" s="617"/>
      <c r="G79" s="617"/>
      <c r="H79" s="466">
        <v>-43527</v>
      </c>
      <c r="I79" s="477"/>
      <c r="J79" s="477"/>
      <c r="K79" s="1690">
        <f t="shared" si="11"/>
        <v>-43527</v>
      </c>
      <c r="L79" s="466"/>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c r="I81" s="477"/>
      <c r="J81" s="477"/>
      <c r="K81" s="1690">
        <f t="shared" si="11"/>
        <v>0</v>
      </c>
      <c r="L81" s="466"/>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-43527</v>
      </c>
      <c r="I84" s="477"/>
      <c r="J84" s="477"/>
      <c r="K84" s="1689">
        <f>SUM(K78:K83)</f>
        <v>-43527</v>
      </c>
      <c r="L84" s="1689">
        <f>SUM(L78:L83)</f>
        <v>0</v>
      </c>
    </row>
    <row r="85" spans="1:12" ht="12.75" customHeight="1" thickTop="1" thickBot="1" x14ac:dyDescent="0.25">
      <c r="A85" s="1530" t="s">
        <v>273</v>
      </c>
      <c r="B85" s="636">
        <v>4210</v>
      </c>
      <c r="C85" s="617"/>
      <c r="D85" s="617"/>
      <c r="E85" s="637"/>
      <c r="F85" s="617"/>
      <c r="G85" s="617"/>
      <c r="H85" s="535">
        <v>16912</v>
      </c>
      <c r="I85" s="477"/>
      <c r="J85" s="477"/>
      <c r="K85" s="1696">
        <f>H85</f>
        <v>16912</v>
      </c>
      <c r="L85" s="530"/>
    </row>
    <row r="86" spans="1:12" ht="12.75" customHeight="1" thickTop="1" thickBot="1" x14ac:dyDescent="0.25">
      <c r="A86" s="1531" t="s">
        <v>723</v>
      </c>
      <c r="B86" s="638">
        <v>4220</v>
      </c>
      <c r="C86" s="617"/>
      <c r="D86" s="617"/>
      <c r="E86" s="639"/>
      <c r="F86" s="617"/>
      <c r="G86" s="617"/>
      <c r="H86" s="467">
        <v>1413697</v>
      </c>
      <c r="I86" s="477"/>
      <c r="J86" s="477"/>
      <c r="K86" s="1696">
        <f t="shared" ref="K86:K98" si="12">H86</f>
        <v>1413697</v>
      </c>
      <c r="L86" s="530"/>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1430609</v>
      </c>
      <c r="I92" s="477"/>
      <c r="J92" s="477"/>
      <c r="K92" s="1696">
        <f t="shared" si="12"/>
        <v>1430609</v>
      </c>
      <c r="L92" s="1689">
        <f>SUM(L85:L91)</f>
        <v>0</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1568</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1387082</v>
      </c>
      <c r="I102" s="477"/>
      <c r="J102" s="477"/>
      <c r="K102" s="1696">
        <f>SUM(K84,K92,K100,K101)</f>
        <v>1387082</v>
      </c>
      <c r="L102" s="1696">
        <f>SUM(L84,L92,L100,L101)</f>
        <v>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21605750</v>
      </c>
      <c r="D114" s="1689">
        <f t="shared" ref="D114:K114" si="13">SUM(D33,D74,D75,D102,D112,D113)</f>
        <v>5900482</v>
      </c>
      <c r="E114" s="1689">
        <f t="shared" si="13"/>
        <v>3469068</v>
      </c>
      <c r="F114" s="1689">
        <f t="shared" si="13"/>
        <v>3273232</v>
      </c>
      <c r="G114" s="1689">
        <f t="shared" si="13"/>
        <v>88210</v>
      </c>
      <c r="H114" s="1689">
        <f>SUM(H33,H74,H75,H102,H112,H113)</f>
        <v>1464579</v>
      </c>
      <c r="I114" s="1689">
        <f t="shared" si="13"/>
        <v>67071</v>
      </c>
      <c r="J114" s="1689">
        <f t="shared" si="13"/>
        <v>0</v>
      </c>
      <c r="K114" s="1689">
        <f t="shared" si="13"/>
        <v>35868392</v>
      </c>
      <c r="L114" s="1689">
        <f>SUM(L33,L74,L75,L102,L112,L113)</f>
        <v>2276503</v>
      </c>
    </row>
    <row r="115" spans="1:14" ht="13.5" thickTop="1" x14ac:dyDescent="0.2">
      <c r="A115" s="2325" t="s">
        <v>1053</v>
      </c>
      <c r="B115" s="2326"/>
      <c r="C115" s="619"/>
      <c r="D115" s="619"/>
      <c r="E115" s="619"/>
      <c r="F115" s="619"/>
      <c r="G115" s="619"/>
      <c r="H115" s="619"/>
      <c r="I115" s="619"/>
      <c r="J115" s="619"/>
      <c r="K115" s="1703">
        <f>'Revenues 9-14'!C275-'Expenditures 15-22'!K114</f>
        <v>2970779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330" t="s">
        <v>314</v>
      </c>
      <c r="B117" s="2331"/>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v>0</v>
      </c>
      <c r="F123" s="466"/>
      <c r="G123" s="466">
        <v>0</v>
      </c>
      <c r="H123" s="466"/>
      <c r="I123" s="467"/>
      <c r="J123" s="467"/>
      <c r="K123" s="1689">
        <f>SUM(C123:J123)</f>
        <v>0</v>
      </c>
      <c r="L123" s="466"/>
    </row>
    <row r="124" spans="1:14" ht="14.25" thickTop="1" thickBot="1" x14ac:dyDescent="0.25">
      <c r="A124" s="1523" t="s">
        <v>206</v>
      </c>
      <c r="B124" s="615">
        <v>2540</v>
      </c>
      <c r="C124" s="466">
        <v>1905753</v>
      </c>
      <c r="D124" s="466">
        <v>259157</v>
      </c>
      <c r="E124" s="466">
        <v>230341</v>
      </c>
      <c r="F124" s="466">
        <v>164331</v>
      </c>
      <c r="G124" s="466">
        <f>89860+32439</f>
        <v>122299</v>
      </c>
      <c r="H124" s="466"/>
      <c r="I124" s="467">
        <v>350</v>
      </c>
      <c r="J124" s="467"/>
      <c r="K124" s="1689">
        <f>SUM(C124:J124)</f>
        <v>2682231</v>
      </c>
      <c r="L124" s="466"/>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1905753</v>
      </c>
      <c r="D127" s="1689">
        <f t="shared" ref="D127:L127" si="14">SUM(D122:D126)</f>
        <v>259157</v>
      </c>
      <c r="E127" s="1689">
        <f t="shared" si="14"/>
        <v>230341</v>
      </c>
      <c r="F127" s="1689">
        <f t="shared" si="14"/>
        <v>164331</v>
      </c>
      <c r="G127" s="1689">
        <f t="shared" si="14"/>
        <v>122299</v>
      </c>
      <c r="H127" s="1689">
        <f t="shared" si="14"/>
        <v>0</v>
      </c>
      <c r="I127" s="1689">
        <f t="shared" si="14"/>
        <v>350</v>
      </c>
      <c r="J127" s="1689">
        <f t="shared" si="14"/>
        <v>0</v>
      </c>
      <c r="K127" s="1689">
        <f t="shared" si="14"/>
        <v>2682231</v>
      </c>
      <c r="L127" s="1689">
        <f t="shared" si="14"/>
        <v>0</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1905753</v>
      </c>
      <c r="D129" s="1696">
        <f t="shared" ref="D129:L129" si="15">SUM(D120,D127,D128)</f>
        <v>259157</v>
      </c>
      <c r="E129" s="1696">
        <f t="shared" si="15"/>
        <v>230341</v>
      </c>
      <c r="F129" s="1696">
        <f t="shared" si="15"/>
        <v>164331</v>
      </c>
      <c r="G129" s="1696">
        <f t="shared" si="15"/>
        <v>122299</v>
      </c>
      <c r="H129" s="1696">
        <f t="shared" si="15"/>
        <v>0</v>
      </c>
      <c r="I129" s="1696">
        <f t="shared" si="15"/>
        <v>350</v>
      </c>
      <c r="J129" s="1696">
        <f t="shared" si="15"/>
        <v>0</v>
      </c>
      <c r="K129" s="1696">
        <f t="shared" si="15"/>
        <v>2682231</v>
      </c>
      <c r="L129" s="1696">
        <f t="shared" si="15"/>
        <v>0</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1952</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342" t="s">
        <v>641</v>
      </c>
      <c r="B151" s="2322"/>
      <c r="C151" s="1689">
        <f>SUM(C129,C130,C139,C149,C150)</f>
        <v>1905753</v>
      </c>
      <c r="D151" s="1689">
        <f t="shared" ref="D151:K151" si="16">SUM(D129,D130,D139,D149,D150)</f>
        <v>259157</v>
      </c>
      <c r="E151" s="1689">
        <f t="shared" si="16"/>
        <v>230341</v>
      </c>
      <c r="F151" s="1689">
        <f t="shared" si="16"/>
        <v>164331</v>
      </c>
      <c r="G151" s="1689">
        <f t="shared" si="16"/>
        <v>122299</v>
      </c>
      <c r="H151" s="1689">
        <f t="shared" si="16"/>
        <v>0</v>
      </c>
      <c r="I151" s="1689">
        <f t="shared" si="16"/>
        <v>350</v>
      </c>
      <c r="J151" s="1689">
        <f t="shared" si="16"/>
        <v>0</v>
      </c>
      <c r="K151" s="1689">
        <f t="shared" si="16"/>
        <v>2682231</v>
      </c>
      <c r="L151" s="1689">
        <f>SUM(L129,L130,L139,L149,L150)</f>
        <v>0</v>
      </c>
    </row>
    <row r="152" spans="1:14" ht="12.75" customHeight="1" thickTop="1" x14ac:dyDescent="0.2">
      <c r="A152" s="2345" t="s">
        <v>1240</v>
      </c>
      <c r="B152" s="2346"/>
      <c r="C152" s="619"/>
      <c r="D152" s="619"/>
      <c r="E152" s="619"/>
      <c r="F152" s="619"/>
      <c r="G152" s="619"/>
      <c r="H152" s="619"/>
      <c r="I152" s="619"/>
      <c r="J152" s="617"/>
      <c r="K152" s="1703">
        <f>'Revenues 9-14'!D275-'Expenditures 15-22'!K151</f>
        <v>2298793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330" t="s">
        <v>642</v>
      </c>
      <c r="B154" s="2332"/>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1953</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1952</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1954</v>
      </c>
      <c r="C158" s="617"/>
      <c r="D158" s="617"/>
      <c r="E158" s="617"/>
      <c r="F158" s="617"/>
      <c r="G158" s="617"/>
      <c r="H158" s="467"/>
      <c r="I158" s="617"/>
      <c r="J158" s="617"/>
      <c r="K158" s="1690">
        <f>H158</f>
        <v>0</v>
      </c>
      <c r="L158" s="467"/>
      <c r="M158" s="620"/>
      <c r="N158" s="620"/>
    </row>
    <row r="159" spans="1:14" s="621" customFormat="1" ht="12" x14ac:dyDescent="0.2">
      <c r="A159" s="1846" t="s">
        <v>1955</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1956</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2438728</v>
      </c>
      <c r="I169" s="617"/>
      <c r="J169" s="617"/>
      <c r="K169" s="1690">
        <f>SUM(C169:H169)</f>
        <v>2438728</v>
      </c>
      <c r="L169" s="657"/>
    </row>
    <row r="170" spans="1:14" ht="33.75" customHeight="1" x14ac:dyDescent="0.2">
      <c r="A170" s="670" t="s">
        <v>1768</v>
      </c>
      <c r="B170" s="672" t="s">
        <v>31</v>
      </c>
      <c r="C170" s="617"/>
      <c r="D170" s="617"/>
      <c r="E170" s="617"/>
      <c r="F170" s="617"/>
      <c r="G170" s="617"/>
      <c r="H170" s="569">
        <v>54180000</v>
      </c>
      <c r="I170" s="617"/>
      <c r="J170" s="617"/>
      <c r="K170" s="1690">
        <f>SUM(C170:J170)</f>
        <v>54180000</v>
      </c>
      <c r="L170" s="569"/>
    </row>
    <row r="171" spans="1:14" ht="15.75" customHeight="1" x14ac:dyDescent="0.2">
      <c r="A171" s="622" t="s">
        <v>790</v>
      </c>
      <c r="B171" s="673" t="s">
        <v>86</v>
      </c>
      <c r="C171" s="617"/>
      <c r="D171" s="617"/>
      <c r="E171" s="466"/>
      <c r="F171" s="617"/>
      <c r="G171" s="617"/>
      <c r="H171" s="569">
        <v>786907</v>
      </c>
      <c r="I171" s="477"/>
      <c r="J171" s="617"/>
      <c r="K171" s="1690">
        <f>SUM(C171:J171)</f>
        <v>786907</v>
      </c>
      <c r="L171" s="569"/>
    </row>
    <row r="172" spans="1:14" ht="12.75" customHeight="1" thickBot="1" x14ac:dyDescent="0.25">
      <c r="A172" s="1687" t="s">
        <v>659</v>
      </c>
      <c r="B172" s="1688" t="s">
        <v>513</v>
      </c>
      <c r="C172" s="617"/>
      <c r="D172" s="617"/>
      <c r="E172" s="1696">
        <f>SUM(E168,E169,E170,E171)</f>
        <v>0</v>
      </c>
      <c r="F172" s="617"/>
      <c r="G172" s="617"/>
      <c r="H172" s="1696">
        <f>SUM(H168,H169,H170,H171)</f>
        <v>57405635</v>
      </c>
      <c r="I172" s="639"/>
      <c r="J172" s="617"/>
      <c r="K172" s="1696">
        <f>SUM(K168,K169,K170,K171)</f>
        <v>57405635</v>
      </c>
      <c r="L172" s="1696">
        <f>SUM(L168,L169,L170,L171)</f>
        <v>0</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57405635</v>
      </c>
      <c r="I174" s="639"/>
      <c r="J174" s="617"/>
      <c r="K174" s="1696">
        <f>SUM(K160,K172,K173)</f>
        <v>57405635</v>
      </c>
      <c r="L174" s="1696">
        <f>SUM(L160,L172,L173)</f>
        <v>0</v>
      </c>
    </row>
    <row r="175" spans="1:14" ht="13.5" thickTop="1" x14ac:dyDescent="0.2">
      <c r="A175" s="2325" t="s">
        <v>1053</v>
      </c>
      <c r="B175" s="2326"/>
      <c r="C175" s="617"/>
      <c r="D175" s="617"/>
      <c r="E175" s="617"/>
      <c r="F175" s="617"/>
      <c r="G175" s="617"/>
      <c r="H175" s="619"/>
      <c r="I175" s="617"/>
      <c r="J175" s="617"/>
      <c r="K175" s="1703">
        <f>'Revenues 9-14'!E275-'Expenditures 15-22'!K174</f>
        <v>-55048043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v>373914</v>
      </c>
      <c r="D182" s="466">
        <v>104261</v>
      </c>
      <c r="E182" s="466">
        <v>549175</v>
      </c>
      <c r="F182" s="466">
        <v>41402</v>
      </c>
      <c r="G182" s="466"/>
      <c r="H182" s="466">
        <v>158158</v>
      </c>
      <c r="I182" s="467"/>
      <c r="J182" s="467"/>
      <c r="K182" s="1690">
        <f>SUM(C182:J182)</f>
        <v>1226910</v>
      </c>
      <c r="L182" s="466"/>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373914</v>
      </c>
      <c r="D184" s="1696">
        <f t="shared" ref="D184:J184" si="17">SUM(D180,D182,D183)</f>
        <v>104261</v>
      </c>
      <c r="E184" s="1696">
        <f t="shared" si="17"/>
        <v>549175</v>
      </c>
      <c r="F184" s="1696">
        <f t="shared" si="17"/>
        <v>41402</v>
      </c>
      <c r="G184" s="1696">
        <f t="shared" si="17"/>
        <v>0</v>
      </c>
      <c r="H184" s="1696">
        <f t="shared" si="17"/>
        <v>158158</v>
      </c>
      <c r="I184" s="1696">
        <f t="shared" si="17"/>
        <v>0</v>
      </c>
      <c r="J184" s="1696">
        <f t="shared" si="17"/>
        <v>0</v>
      </c>
      <c r="K184" s="1696">
        <f>SUM(K180,K182,K183)</f>
        <v>1226910</v>
      </c>
      <c r="L184" s="1696">
        <f>SUM(L180, L182:L183)</f>
        <v>0</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1769</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927</v>
      </c>
      <c r="B209" s="1632" t="s">
        <v>916</v>
      </c>
      <c r="C209" s="624"/>
      <c r="D209" s="624"/>
      <c r="E209" s="624"/>
      <c r="F209" s="624"/>
      <c r="G209" s="624"/>
      <c r="H209" s="624"/>
      <c r="I209" s="617"/>
      <c r="J209" s="617"/>
      <c r="K209" s="624"/>
      <c r="L209" s="576">
        <v>5410</v>
      </c>
    </row>
    <row r="210" spans="1:14" ht="12.75" customHeight="1" thickTop="1" thickBot="1" x14ac:dyDescent="0.25">
      <c r="A210" s="1711" t="s">
        <v>295</v>
      </c>
      <c r="B210" s="1712"/>
      <c r="C210" s="1689">
        <f>SUM(C184,C185)</f>
        <v>373914</v>
      </c>
      <c r="D210" s="1689">
        <f>SUM(D184,D185)</f>
        <v>104261</v>
      </c>
      <c r="E210" s="1689">
        <f>SUM(E184,E185,E196)</f>
        <v>549175</v>
      </c>
      <c r="F210" s="1689">
        <f>SUM(F184,F185)</f>
        <v>41402</v>
      </c>
      <c r="G210" s="1689">
        <f>SUM(G184,G185)</f>
        <v>0</v>
      </c>
      <c r="H210" s="1689">
        <f>SUM(H184,H185,H196,H208,H209)</f>
        <v>158158</v>
      </c>
      <c r="I210" s="1689">
        <f>SUM(I184,I185)</f>
        <v>0</v>
      </c>
      <c r="J210" s="1689">
        <f>SUM(J184,J185)</f>
        <v>0</v>
      </c>
      <c r="K210" s="1690">
        <f>SUM(K184,K185,K196,K208,K209)</f>
        <v>1226910</v>
      </c>
      <c r="L210" s="1689">
        <f>SUM(L184,L185,L196,L208,L209)</f>
        <v>5410</v>
      </c>
    </row>
    <row r="211" spans="1:14" ht="13.5" thickTop="1" x14ac:dyDescent="0.2">
      <c r="A211" s="2325" t="s">
        <v>1053</v>
      </c>
      <c r="B211" s="2326"/>
      <c r="C211" s="619"/>
      <c r="D211" s="619"/>
      <c r="E211" s="619"/>
      <c r="F211" s="619"/>
      <c r="G211" s="619"/>
      <c r="H211" s="619"/>
      <c r="I211" s="617"/>
      <c r="J211" s="617"/>
      <c r="K211" s="1703">
        <f>'Revenues 9-14'!F275-'Expenditures 15-22'!K210</f>
        <v>455700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347" t="s">
        <v>1022</v>
      </c>
      <c r="B213" s="2348"/>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f>226998+292+312726+691</f>
        <v>540707</v>
      </c>
      <c r="E215" s="617"/>
      <c r="F215" s="617"/>
      <c r="G215" s="617"/>
      <c r="H215" s="617"/>
      <c r="I215" s="617"/>
      <c r="J215" s="617"/>
      <c r="K215" s="1690">
        <f>D215</f>
        <v>540707</v>
      </c>
      <c r="L215" s="466"/>
    </row>
    <row r="216" spans="1:14" x14ac:dyDescent="0.2">
      <c r="A216" s="1523" t="s">
        <v>165</v>
      </c>
      <c r="B216" s="615" t="s">
        <v>1024</v>
      </c>
      <c r="C216" s="617"/>
      <c r="D216" s="467"/>
      <c r="E216" s="617"/>
      <c r="F216" s="617"/>
      <c r="G216" s="617"/>
      <c r="H216" s="617"/>
      <c r="I216" s="617"/>
      <c r="J216" s="617"/>
      <c r="K216" s="1690">
        <f t="shared" ref="K216:K228" si="19">D216</f>
        <v>0</v>
      </c>
      <c r="L216" s="466"/>
    </row>
    <row r="217" spans="1:14" x14ac:dyDescent="0.2">
      <c r="A217" s="1523" t="s">
        <v>166</v>
      </c>
      <c r="B217" s="615">
        <v>1200</v>
      </c>
      <c r="C217" s="617"/>
      <c r="D217" s="466">
        <f>46072+39+55383+190</f>
        <v>101684</v>
      </c>
      <c r="E217" s="617"/>
      <c r="F217" s="617"/>
      <c r="G217" s="617"/>
      <c r="H217" s="617"/>
      <c r="I217" s="617"/>
      <c r="J217" s="617"/>
      <c r="K217" s="1690">
        <f t="shared" si="19"/>
        <v>101684</v>
      </c>
      <c r="L217" s="466"/>
    </row>
    <row r="218" spans="1:14" x14ac:dyDescent="0.2">
      <c r="A218" s="1523" t="s">
        <v>296</v>
      </c>
      <c r="B218" s="615" t="s">
        <v>1025</v>
      </c>
      <c r="C218" s="617"/>
      <c r="D218" s="467">
        <v>700</v>
      </c>
      <c r="E218" s="617"/>
      <c r="F218" s="617"/>
      <c r="G218" s="617"/>
      <c r="H218" s="617"/>
      <c r="I218" s="617"/>
      <c r="J218" s="617"/>
      <c r="K218" s="1690">
        <f t="shared" si="19"/>
        <v>700</v>
      </c>
      <c r="L218" s="466"/>
    </row>
    <row r="219" spans="1:14" x14ac:dyDescent="0.2">
      <c r="A219" s="1523" t="s">
        <v>297</v>
      </c>
      <c r="B219" s="615">
        <v>1250</v>
      </c>
      <c r="C219" s="617"/>
      <c r="D219" s="466">
        <f>25152+24318</f>
        <v>49470</v>
      </c>
      <c r="E219" s="617"/>
      <c r="F219" s="617"/>
      <c r="G219" s="617"/>
      <c r="H219" s="617"/>
      <c r="I219" s="617"/>
      <c r="J219" s="617"/>
      <c r="K219" s="1690">
        <f t="shared" si="19"/>
        <v>49470</v>
      </c>
      <c r="L219" s="466"/>
    </row>
    <row r="220" spans="1:14" x14ac:dyDescent="0.2">
      <c r="A220" s="1523" t="s">
        <v>298</v>
      </c>
      <c r="B220" s="615" t="s">
        <v>163</v>
      </c>
      <c r="C220" s="617"/>
      <c r="D220" s="467"/>
      <c r="E220" s="617"/>
      <c r="F220" s="617"/>
      <c r="G220" s="617"/>
      <c r="H220" s="617"/>
      <c r="I220" s="617"/>
      <c r="J220" s="617"/>
      <c r="K220" s="1690">
        <f t="shared" si="19"/>
        <v>0</v>
      </c>
      <c r="L220" s="466"/>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c r="E222" s="617"/>
      <c r="F222" s="617"/>
      <c r="G222" s="617"/>
      <c r="H222" s="617"/>
      <c r="I222" s="617"/>
      <c r="J222" s="617"/>
      <c r="K222" s="1690">
        <f t="shared" si="19"/>
        <v>0</v>
      </c>
      <c r="L222" s="466"/>
    </row>
    <row r="223" spans="1:14" x14ac:dyDescent="0.2">
      <c r="A223" s="1523" t="s">
        <v>1020</v>
      </c>
      <c r="B223" s="615">
        <v>1500</v>
      </c>
      <c r="C223" s="617"/>
      <c r="D223" s="466">
        <v>0</v>
      </c>
      <c r="E223" s="617"/>
      <c r="F223" s="617"/>
      <c r="G223" s="617"/>
      <c r="H223" s="617"/>
      <c r="I223" s="617"/>
      <c r="J223" s="617"/>
      <c r="K223" s="1690">
        <f t="shared" si="19"/>
        <v>0</v>
      </c>
      <c r="L223" s="466"/>
    </row>
    <row r="224" spans="1:14" x14ac:dyDescent="0.2">
      <c r="A224" s="1523" t="s">
        <v>1021</v>
      </c>
      <c r="B224" s="615">
        <v>1600</v>
      </c>
      <c r="C224" s="617"/>
      <c r="D224" s="466"/>
      <c r="E224" s="617"/>
      <c r="F224" s="617"/>
      <c r="G224" s="617"/>
      <c r="H224" s="617"/>
      <c r="I224" s="617"/>
      <c r="J224" s="617"/>
      <c r="K224" s="1690">
        <f t="shared" si="19"/>
        <v>0</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c r="E226" s="617"/>
      <c r="F226" s="617"/>
      <c r="G226" s="617"/>
      <c r="H226" s="617"/>
      <c r="I226" s="617"/>
      <c r="J226" s="617"/>
      <c r="K226" s="1690">
        <f t="shared" si="19"/>
        <v>0</v>
      </c>
      <c r="L226" s="466"/>
    </row>
    <row r="227" spans="1:12" x14ac:dyDescent="0.2">
      <c r="A227" s="1523" t="s">
        <v>1148</v>
      </c>
      <c r="B227" s="615">
        <v>1800</v>
      </c>
      <c r="C227" s="617"/>
      <c r="D227" s="466">
        <f>11740+18359</f>
        <v>30099</v>
      </c>
      <c r="E227" s="617"/>
      <c r="F227" s="617"/>
      <c r="G227" s="617"/>
      <c r="H227" s="617"/>
      <c r="I227" s="617"/>
      <c r="J227" s="617"/>
      <c r="K227" s="1690">
        <f t="shared" si="19"/>
        <v>30099</v>
      </c>
      <c r="L227" s="466"/>
    </row>
    <row r="228" spans="1:12" x14ac:dyDescent="0.2">
      <c r="A228" s="1523"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722660</v>
      </c>
      <c r="E229" s="617"/>
      <c r="F229" s="617"/>
      <c r="G229" s="617"/>
      <c r="H229" s="617"/>
      <c r="I229" s="617"/>
      <c r="J229" s="617"/>
      <c r="K229" s="1689">
        <f>SUM(K215:K228)</f>
        <v>722660</v>
      </c>
      <c r="L229" s="1689">
        <f>SUM(L215:L228)</f>
        <v>0</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v>7211</v>
      </c>
      <c r="E232" s="617"/>
      <c r="F232" s="617"/>
      <c r="G232" s="617"/>
      <c r="H232" s="617"/>
      <c r="I232" s="617"/>
      <c r="J232" s="617"/>
      <c r="K232" s="1690">
        <f t="shared" ref="K232:K237" si="20">D232</f>
        <v>7211</v>
      </c>
      <c r="L232" s="466"/>
    </row>
    <row r="233" spans="1:12" x14ac:dyDescent="0.2">
      <c r="A233" s="1523" t="s">
        <v>1151</v>
      </c>
      <c r="B233" s="615">
        <v>2120</v>
      </c>
      <c r="C233" s="617"/>
      <c r="D233" s="466">
        <v>676</v>
      </c>
      <c r="E233" s="617"/>
      <c r="F233" s="617"/>
      <c r="G233" s="617"/>
      <c r="H233" s="617"/>
      <c r="I233" s="617"/>
      <c r="J233" s="617"/>
      <c r="K233" s="1690">
        <f t="shared" si="20"/>
        <v>676</v>
      </c>
      <c r="L233" s="466"/>
    </row>
    <row r="234" spans="1:12" x14ac:dyDescent="0.2">
      <c r="A234" s="1523" t="s">
        <v>207</v>
      </c>
      <c r="B234" s="615">
        <v>2130</v>
      </c>
      <c r="C234" s="617"/>
      <c r="D234" s="466">
        <f>4011+2873</f>
        <v>6884</v>
      </c>
      <c r="E234" s="617"/>
      <c r="F234" s="617"/>
      <c r="G234" s="617"/>
      <c r="H234" s="617"/>
      <c r="I234" s="617"/>
      <c r="J234" s="617"/>
      <c r="K234" s="1690">
        <f t="shared" si="20"/>
        <v>6884</v>
      </c>
      <c r="L234" s="466"/>
    </row>
    <row r="235" spans="1:12" x14ac:dyDescent="0.2">
      <c r="A235" s="1523" t="s">
        <v>208</v>
      </c>
      <c r="B235" s="615">
        <v>2140</v>
      </c>
      <c r="C235" s="617"/>
      <c r="D235" s="466">
        <v>3390</v>
      </c>
      <c r="E235" s="617"/>
      <c r="F235" s="617"/>
      <c r="G235" s="617"/>
      <c r="H235" s="617"/>
      <c r="I235" s="617"/>
      <c r="J235" s="617"/>
      <c r="K235" s="1690">
        <f t="shared" si="20"/>
        <v>3390</v>
      </c>
      <c r="L235" s="466"/>
    </row>
    <row r="236" spans="1:12" x14ac:dyDescent="0.2">
      <c r="A236" s="1523" t="s">
        <v>209</v>
      </c>
      <c r="B236" s="615">
        <v>2150</v>
      </c>
      <c r="C236" s="617"/>
      <c r="D236" s="466">
        <v>4160</v>
      </c>
      <c r="E236" s="617"/>
      <c r="F236" s="617"/>
      <c r="G236" s="617"/>
      <c r="H236" s="617"/>
      <c r="I236" s="617"/>
      <c r="J236" s="617"/>
      <c r="K236" s="1690">
        <f t="shared" si="20"/>
        <v>4160</v>
      </c>
      <c r="L236" s="466"/>
    </row>
    <row r="237" spans="1:12" x14ac:dyDescent="0.2">
      <c r="A237" s="1523"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22321</v>
      </c>
      <c r="E238" s="617"/>
      <c r="F238" s="617"/>
      <c r="G238" s="617"/>
      <c r="H238" s="617"/>
      <c r="I238" s="617"/>
      <c r="J238" s="617"/>
      <c r="K238" s="1689">
        <f>SUM(K232:K237)</f>
        <v>22321</v>
      </c>
      <c r="L238" s="1689">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f>5534+12014</f>
        <v>17548</v>
      </c>
      <c r="E240" s="617"/>
      <c r="F240" s="617"/>
      <c r="G240" s="617"/>
      <c r="H240" s="617"/>
      <c r="I240" s="617"/>
      <c r="J240" s="617"/>
      <c r="K240" s="1691">
        <f>D240</f>
        <v>17548</v>
      </c>
      <c r="L240" s="481"/>
    </row>
    <row r="241" spans="1:12" x14ac:dyDescent="0.2">
      <c r="A241" s="1523" t="s">
        <v>869</v>
      </c>
      <c r="B241" s="615">
        <v>2220</v>
      </c>
      <c r="C241" s="617"/>
      <c r="D241" s="466">
        <f>3126+2250</f>
        <v>5376</v>
      </c>
      <c r="E241" s="617"/>
      <c r="F241" s="617"/>
      <c r="G241" s="617"/>
      <c r="H241" s="617"/>
      <c r="I241" s="617"/>
      <c r="J241" s="617"/>
      <c r="K241" s="1691">
        <f>D241</f>
        <v>5376</v>
      </c>
      <c r="L241" s="466"/>
    </row>
    <row r="242" spans="1:12" x14ac:dyDescent="0.2">
      <c r="A242" s="1523" t="s">
        <v>870</v>
      </c>
      <c r="B242" s="615">
        <v>2230</v>
      </c>
      <c r="C242" s="617"/>
      <c r="D242" s="466">
        <v>135</v>
      </c>
      <c r="E242" s="617"/>
      <c r="F242" s="617"/>
      <c r="G242" s="617"/>
      <c r="H242" s="617"/>
      <c r="I242" s="617"/>
      <c r="J242" s="617"/>
      <c r="K242" s="1691">
        <f>D242</f>
        <v>135</v>
      </c>
      <c r="L242" s="466"/>
    </row>
    <row r="243" spans="1:12" ht="12.75" customHeight="1" thickBot="1" x14ac:dyDescent="0.25">
      <c r="A243" s="1713" t="s">
        <v>582</v>
      </c>
      <c r="B243" s="1714">
        <v>2200</v>
      </c>
      <c r="C243" s="617"/>
      <c r="D243" s="1689">
        <f>SUM(D240:D242)</f>
        <v>23059</v>
      </c>
      <c r="E243" s="617"/>
      <c r="F243" s="617"/>
      <c r="G243" s="617"/>
      <c r="H243" s="617"/>
      <c r="I243" s="617"/>
      <c r="J243" s="617"/>
      <c r="K243" s="1689">
        <f>SUM(K240:K242)</f>
        <v>23059</v>
      </c>
      <c r="L243" s="1689">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f>4287+3097</f>
        <v>7384</v>
      </c>
      <c r="E245" s="617"/>
      <c r="F245" s="617"/>
      <c r="G245" s="617"/>
      <c r="H245" s="617"/>
      <c r="I245" s="617"/>
      <c r="J245" s="617"/>
      <c r="K245" s="1691">
        <f>D245</f>
        <v>7384</v>
      </c>
      <c r="L245" s="481"/>
    </row>
    <row r="246" spans="1:12" x14ac:dyDescent="0.2">
      <c r="A246" s="1523" t="s">
        <v>872</v>
      </c>
      <c r="B246" s="615">
        <v>2320</v>
      </c>
      <c r="C246" s="617"/>
      <c r="D246" s="466">
        <f>9823+13803</f>
        <v>23626</v>
      </c>
      <c r="E246" s="617"/>
      <c r="F246" s="617"/>
      <c r="G246" s="617"/>
      <c r="H246" s="617"/>
      <c r="I246" s="617"/>
      <c r="J246" s="617"/>
      <c r="K246" s="1691">
        <f t="shared" ref="K246:K256" si="21">D246</f>
        <v>23626</v>
      </c>
      <c r="L246" s="466"/>
    </row>
    <row r="247" spans="1:12" x14ac:dyDescent="0.2">
      <c r="A247" s="1523" t="s">
        <v>873</v>
      </c>
      <c r="B247" s="615">
        <v>2330</v>
      </c>
      <c r="C247" s="617"/>
      <c r="D247" s="466">
        <f>4886+7648</f>
        <v>12534</v>
      </c>
      <c r="E247" s="617"/>
      <c r="F247" s="617"/>
      <c r="G247" s="617"/>
      <c r="H247" s="617"/>
      <c r="I247" s="617"/>
      <c r="J247" s="617"/>
      <c r="K247" s="1691">
        <f t="shared" si="21"/>
        <v>12534</v>
      </c>
      <c r="L247" s="466"/>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1904</v>
      </c>
      <c r="B249" s="684" t="s">
        <v>300</v>
      </c>
      <c r="C249" s="617"/>
      <c r="D249" s="474"/>
      <c r="E249" s="617"/>
      <c r="F249" s="617"/>
      <c r="G249" s="617"/>
      <c r="H249" s="617"/>
      <c r="I249" s="617"/>
      <c r="J249" s="617"/>
      <c r="K249" s="1691">
        <f t="shared" si="21"/>
        <v>0</v>
      </c>
      <c r="L249" s="466"/>
    </row>
    <row r="250" spans="1:12" x14ac:dyDescent="0.2">
      <c r="A250" s="1524" t="s">
        <v>1905</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f>34276+32149</f>
        <v>66425</v>
      </c>
      <c r="E254" s="617"/>
      <c r="F254" s="617"/>
      <c r="G254" s="617"/>
      <c r="H254" s="617"/>
      <c r="I254" s="617"/>
      <c r="J254" s="617"/>
      <c r="K254" s="1691">
        <f t="shared" si="21"/>
        <v>66425</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109969</v>
      </c>
      <c r="E257" s="617"/>
      <c r="F257" s="617"/>
      <c r="G257" s="617"/>
      <c r="H257" s="617"/>
      <c r="I257" s="617"/>
      <c r="J257" s="617"/>
      <c r="K257" s="1689">
        <f>SUM(K245:K256)</f>
        <v>109969</v>
      </c>
      <c r="L257" s="1689">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f>29445+38329</f>
        <v>67774</v>
      </c>
      <c r="E259" s="617"/>
      <c r="F259" s="617"/>
      <c r="G259" s="617"/>
      <c r="H259" s="617"/>
      <c r="I259" s="617"/>
      <c r="J259" s="617"/>
      <c r="K259" s="1691">
        <f>D259</f>
        <v>67774</v>
      </c>
      <c r="L259" s="481"/>
    </row>
    <row r="260" spans="1:14" s="598" customFormat="1" x14ac:dyDescent="0.2">
      <c r="A260" s="1541" t="s">
        <v>1903</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67774</v>
      </c>
      <c r="E261" s="617"/>
      <c r="F261" s="617"/>
      <c r="G261" s="617"/>
      <c r="H261" s="617"/>
      <c r="I261" s="617"/>
      <c r="J261" s="617"/>
      <c r="K261" s="1689">
        <f>SUM(K259:K260)</f>
        <v>67774</v>
      </c>
      <c r="L261" s="1689">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f>7693+7343</f>
        <v>15036</v>
      </c>
      <c r="E263" s="617"/>
      <c r="F263" s="617"/>
      <c r="G263" s="617"/>
      <c r="H263" s="617"/>
      <c r="I263" s="617"/>
      <c r="J263" s="617"/>
      <c r="K263" s="1691">
        <f>D263</f>
        <v>15036</v>
      </c>
      <c r="L263" s="481"/>
    </row>
    <row r="264" spans="1:14" x14ac:dyDescent="0.2">
      <c r="A264" s="1523" t="s">
        <v>483</v>
      </c>
      <c r="B264" s="686">
        <v>2520</v>
      </c>
      <c r="C264" s="617"/>
      <c r="D264" s="466">
        <f>27434+19637</f>
        <v>47071</v>
      </c>
      <c r="E264" s="617"/>
      <c r="F264" s="617"/>
      <c r="G264" s="617"/>
      <c r="H264" s="617"/>
      <c r="I264" s="617"/>
      <c r="J264" s="617"/>
      <c r="K264" s="1691">
        <f t="shared" ref="K264:K269" si="22">D264</f>
        <v>47071</v>
      </c>
      <c r="L264" s="466"/>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f>189713+145152</f>
        <v>334865</v>
      </c>
      <c r="E266" s="617"/>
      <c r="F266" s="617"/>
      <c r="G266" s="617"/>
      <c r="H266" s="617"/>
      <c r="I266" s="617"/>
      <c r="J266" s="617"/>
      <c r="K266" s="1691">
        <f t="shared" si="22"/>
        <v>334865</v>
      </c>
      <c r="L266" s="466"/>
    </row>
    <row r="267" spans="1:14" x14ac:dyDescent="0.2">
      <c r="A267" s="1523" t="s">
        <v>1010</v>
      </c>
      <c r="B267" s="615">
        <v>2550</v>
      </c>
      <c r="C267" s="617"/>
      <c r="D267" s="466">
        <f>41563+30912</f>
        <v>72475</v>
      </c>
      <c r="E267" s="617"/>
      <c r="F267" s="617"/>
      <c r="G267" s="617"/>
      <c r="H267" s="617"/>
      <c r="I267" s="617"/>
      <c r="J267" s="617"/>
      <c r="K267" s="1691">
        <f t="shared" si="22"/>
        <v>72475</v>
      </c>
      <c r="L267" s="466"/>
    </row>
    <row r="268" spans="1:14" x14ac:dyDescent="0.2">
      <c r="A268" s="1523" t="s">
        <v>102</v>
      </c>
      <c r="B268" s="615">
        <v>2560</v>
      </c>
      <c r="C268" s="617"/>
      <c r="D268" s="466">
        <f>53067+43776</f>
        <v>96843</v>
      </c>
      <c r="E268" s="617"/>
      <c r="F268" s="617"/>
      <c r="G268" s="617"/>
      <c r="H268" s="617"/>
      <c r="I268" s="617"/>
      <c r="J268" s="617"/>
      <c r="K268" s="1691">
        <f t="shared" si="22"/>
        <v>96843</v>
      </c>
      <c r="L268" s="466"/>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566290</v>
      </c>
      <c r="E270" s="617"/>
      <c r="F270" s="617"/>
      <c r="G270" s="617"/>
      <c r="H270" s="617"/>
      <c r="I270" s="617"/>
      <c r="J270" s="617"/>
      <c r="K270" s="1689">
        <f>SUM(K263:K269)</f>
        <v>566290</v>
      </c>
      <c r="L270" s="1689">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f>3+146</f>
        <v>149</v>
      </c>
      <c r="E275" s="617"/>
      <c r="F275" s="617"/>
      <c r="G275" s="617"/>
      <c r="H275" s="617"/>
      <c r="I275" s="617"/>
      <c r="J275" s="617"/>
      <c r="K275" s="1691">
        <f>D275</f>
        <v>149</v>
      </c>
      <c r="L275" s="466"/>
    </row>
    <row r="276" spans="1:12" x14ac:dyDescent="0.2">
      <c r="A276" s="1523"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149</v>
      </c>
      <c r="E277" s="617"/>
      <c r="F277" s="617"/>
      <c r="G277" s="617"/>
      <c r="H277" s="617"/>
      <c r="I277" s="617"/>
      <c r="J277" s="617"/>
      <c r="K277" s="1689">
        <f>SUM(K272:K276)</f>
        <v>149</v>
      </c>
      <c r="L277" s="1689">
        <f>SUM(L272:L276)</f>
        <v>0</v>
      </c>
    </row>
    <row r="278" spans="1:12" ht="13.5" customHeight="1" thickTop="1" x14ac:dyDescent="0.2">
      <c r="A278" s="1529"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789562</v>
      </c>
      <c r="E279" s="617"/>
      <c r="F279" s="617"/>
      <c r="G279" s="617"/>
      <c r="H279" s="617"/>
      <c r="I279" s="617"/>
      <c r="J279" s="617"/>
      <c r="K279" s="1696">
        <f>SUM(K238,K243,K257,K261,K270,K277,K278)</f>
        <v>789562</v>
      </c>
      <c r="L279" s="1696">
        <f>SUM(L238,L243,L257,L261,L270,L277,L278)</f>
        <v>0</v>
      </c>
    </row>
    <row r="280" spans="1:12" ht="15.75" customHeight="1" thickTop="1" thickBot="1" x14ac:dyDescent="0.25">
      <c r="A280" s="1643" t="s">
        <v>930</v>
      </c>
      <c r="B280" s="1632">
        <v>3000</v>
      </c>
      <c r="C280" s="617"/>
      <c r="D280" s="576">
        <f>13154+9593+125</f>
        <v>22872</v>
      </c>
      <c r="E280" s="617"/>
      <c r="F280" s="617"/>
      <c r="G280" s="617"/>
      <c r="H280" s="617"/>
      <c r="I280" s="617"/>
      <c r="J280" s="617"/>
      <c r="K280" s="1698">
        <f>D280</f>
        <v>22872</v>
      </c>
      <c r="L280" s="576"/>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1952</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343" t="s">
        <v>526</v>
      </c>
      <c r="B295" s="2344"/>
      <c r="C295" s="617"/>
      <c r="D295" s="1689">
        <f>SUM(D229,D279,D280,D285)</f>
        <v>1535094</v>
      </c>
      <c r="E295" s="617"/>
      <c r="F295" s="617"/>
      <c r="G295" s="617"/>
      <c r="H295" s="1689">
        <f>H293</f>
        <v>0</v>
      </c>
      <c r="I295" s="617"/>
      <c r="J295" s="617"/>
      <c r="K295" s="1689">
        <f>SUM(K229,K279,K280,K285,K293,K294)</f>
        <v>1535094</v>
      </c>
      <c r="L295" s="1689">
        <f>SUM(L229,L279,L280,L285,L293,L294)</f>
        <v>0</v>
      </c>
    </row>
    <row r="296" spans="1:14" ht="13.5" thickTop="1" x14ac:dyDescent="0.2">
      <c r="A296" s="2325" t="s">
        <v>1053</v>
      </c>
      <c r="B296" s="2326"/>
      <c r="C296" s="617"/>
      <c r="D296" s="619"/>
      <c r="E296" s="617"/>
      <c r="F296" s="617"/>
      <c r="G296" s="617"/>
      <c r="H296" s="688"/>
      <c r="I296" s="617"/>
      <c r="J296" s="617"/>
      <c r="K296" s="1703">
        <f>'Revenues 9-14'!G275-'Expenditures 15-22'!K295</f>
        <v>-326513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335" t="s">
        <v>145</v>
      </c>
      <c r="B298" s="2329"/>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v>1034758</v>
      </c>
      <c r="F301" s="466"/>
      <c r="G301" s="466">
        <v>1855862</v>
      </c>
      <c r="H301" s="466"/>
      <c r="I301" s="467"/>
      <c r="J301" s="467"/>
      <c r="K301" s="1690">
        <f>SUM(C301:J301)</f>
        <v>2890620</v>
      </c>
      <c r="L301" s="467"/>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1034758</v>
      </c>
      <c r="F303" s="1696">
        <f t="shared" si="23"/>
        <v>0</v>
      </c>
      <c r="G303" s="1696">
        <f t="shared" si="23"/>
        <v>1855862</v>
      </c>
      <c r="H303" s="1696">
        <f t="shared" si="23"/>
        <v>0</v>
      </c>
      <c r="I303" s="1696">
        <f t="shared" si="23"/>
        <v>0</v>
      </c>
      <c r="J303" s="1696">
        <f t="shared" si="23"/>
        <v>0</v>
      </c>
      <c r="K303" s="1696">
        <f t="shared" si="23"/>
        <v>2890620</v>
      </c>
      <c r="L303" s="1696">
        <f t="shared" si="23"/>
        <v>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1957</v>
      </c>
      <c r="B306" s="691" t="s">
        <v>1952</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340" t="s">
        <v>295</v>
      </c>
      <c r="B312" s="2341"/>
      <c r="C312" s="1689">
        <f>SUM(C303)</f>
        <v>0</v>
      </c>
      <c r="D312" s="1689">
        <f>SUM(D303)</f>
        <v>0</v>
      </c>
      <c r="E312" s="1689">
        <f>SUM(E303,E310)</f>
        <v>1034758</v>
      </c>
      <c r="F312" s="1689">
        <f>SUM(F303)</f>
        <v>0</v>
      </c>
      <c r="G312" s="1689">
        <f>SUM(G303)</f>
        <v>1855862</v>
      </c>
      <c r="H312" s="1689">
        <f>SUM(H303,H310)</f>
        <v>0</v>
      </c>
      <c r="I312" s="1689">
        <f>SUM(I303)</f>
        <v>0</v>
      </c>
      <c r="J312" s="1689">
        <f>SUM(J303)</f>
        <v>0</v>
      </c>
      <c r="K312" s="1689">
        <f>SUM(K303,K310,K311)</f>
        <v>2890620</v>
      </c>
      <c r="L312" s="1689">
        <f>SUM(L303,L310,L311)</f>
        <v>0</v>
      </c>
      <c r="M312" s="666"/>
      <c r="N312" s="666"/>
    </row>
    <row r="313" spans="1:14" ht="13.5" thickTop="1" x14ac:dyDescent="0.2">
      <c r="A313" s="2336" t="s">
        <v>1053</v>
      </c>
      <c r="B313" s="2337"/>
      <c r="C313" s="627"/>
      <c r="D313" s="627"/>
      <c r="E313" s="627"/>
      <c r="F313" s="627"/>
      <c r="G313" s="627"/>
      <c r="H313" s="627"/>
      <c r="I313" s="627"/>
      <c r="J313" s="627"/>
      <c r="K313" s="1704">
        <f>'Revenues 9-14'!H275-'Expenditures 15-22'!K312</f>
        <v>-2151227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349" t="s">
        <v>151</v>
      </c>
      <c r="B315" s="2350"/>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351" t="s">
        <v>954</v>
      </c>
      <c r="B317" s="2350"/>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1904</v>
      </c>
      <c r="B320" s="699" t="s">
        <v>300</v>
      </c>
      <c r="C320" s="467"/>
      <c r="D320" s="467"/>
      <c r="E320" s="467"/>
      <c r="F320" s="467"/>
      <c r="G320" s="467"/>
      <c r="H320" s="467"/>
      <c r="I320" s="467"/>
      <c r="J320" s="467"/>
      <c r="K320" s="1690">
        <f t="shared" ref="K320:K327" si="24">SUM(C320:J320)</f>
        <v>0</v>
      </c>
      <c r="L320" s="467"/>
      <c r="M320" s="666"/>
      <c r="N320" s="666"/>
    </row>
    <row r="321" spans="1:14" s="675" customFormat="1" x14ac:dyDescent="0.2">
      <c r="A321" s="1538"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38" t="s">
        <v>256</v>
      </c>
      <c r="B322" s="698" t="s">
        <v>302</v>
      </c>
      <c r="C322" s="467"/>
      <c r="D322" s="467"/>
      <c r="E322" s="467"/>
      <c r="F322" s="467"/>
      <c r="G322" s="467"/>
      <c r="H322" s="467"/>
      <c r="I322" s="467"/>
      <c r="J322" s="467"/>
      <c r="K322" s="1690">
        <f t="shared" si="24"/>
        <v>0</v>
      </c>
      <c r="L322" s="467"/>
      <c r="M322" s="666"/>
      <c r="N322" s="666"/>
    </row>
    <row r="323" spans="1:14" s="675" customFormat="1" x14ac:dyDescent="0.2">
      <c r="A323" s="1538"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6"/>
      <c r="N330" s="666"/>
    </row>
    <row r="331" spans="1:14" s="675" customFormat="1" ht="12.75" customHeight="1" thickTop="1" x14ac:dyDescent="0.2">
      <c r="A331" s="1851" t="s">
        <v>1958</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1952</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1954</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1959</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v>0</v>
      </c>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338" t="s">
        <v>1053</v>
      </c>
      <c r="B343" s="2339"/>
      <c r="C343" s="617"/>
      <c r="D343" s="617"/>
      <c r="E343" s="617"/>
      <c r="F343" s="617"/>
      <c r="G343" s="617"/>
      <c r="H343" s="617"/>
      <c r="I343" s="617"/>
      <c r="J343" s="617"/>
      <c r="K343" s="1703">
        <f>'Revenues 9-14'!J275-'Expenditures 15-22'!K342</f>
        <v>-65437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328" t="s">
        <v>1023</v>
      </c>
      <c r="B345" s="2329"/>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1960</v>
      </c>
      <c r="B354" s="684" t="s">
        <v>1952</v>
      </c>
      <c r="C354" s="617"/>
      <c r="D354" s="617"/>
      <c r="E354" s="617"/>
      <c r="F354" s="617"/>
      <c r="G354" s="617"/>
      <c r="H354" s="474"/>
      <c r="I354" s="702"/>
      <c r="J354" s="617"/>
      <c r="K354" s="1718">
        <f>H354</f>
        <v>0</v>
      </c>
      <c r="L354" s="471"/>
    </row>
    <row r="355" spans="1:14" ht="12.75" customHeight="1" x14ac:dyDescent="0.2">
      <c r="A355" s="1532" t="s">
        <v>1961</v>
      </c>
      <c r="B355" s="691" t="s">
        <v>1954</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325" t="s">
        <v>1053</v>
      </c>
      <c r="B368" s="2326"/>
      <c r="C368" s="655"/>
      <c r="D368" s="655"/>
      <c r="E368" s="627"/>
      <c r="F368" s="627"/>
      <c r="G368" s="627"/>
      <c r="H368" s="627"/>
      <c r="I368" s="627"/>
      <c r="J368" s="624"/>
      <c r="K368" s="1690">
        <f>'Revenues 9-14'!K275-'Expenditures 15-22'!K367</f>
        <v>82139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6ce3111e-7420-4802-b50a-75d4e9a0b980"/>
    <ds:schemaRef ds:uri="http://schemas.microsoft.com/office/2006/metadata/properties"/>
    <ds:schemaRef ds:uri="http://schemas.microsoft.com/office/infopath/2007/PartnerControls"/>
    <ds:schemaRef ds:uri="http://purl.org/dc/elements/1.1/"/>
    <ds:schemaRef ds:uri="4d435f69-8686-490b-bd6d-b153bf22ab50"/>
    <ds:schemaRef ds:uri="http://purl.org/dc/dcmitype/"/>
    <ds:schemaRef ds:uri="http://schemas.openxmlformats.org/package/2006/metadata/core-properties"/>
    <ds:schemaRef ds:uri="http://www.w3.org/XML/1998/namespace"/>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(1)</vt:lpstr>
      <vt:lpstr>SF&amp;QC Sec-2 (2)</vt:lpstr>
      <vt:lpstr>SF&amp;QC Sec-2 (3)</vt:lpstr>
      <vt:lpstr>SF&amp;QC Sec-3</vt:lpstr>
      <vt:lpstr>SSPAF</vt:lpstr>
      <vt:lpstr>CAP</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2018-07-31T16:34:21Z</cp:lastPrinted>
  <dcterms:created xsi:type="dcterms:W3CDTF">2003-10-29T19:06:34Z</dcterms:created>
  <dcterms:modified xsi:type="dcterms:W3CDTF">2019-01-16T15:27:18Z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5e53438a-bb7e-4b71-a79f-643e2c92703d</vt:lpwstr>
  </property>
</Properties>
</file>