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79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1" sheetId="179" r:id="rId29"/>
    <sheet name=" SEFA-1 (2)" sheetId="183" r:id="rId30"/>
    <sheet name="SF&amp;QC Sec-1" sheetId="174" r:id="rId31"/>
    <sheet name="SF&amp;QC Sec-2(1)" sheetId="185" r:id="rId32"/>
    <sheet name="SF&amp;QC Sec-2(2)" sheetId="186" r:id="rId33"/>
    <sheet name="SF&amp;QC Sec-3(3)" sheetId="176" r:id="rId34"/>
    <sheet name="SF&amp;QC Sec-3(4)" sheetId="187" r:id="rId35"/>
    <sheet name="SSPAF" sheetId="177" r:id="rId36"/>
  </sheets>
  <definedNames>
    <definedName name="_xlnm.Print_Area" localSheetId="28">' SEFA-1'!$B$1:$M$46</definedName>
    <definedName name="_xlnm.Print_Area" localSheetId="29">' SEFA-1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3">'SF&amp;QC Sec-3(3)'!$A$1:$K$52</definedName>
    <definedName name="_xlnm.Print_Area" localSheetId="34">'SF&amp;QC Sec-3(4)'!$A$1:$K$52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D45" i="174" l="1"/>
  <c r="J34" i="8" l="1"/>
  <c r="D35" i="171" l="1"/>
  <c r="E11" i="108"/>
  <c r="D12" i="11" l="1"/>
  <c r="G79" i="4" l="1"/>
  <c r="C79" i="4"/>
  <c r="D275" i="29"/>
  <c r="D268" i="29"/>
  <c r="D266" i="29"/>
  <c r="D264" i="29"/>
  <c r="D259" i="29"/>
  <c r="D247" i="29"/>
  <c r="D241" i="29"/>
  <c r="D240" i="29"/>
  <c r="D234" i="29"/>
  <c r="D227" i="29"/>
  <c r="D224" i="29"/>
  <c r="D223" i="29"/>
  <c r="D218" i="29"/>
  <c r="D217" i="29"/>
  <c r="D215" i="29"/>
  <c r="C5" i="5" l="1"/>
  <c r="C65" i="5"/>
  <c r="C158" i="5"/>
  <c r="C107" i="5" l="1"/>
  <c r="G65" i="5"/>
  <c r="G38" i="3" l="1"/>
  <c r="G9" i="3"/>
  <c r="G6" i="3"/>
  <c r="G4" i="3"/>
  <c r="C39" i="3"/>
  <c r="C9" i="3" l="1"/>
  <c r="C4" i="3"/>
  <c r="G32" i="3" l="1"/>
  <c r="C32" i="3"/>
  <c r="C6" i="3" l="1"/>
  <c r="K27" i="183" l="1"/>
  <c r="J27" i="183"/>
  <c r="H27" i="183"/>
  <c r="G27" i="183"/>
  <c r="F27" i="183"/>
  <c r="E27" i="183"/>
  <c r="K26" i="183"/>
  <c r="J26" i="183"/>
  <c r="I26" i="183"/>
  <c r="I27" i="183" s="1"/>
  <c r="H26" i="183"/>
  <c r="G26" i="183"/>
  <c r="F26" i="183"/>
  <c r="E26" i="183"/>
  <c r="L25" i="183"/>
  <c r="B4" i="187" l="1"/>
  <c r="B4" i="186"/>
  <c r="B4" i="185"/>
  <c r="L22" i="179"/>
  <c r="L21" i="179"/>
  <c r="L16" i="179"/>
  <c r="L15" i="179"/>
  <c r="L24" i="183"/>
  <c r="L20" i="183"/>
  <c r="L19" i="183"/>
  <c r="L18" i="183"/>
  <c r="L17" i="183"/>
  <c r="L16" i="183"/>
  <c r="L15" i="183"/>
  <c r="L14" i="183"/>
  <c r="L13" i="183"/>
  <c r="H21" i="183"/>
  <c r="K21" i="183"/>
  <c r="J21" i="183"/>
  <c r="I21" i="183"/>
  <c r="G21" i="183"/>
  <c r="E21" i="183"/>
  <c r="F21" i="183"/>
  <c r="L23" i="179"/>
  <c r="K23" i="179"/>
  <c r="K24" i="179" s="1"/>
  <c r="J23" i="179"/>
  <c r="J24" i="179" s="1"/>
  <c r="I23" i="179"/>
  <c r="H23" i="179"/>
  <c r="H24" i="179" s="1"/>
  <c r="G23" i="179"/>
  <c r="F23" i="179"/>
  <c r="L17" i="179"/>
  <c r="L14" i="179"/>
  <c r="L13" i="179"/>
  <c r="I18" i="179"/>
  <c r="G18" i="179"/>
  <c r="E18" i="179"/>
  <c r="E24" i="179" s="1"/>
  <c r="F18" i="179"/>
  <c r="L27" i="183"/>
  <c r="L26" i="183"/>
  <c r="B4" i="183"/>
  <c r="L21" i="183" l="1"/>
  <c r="I24" i="179"/>
  <c r="F24" i="179"/>
  <c r="G24" i="179"/>
  <c r="L18" i="179"/>
  <c r="L24" i="179"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4" i="34"/>
  <c r="F6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B2" i="174" s="1"/>
  <c r="A7" i="169"/>
  <c r="B4" i="177"/>
  <c r="B4" i="176"/>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1" i="187" l="1"/>
  <c r="B1" i="186"/>
  <c r="B1" i="185"/>
  <c r="B1" i="183"/>
  <c r="A2" i="170"/>
  <c r="B2" i="179"/>
  <c r="B2" i="186"/>
  <c r="B2" i="183"/>
  <c r="B2" i="187"/>
  <c r="B2" i="185"/>
  <c r="A2" i="173"/>
  <c r="B2" i="177"/>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s="1"/>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c r="B5115" i="106"/>
  <c r="D5115" i="106"/>
  <c r="B5116" i="106"/>
  <c r="D5116" i="106"/>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s="1"/>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s="1"/>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5" i="127"/>
  <c r="B66" i="127"/>
  <c r="D26" i="108"/>
  <c r="F26" i="108"/>
  <c r="E27" i="108"/>
  <c r="G27" i="108"/>
  <c r="F28" i="108"/>
  <c r="F31" i="108"/>
  <c r="F37" i="108"/>
  <c r="G28" i="108"/>
  <c r="E29" i="108"/>
  <c r="E30" i="108"/>
  <c r="G30" i="108"/>
  <c r="D31"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7" i="29" s="1"/>
  <c r="L362" i="29"/>
  <c r="L365" i="29" s="1"/>
  <c r="C12" i="5"/>
  <c r="B5066" i="106" s="1"/>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H109" i="5"/>
  <c r="B6025" i="106" s="1"/>
  <c r="D6025" i="106" s="1"/>
  <c r="F106" i="34"/>
  <c r="H4" i="4"/>
  <c r="B2655" i="106" s="1"/>
  <c r="D2655" i="106" s="1"/>
  <c r="H6" i="4"/>
  <c r="B2656" i="106" s="1"/>
  <c r="D2656" i="106" s="1"/>
  <c r="B1746" i="106"/>
  <c r="D1746" i="106" s="1"/>
  <c r="D17" i="7"/>
  <c r="B4104" i="106" s="1"/>
  <c r="D4104" i="106" s="1"/>
  <c r="D12" i="7"/>
  <c r="B1769" i="106" s="1"/>
  <c r="D1769" i="106" s="1"/>
  <c r="D11" i="7"/>
  <c r="B1768" i="106" s="1"/>
  <c r="D1768" i="106" s="1"/>
  <c r="D15" i="7"/>
  <c r="B1772" i="106" s="1"/>
  <c r="D1772" i="106" s="1"/>
  <c r="L342" i="29" l="1"/>
  <c r="B6289" i="106"/>
  <c r="D6289" i="106" s="1"/>
  <c r="B1329" i="106"/>
  <c r="D1329" i="106" s="1"/>
  <c r="F61" i="34"/>
  <c r="L15" i="11"/>
  <c r="B3459" i="106" s="1"/>
  <c r="D3459" i="106" s="1"/>
  <c r="D69" i="36"/>
  <c r="F19" i="7"/>
  <c r="B1807" i="106" s="1"/>
  <c r="D1807" i="106" s="1"/>
  <c r="F77" i="4"/>
  <c r="B3255" i="106" s="1"/>
  <c r="D3255" i="106" s="1"/>
  <c r="B1410" i="106"/>
  <c r="D1410" i="106" s="1"/>
  <c r="K184" i="29"/>
  <c r="F13" i="4" s="1"/>
  <c r="B2596" i="106" s="1"/>
  <c r="D2596" i="106" s="1"/>
  <c r="G29" i="108"/>
  <c r="E28" i="108"/>
  <c r="G26" i="108"/>
  <c r="B1274" i="106"/>
  <c r="D1274" i="106" s="1"/>
  <c r="B1223" i="106"/>
  <c r="D1223" i="106" s="1"/>
  <c r="E26" i="108"/>
  <c r="G15" i="145"/>
  <c r="D7" i="7"/>
  <c r="B1763" i="106" s="1"/>
  <c r="D1763" i="106" s="1"/>
  <c r="B5096" i="106"/>
  <c r="D5096" i="106" s="1"/>
  <c r="C172" i="5"/>
  <c r="B5214" i="106" s="1"/>
  <c r="D5214" i="106" s="1"/>
  <c r="G4" i="4"/>
  <c r="B2603" i="106" s="1"/>
  <c r="D2603" i="106" s="1"/>
  <c r="D109" i="5"/>
  <c r="C109" i="5"/>
  <c r="B5121" i="106" s="1"/>
  <c r="D5121" i="106" s="1"/>
  <c r="D4" i="7"/>
  <c r="B1760" i="106" s="1"/>
  <c r="D1760" i="106" s="1"/>
  <c r="D36" i="108"/>
  <c r="F36" i="108"/>
  <c r="F27" i="108"/>
  <c r="B2724" i="106"/>
  <c r="D2724" i="106" s="1"/>
  <c r="D52"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L114" i="29" l="1"/>
  <c r="B1317" i="106"/>
  <c r="D1317" i="106" s="1"/>
  <c r="L16" i="11"/>
  <c r="B2061" i="106" s="1"/>
  <c r="D2061" i="106" s="1"/>
  <c r="F41" i="108"/>
  <c r="G43" i="108" s="1"/>
  <c r="B5653" i="106"/>
  <c r="D5653" i="106" s="1"/>
  <c r="F275" i="5"/>
  <c r="B5720" i="106" s="1"/>
  <c r="D5720" i="106" s="1"/>
  <c r="D19" i="7"/>
  <c r="B1775" i="106" s="1"/>
  <c r="D1775" i="106" s="1"/>
  <c r="C173" i="5"/>
  <c r="C4" i="4"/>
  <c r="B2551" i="106" s="1"/>
  <c r="D2551" i="106" s="1"/>
  <c r="B5356" i="106"/>
  <c r="D5356" i="106" s="1"/>
  <c r="D4" i="4"/>
  <c r="B2564" i="106" s="1"/>
  <c r="D2564"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J17" i="4" l="1"/>
  <c r="B5223" i="106"/>
  <c r="D5223" i="106" s="1"/>
  <c r="C6" i="4"/>
  <c r="B2553" i="106" s="1"/>
  <c r="D2553" i="106" s="1"/>
  <c r="F8" i="4"/>
  <c r="B1145" i="106"/>
  <c r="D114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<sst xmlns="http://schemas.openxmlformats.org/spreadsheetml/2006/main" count="5357" uniqueCount="2218">
  <si>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</si>
  <si>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</si>
  <si>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</si>
  <si>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</si>
  <si>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</si>
  <si>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</si>
  <si>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</si>
  <si>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</si>
  <si>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</si>
  <si>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</si>
  <si>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</si>
  <si>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</si>
  <si>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</si>
  <si>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</si>
  <si>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</si>
  <si>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</si>
  <si>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</si>
  <si>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</si>
  <si>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</si>
  <si>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</si>
  <si>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</si>
  <si>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</si>
  <si>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</si>
  <si>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</si>
  <si>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</si>
  <si>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</si>
  <si>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</si>
  <si>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</si>
  <si>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</si>
  <si>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</si>
  <si>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</si>
  <si>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</si>
  <si>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</si>
  <si>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</si>
  <si>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</si>
  <si>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</si>
  <si>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</si>
  <si>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</si>
  <si>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</si>
  <si>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</si>
  <si>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</si>
  <si>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</si>
  <si>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</si>
  <si>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</si>
  <si>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</si>
  <si>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</si>
  <si>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</si>
  <si>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</si>
  <si>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</si>
  <si>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</si>
  <si>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</si>
  <si>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</si>
  <si>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</si>
  <si>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</si>
  <si>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</si>
  <si>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</si>
  <si>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</si>
  <si>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</si>
  <si>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</si>
  <si>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</si>
  <si>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</si>
  <si>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</si>
  <si>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</si>
  <si>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</si>
  <si>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</si>
  <si>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</si>
  <si>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</si>
  <si>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</si>
  <si>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</si>
  <si>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</si>
  <si>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</si>
  <si>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</si>
  <si>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</si>
  <si>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</si>
  <si>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</si>
  <si>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</si>
  <si>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</si>
  <si>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</si>
  <si>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</si>
  <si>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</si>
  <si>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</si>
  <si>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</si>
  <si>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</si>
  <si>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</si>
  <si>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</si>
  <si>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</si>
  <si>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</si>
  <si>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</si>
  <si>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</si>
  <si>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</si>
  <si>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</si>
  <si>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</si>
  <si>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</si>
  <si>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</si>
  <si>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</si>
  <si>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</si>
  <si>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</si>
  <si>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</si>
  <si>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</si>
  <si>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</si>
  <si>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</si>
  <si>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</si>
  <si>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</si>
  <si>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</si>
  <si>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</si>
  <si>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</si>
  <si>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</si>
  <si>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</si>
  <si>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</si>
  <si>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</si>
  <si>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</si>
  <si>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</si>
  <si>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</si>
  <si>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</si>
  <si>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</si>
  <si>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</si>
  <si>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</si>
  <si>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</si>
  <si>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</si>
  <si>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</si>
  <si>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</si>
  <si>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</si>
  <si>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</si>
  <si>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</si>
  <si>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</si>
  <si>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</si>
  <si>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</si>
  <si>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</si>
  <si>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</si>
  <si>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</si>
  <si>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</si>
  <si>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</si>
  <si>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</si>
  <si>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</si>
  <si>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</si>
  <si>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</si>
  <si>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</si>
  <si>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</si>
  <si>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</si>
  <si>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</si>
  <si>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</si>
  <si>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</si>
  <si>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</si>
  <si>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</si>
  <si>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</si>
  <si>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</si>
  <si>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</si>
  <si>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</si>
  <si>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</si>
  <si>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</si>
  <si>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</si>
  <si>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</si>
  <si>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</si>
  <si>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</si>
  <si>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</si>
  <si>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</si>
  <si>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</si>
  <si>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</si>
  <si>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</si>
  <si>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</si>
  <si>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</si>
  <si>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</si>
  <si>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</si>
  <si>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</si>
  <si>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</si>
  <si>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</si>
  <si>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</si>
  <si>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</si>
  <si>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</si>
  <si>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</si>
  <si>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</si>
  <si>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</si>
  <si>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</si>
  <si>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</si>
  <si>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</si>
  <si>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</si>
  <si>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</si>
  <si>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</si>
  <si>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</si>
  <si>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</si>
  <si>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</si>
  <si>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</si>
  <si>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</si>
  <si>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</si>
  <si>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</si>
  <si>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</si>
  <si>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</si>
  <si>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</si>
  <si>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</si>
  <si>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</si>
  <si>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</si>
  <si>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</si>
  <si>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</si>
  <si>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</si>
  <si>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</si>
  <si>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</si>
  <si>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</si>
  <si>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</si>
  <si>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</si>
  <si>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</si>
  <si>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</si>
  <si>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</si>
  <si>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</si>
  <si>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</si>
  <si>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</si>
  <si>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</si>
  <si>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</si>
  <si>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</si>
  <si>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</si>
  <si>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</si>
  <si>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</si>
  <si>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</si>
  <si>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</si>
  <si>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</si>
  <si>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</si>
  <si>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</si>
  <si>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</si>
  <si>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</si>
  <si>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</si>
  <si>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</si>
  <si>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</si>
  <si>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</si>
  <si>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</si>
  <si>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</si>
  <si>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</si>
  <si>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</si>
  <si>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</si>
  <si>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</si>
  <si>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</si>
  <si>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</si>
  <si>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</si>
  <si>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</si>
  <si>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</si>
  <si>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</si>
  <si>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</si>
  <si>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</si>
  <si>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</si>
  <si>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</si>
  <si>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</si>
  <si>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</si>
  <si>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</si>
  <si>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</si>
  <si>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</si>
  <si>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</si>
  <si>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</si>
  <si>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</si>
  <si>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</si>
  <si>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</si>
  <si>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</si>
  <si>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</si>
  <si>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</si>
  <si>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</si>
  <si>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</si>
  <si>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</si>
  <si>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</si>
  <si>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</si>
  <si>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</si>
  <si>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</si>
  <si>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</si>
  <si>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</si>
  <si>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</si>
  <si>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</si>
  <si>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</si>
  <si>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</si>
  <si>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</si>
  <si>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</si>
  <si>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</si>
  <si>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</si>
  <si>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</si>
  <si>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</si>
  <si>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</si>
  <si>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</si>
  <si>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</si>
  <si>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</si>
  <si>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</si>
  <si>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</si>
  <si>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</si>
  <si>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</si>
  <si>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</si>
  <si>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</si>
  <si>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</si>
  <si>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</si>
  <si>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</si>
  <si>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</si>
  <si>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</si>
  <si>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</si>
  <si>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</si>
  <si>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</si>
  <si>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</si>
  <si>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</si>
  <si>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</si>
  <si>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</si>
  <si>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</si>
  <si>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</si>
  <si>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</si>
  <si>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</si>
  <si>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</si>
  <si>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</si>
  <si>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</si>
  <si>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</si>
  <si>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</si>
  <si>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</si>
  <si>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</si>
  <si>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</si>
  <si>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</si>
  <si>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</si>
  <si>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</si>
  <si>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</si>
  <si>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</si>
  <si>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</si>
  <si>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</si>
  <si>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</si>
  <si>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</si>
  <si>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</si>
  <si>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</si>
  <si>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</si>
  <si>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</si>
  <si>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</si>
  <si>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</si>
  <si>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</si>
  <si>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</si>
  <si>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</si>
  <si>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</si>
  <si>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</si>
  <si>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</si>
  <si>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</si>
  <si>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</si>
  <si>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</si>
  <si>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</si>
  <si>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</si>
  <si>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</si>
  <si>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</si>
  <si>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</si>
  <si>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</si>
  <si>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</si>
  <si>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</si>
  <si>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</si>
  <si>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</si>
  <si>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</si>
  <si>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</si>
  <si>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</si>
  <si>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</si>
  <si>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</si>
  <si>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</si>
  <si>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</si>
  <si>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</si>
  <si>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</si>
  <si>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</si>
  <si>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</si>
  <si>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</si>
  <si>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</si>
  <si>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</si>
  <si>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</si>
  <si>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</si>
  <si>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</si>
  <si>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</si>
  <si>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</si>
  <si>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</si>
  <si>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</si>
  <si>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</si>
  <si>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</si>
  <si>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</si>
  <si>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</si>
  <si>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</si>
  <si>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</si>
  <si>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</si>
  <si>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</si>
  <si>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</si>
  <si>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</si>
  <si>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</si>
  <si>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</si>
  <si>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</si>
  <si>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</si>
  <si>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</si>
  <si>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</si>
  <si>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</si>
  <si>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</si>
  <si>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</si>
  <si>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</si>
  <si>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</si>
  <si>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</si>
  <si>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</si>
  <si>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</si>
  <si>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</si>
  <si>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</si>
  <si>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</si>
  <si>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</si>
  <si>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</si>
  <si>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</si>
  <si>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</si>
  <si>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</si>
  <si>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</si>
  <si>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</si>
  <si>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</si>
  <si>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</si>
  <si>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</si>
  <si>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</si>
  <si>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</si>
  <si>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</si>
  <si>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</si>
  <si>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</si>
  <si>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</si>
  <si>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</si>
  <si>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</si>
  <si>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</si>
  <si>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</si>
  <si>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</si>
  <si>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</si>
  <si>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</si>
  <si>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</si>
  <si>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</si>
  <si>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</si>
  <si>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</si>
  <si>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</si>
  <si>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</si>
  <si>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</si>
  <si>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</si>
  <si>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</si>
  <si>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</si>
  <si>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</si>
  <si>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</si>
  <si>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</si>
  <si>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</si>
  <si>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</si>
  <si>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</si>
  <si>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</si>
  <si>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</si>
  <si>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</si>
  <si>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</si>
  <si>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</si>
  <si>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</si>
  <si>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</si>
  <si>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</si>
  <si>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</si>
  <si>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</si>
  <si>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</si>
  <si>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</si>
  <si>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</si>
  <si>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</si>
  <si>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</si>
  <si>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</si>
  <si>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</si>
  <si>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</si>
  <si>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</si>
  <si>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</si>
  <si>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</si>
  <si>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</si>
  <si>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</si>
  <si>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</si>
  <si>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</si>
  <si>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</si>
  <si>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</si>
  <si>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</si>
  <si>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</si>
  <si>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</si>
  <si>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</si>
  <si>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</si>
  <si>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</si>
  <si>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</si>
  <si>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</si>
  <si>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</si>
  <si>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</si>
  <si>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</si>
  <si>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</si>
  <si>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</si>
  <si>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</si>
  <si>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</si>
  <si>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</si>
  <si>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</si>
  <si>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</si>
  <si>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</si>
  <si>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</si>
  <si>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</si>
  <si>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</si>
  <si>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</si>
  <si>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</si>
  <si>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</si>
  <si>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</si>
  <si>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</si>
  <si>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</si>
  <si>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</si>
  <si>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</si>
  <si>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</si>
  <si>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</si>
  <si>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</si>
  <si>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</si>
  <si>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</si>
  <si>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</si>
  <si>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</si>
  <si>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</si>
  <si>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</si>
  <si>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</si>
  <si>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</si>
  <si>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</si>
  <si>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</si>
  <si>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</si>
  <si>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</si>
  <si>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</si>
  <si>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</si>
  <si>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</si>
  <si>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</si>
  <si>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</si>
  <si>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</si>
  <si>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</si>
  <si>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</si>
  <si>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</si>
  <si>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</si>
  <si>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</si>
  <si>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</si>
  <si>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</si>
  <si>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</si>
  <si>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</si>
  <si>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</si>
  <si>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</si>
  <si>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</si>
  <si>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</si>
  <si>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</si>
  <si>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</si>
  <si>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</si>
  <si>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</si>
  <si>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</si>
  <si>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</si>
  <si>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</si>
  <si>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</si>
  <si>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</si>
  <si>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</si>
  <si>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</si>
  <si>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</si>
  <si>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</si>
  <si>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</si>
  <si>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</si>
  <si>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</si>
  <si>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</si>
  <si>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</si>
  <si>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</si>
  <si>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</si>
  <si>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</si>
  <si>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</si>
  <si>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</si>
  <si>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</si>
  <si>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</si>
  <si>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</si>
  <si>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</si>
  <si>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</si>
  <si>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</si>
  <si>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</si>
  <si>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</si>
  <si>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</si>
  <si>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</si>
  <si>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</si>
  <si>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</si>
  <si>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</si>
  <si>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</si>
  <si>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</si>
  <si>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</si>
  <si>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</si>
  <si>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</si>
  <si>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</si>
  <si>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</si>
  <si>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</si>
  <si>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</si>
  <si>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</si>
  <si>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</si>
  <si>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</si>
  <si>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</si>
  <si>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</si>
  <si>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</si>
  <si>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</si>
  <si>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</si>
  <si>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</si>
  <si>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</si>
  <si>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</si>
  <si>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</si>
  <si>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</si>
  <si>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</si>
  <si>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</si>
  <si>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</si>
  <si>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</si>
  <si>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</si>
  <si>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</si>
  <si>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</si>
  <si>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</si>
  <si>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</si>
  <si>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</si>
  <si>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</si>
  <si>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</si>
  <si>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</si>
  <si>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</si>
  <si>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</si>
  <si>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</si>
  <si>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</si>
  <si>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</si>
  <si>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</si>
  <si>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</si>
  <si>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</si>
  <si>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</si>
  <si>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</si>
  <si>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</si>
  <si>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</si>
  <si>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</si>
  <si>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</si>
  <si>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</si>
  <si>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</si>
  <si>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</si>
  <si>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</si>
  <si>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</si>
  <si>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</si>
  <si>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</si>
  <si>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</si>
  <si>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</si>
  <si>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</si>
  <si>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</si>
  <si>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</si>
  <si>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</si>
  <si>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</si>
  <si>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</si>
  <si>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</si>
  <si>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</si>
  <si>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</si>
  <si>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</si>
  <si>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</si>
  <si>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</si>
  <si>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</si>
  <si>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</si>
  <si>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</si>
  <si>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</si>
  <si>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</si>
  <si>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</si>
  <si>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</si>
  <si>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</si>
  <si>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</si>
  <si>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</si>
  <si>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</si>
  <si>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</si>
  <si>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</si>
  <si>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</si>
  <si>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</si>
  <si>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</si>
  <si>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</si>
  <si>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</si>
  <si>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</si>
  <si>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</si>
  <si>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</si>
  <si>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</si>
  <si>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</si>
  <si>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</si>
  <si>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</si>
  <si>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</si>
  <si>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</si>
  <si>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</si>
  <si>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</si>
  <si>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</si>
  <si>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</si>
  <si>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</si>
  <si>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</si>
  <si>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</si>
  <si>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</si>
  <si>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</si>
  <si>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</si>
  <si>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</si>
  <si>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</si>
  <si>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</si>
  <si>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</si>
  <si>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</si>
  <si>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</si>
  <si>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</si>
  <si>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</si>
  <si>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</si>
  <si>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</si>
  <si>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</si>
  <si>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</si>
  <si>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</si>
  <si>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</si>
  <si>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</si>
  <si>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</si>
  <si>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</si>
  <si>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</si>
  <si>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</si>
  <si>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</si>
  <si>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</si>
  <si>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</si>
  <si>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</si>
  <si>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</si>
  <si>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</si>
  <si>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</si>
  <si>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</si>
  <si>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</si>
  <si>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</si>
  <si>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</si>
  <si>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</si>
  <si>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</si>
  <si>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</si>
  <si>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</si>
  <si>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</si>
  <si>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</si>
  <si>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</si>
  <si>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</si>
  <si>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</si>
  <si>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</si>
  <si>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</si>
  <si>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</si>
  <si>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</si>
  <si>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</si>
  <si>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</si>
  <si>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</si>
  <si>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</si>
  <si>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</si>
  <si>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</si>
  <si>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</si>
  <si>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</si>
  <si>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</si>
  <si>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</si>
  <si>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</si>
  <si>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</si>
  <si>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</si>
  <si>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</si>
  <si>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</si>
  <si>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</si>
  <si>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</si>
  <si>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</si>
  <si>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</si>
  <si>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</si>
  <si>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</si>
  <si>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</si>
  <si>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</si>
  <si>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</si>
  <si>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</si>
  <si>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</si>
  <si>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</si>
  <si>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</si>
  <si>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</si>
  <si>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</si>
  <si>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</si>
  <si>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</si>
  <si>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</si>
  <si>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</si>
  <si>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</si>
  <si>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</si>
  <si>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</si>
  <si>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</si>
  <si>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</si>
  <si>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</si>
  <si>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</si>
  <si>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</si>
  <si>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</si>
  <si>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</si>
  <si>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</si>
  <si>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</si>
  <si>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</si>
  <si>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</si>
  <si>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</si>
  <si>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</si>
  <si>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</si>
  <si>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</si>
  <si>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</si>
  <si>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</si>
  <si>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</si>
  <si>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</si>
  <si>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</si>
  <si>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</si>
  <si>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</si>
  <si>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</si>
  <si>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</si>
  <si>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</si>
  <si>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</si>
  <si>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</si>
  <si>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</si>
  <si>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</si>
  <si>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</si>
  <si>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</si>
  <si>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</si>
  <si>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</si>
  <si>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</si>
  <si>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</si>
  <si>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</si>
  <si>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</si>
  <si>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</si>
  <si>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</si>
  <si>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</si>
  <si>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</si>
  <si>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</si>
  <si>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</si>
  <si>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</si>
  <si>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</si>
  <si>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</si>
  <si>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</si>
  <si>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</si>
  <si>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</si>
  <si>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</si>
  <si>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</si>
  <si>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</si>
  <si>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</si>
  <si>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</si>
  <si>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</si>
  <si>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</si>
  <si>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</si>
  <si>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</si>
  <si>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</si>
  <si>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</si>
  <si>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</si>
  <si>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</si>
  <si>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</si>
  <si>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</si>
  <si>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</si>
  <si>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</si>
  <si>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</si>
  <si>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</si>
  <si>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</si>
  <si>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</si>
  <si>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</si>
  <si>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</si>
  <si>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</si>
  <si>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</si>
  <si>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</si>
  <si>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</si>
  <si>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</si>
  <si>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</si>
  <si>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</si>
  <si>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</si>
  <si>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</si>
  <si>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</si>
  <si>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</si>
  <si>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</si>
  <si>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</si>
  <si>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</si>
  <si>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</si>
  <si>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</si>
  <si>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</si>
  <si>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</si>
  <si>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</si>
  <si>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</si>
  <si>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</si>
  <si>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</si>
  <si>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</si>
  <si>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</si>
  <si>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</si>
  <si>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</si>
  <si>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</si>
  <si>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</si>
  <si>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</si>
  <si>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</si>
  <si>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</si>
  <si>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</si>
  <si>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</si>
  <si>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</si>
  <si>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</si>
  <si>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</si>
  <si>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</si>
  <si>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</si>
  <si>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</si>
  <si>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</si>
  <si>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</si>
  <si>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</si>
  <si>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</si>
  <si>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</si>
  <si>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</si>
  <si>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</si>
  <si>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</si>
  <si>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</si>
  <si>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</si>
  <si>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</si>
  <si>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</si>
  <si>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</si>
  <si>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</si>
  <si>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</si>
  <si>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</si>
  <si>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</si>
  <si>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</si>
  <si>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</si>
  <si>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</si>
  <si>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</si>
  <si>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</si>
  <si>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</si>
  <si>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</si>
  <si>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</si>
  <si>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</si>
  <si>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</si>
  <si>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</si>
  <si>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</si>
  <si>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</si>
  <si>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</si>
  <si>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</si>
  <si>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</si>
  <si>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</si>
  <si>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</si>
  <si>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</si>
  <si>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</si>
  <si>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</si>
  <si>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</si>
  <si>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</si>
  <si>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</si>
  <si>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</si>
  <si>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</si>
  <si>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</si>
  <si>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</si>
  <si>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</si>
  <si>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</si>
  <si>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</si>
  <si>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</si>
  <si>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</si>
  <si>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</si>
  <si>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</si>
  <si>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</si>
  <si>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</si>
  <si>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</si>
  <si>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</si>
  <si>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</si>
  <si>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</si>
  <si>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</si>
  <si>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</si>
  <si>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</si>
  <si>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</si>
  <si>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</si>
  <si>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</si>
  <si>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</si>
  <si>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</si>
  <si>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</si>
  <si>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</si>
  <si>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</si>
  <si>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</si>
  <si>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</si>
  <si>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</si>
  <si>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</si>
  <si>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</si>
  <si>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</si>
  <si>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</si>
  <si>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</si>
  <si>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</si>
  <si>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</si>
  <si>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</si>
  <si>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</si>
  <si>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</si>
  <si>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</si>
  <si>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</si>
  <si>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</si>
  <si>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</si>
  <si>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</si>
  <si>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</si>
  <si>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</si>
  <si>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</si>
  <si>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</si>
  <si>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</si>
  <si>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</si>
  <si>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</si>
  <si>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</si>
  <si>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</si>
  <si>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</si>
  <si>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</si>
  <si>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</si>
  <si>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</si>
  <si>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</si>
  <si>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</si>
  <si>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</si>
  <si>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</si>
  <si>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</si>
  <si>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</si>
  <si>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</si>
  <si>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</si>
  <si>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</si>
  <si>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</si>
  <si>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</si>
  <si>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</si>
  <si>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</si>
  <si>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</si>
  <si>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</si>
  <si>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</si>
  <si>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</si>
  <si>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</si>
  <si>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</si>
  <si>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</si>
  <si>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</si>
  <si>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</si>
  <si>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</si>
  <si>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</si>
  <si>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</si>
  <si>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</si>
  <si>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</si>
  <si>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</si>
  <si>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</si>
  <si>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</si>
  <si>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</si>
  <si>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</si>
  <si>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</si>
  <si>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</si>
  <si>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</si>
  <si>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</si>
  <si>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</si>
  <si>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</si>
  <si>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</si>
  <si>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</si>
  <si>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</si>
  <si>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</si>
  <si>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</si>
  <si>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</si>
  <si>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</si>
  <si>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</si>
  <si>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</si>
  <si>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</si>
  <si>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</si>
  <si>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</si>
  <si>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</si>
  <si>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</si>
  <si>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</si>
  <si>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</si>
  <si>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</si>
  <si>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</si>
  <si>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</si>
  <si>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</si>
  <si>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</si>
  <si>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</si>
  <si>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</si>
  <si>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</si>
  <si>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</si>
  <si>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</si>
  <si>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</si>
  <si>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</si>
  <si>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</si>
  <si>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</si>
  <si>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</si>
  <si>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</si>
  <si>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</si>
  <si>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</si>
  <si>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</si>
  <si>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</si>
  <si>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</si>
  <si>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</si>
  <si>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</si>
  <si>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</si>
  <si>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</si>
  <si>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</si>
  <si>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</si>
  <si>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</si>
  <si>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</si>
  <si>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</si>
  <si>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</si>
  <si>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</si>
  <si>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</si>
  <si>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</si>
  <si>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</si>
  <si>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</si>
  <si>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</si>
  <si>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</si>
  <si>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</si>
  <si>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</si>
  <si>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</si>
  <si>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</si>
  <si>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</si>
  <si>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</si>
  <si>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</si>
  <si>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</si>
  <si>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</si>
  <si>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</si>
  <si>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</si>
  <si>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</si>
  <si>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</si>
  <si>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</si>
  <si>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</si>
  <si>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</si>
  <si>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</si>
  <si>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</si>
  <si>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</si>
  <si>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</si>
  <si>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</si>
  <si>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</si>
  <si>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</si>
  <si>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</si>
  <si>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</si>
  <si>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</si>
  <si>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</si>
  <si>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</si>
  <si>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</si>
  <si>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</si>
  <si>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</si>
  <si>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</si>
  <si>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</si>
  <si>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</si>
  <si>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</si>
  <si>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</si>
  <si>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</si>
  <si>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</si>
  <si>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</si>
  <si>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</si>
  <si>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</si>
  <si>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</si>
  <si>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</si>
  <si>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</si>
  <si>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</si>
  <si>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</si>
  <si>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</si>
  <si>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</si>
  <si>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</si>
  <si>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</si>
  <si>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</si>
  <si>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</si>
  <si>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</si>
  <si>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</si>
  <si>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</si>
  <si>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</si>
  <si>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</si>
  <si>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</si>
  <si>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</si>
  <si>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</si>
  <si>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</si>
  <si>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</si>
  <si>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</si>
  <si>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</si>
  <si>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</si>
  <si>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</si>
  <si>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</si>
  <si>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</si>
  <si>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</si>
  <si>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</si>
  <si>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</si>
  <si>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</si>
  <si>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</si>
  <si>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</si>
  <si>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</si>
  <si>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</si>
  <si>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</si>
  <si>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</si>
  <si>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</si>
  <si>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</si>
  <si>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</si>
  <si>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</si>
  <si>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</si>
  <si>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</si>
  <si>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</si>
  <si>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</si>
  <si>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</si>
  <si>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</si>
  <si>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</si>
  <si>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</si>
  <si>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</si>
  <si>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</si>
  <si>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</si>
  <si>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</si>
  <si>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</si>
  <si>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</si>
  <si>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</si>
  <si>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</si>
  <si>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</si>
  <si>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</si>
  <si>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</si>
  <si>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</si>
  <si>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</si>
  <si>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</si>
  <si>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</si>
  <si>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</si>
  <si>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</si>
  <si>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</si>
  <si>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</si>
  <si>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</si>
  <si>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</si>
  <si>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</si>
  <si>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</si>
  <si>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</si>
  <si>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</si>
  <si>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</si>
  <si>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</si>
  <si>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</si>
  <si>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</si>
  <si>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</si>
  <si>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</si>
  <si>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</si>
  <si>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</si>
  <si>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</si>
  <si>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</si>
  <si>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</si>
  <si>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</si>
  <si>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</si>
  <si>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</si>
  <si>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</si>
  <si>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</si>
  <si>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</si>
  <si>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</si>
  <si>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</si>
  <si>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</si>
  <si>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</si>
  <si>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</si>
  <si>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</si>
  <si>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</si>
  <si>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</si>
  <si>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</si>
  <si>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</si>
  <si>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</si>
  <si>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</si>
  <si>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</si>
  <si>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</si>
  <si>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</si>
  <si>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</si>
  <si>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</si>
  <si>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</si>
  <si>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</si>
  <si>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</si>
  <si>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</si>
  <si>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</si>
  <si>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</si>
  <si>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</si>
  <si>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</si>
  <si>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</si>
  <si>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</si>
  <si>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</si>
  <si>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</si>
  <si>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</si>
  <si>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</si>
  <si>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</si>
  <si>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</si>
  <si>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</si>
  <si>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</si>
  <si>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</si>
  <si>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</si>
  <si>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</si>
  <si>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</si>
  <si>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</si>
  <si>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</si>
  <si>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</si>
  <si>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</si>
  <si>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</si>
  <si>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</si>
  <si>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</si>
  <si>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</si>
  <si>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</si>
  <si>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</si>
  <si>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</si>
  <si>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</si>
  <si>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</si>
  <si>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</si>
  <si>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</si>
  <si>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</si>
  <si>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</si>
  <si>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</si>
  <si>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</si>
  <si>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</si>
  <si>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</si>
  <si>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</si>
  <si>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</si>
  <si>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</si>
  <si>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</si>
  <si>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</si>
  <si>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</si>
  <si>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</si>
  <si>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</si>
  <si>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</si>
  <si>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</si>
  <si>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</si>
  <si>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</si>
  <si>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</si>
  <si>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</si>
  <si>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</si>
  <si>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</si>
  <si>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</si>
  <si>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</si>
  <si>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</si>
  <si>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</si>
  <si>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</si>
  <si>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</si>
  <si>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</si>
  <si>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</si>
  <si>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</si>
  <si>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</si>
  <si>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</si>
  <si>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</si>
  <si>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</si>
  <si>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</si>
  <si>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</si>
  <si>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</si>
  <si>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</si>
  <si>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</si>
  <si>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</si>
  <si>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</si>
  <si>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</si>
  <si>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</si>
  <si>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</si>
  <si>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</si>
  <si>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</si>
  <si>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</si>
  <si>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</si>
  <si>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</si>
  <si>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</si>
  <si>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</si>
  <si>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</si>
  <si>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</si>
  <si>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</si>
  <si>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</si>
  <si>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</si>
  <si>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</si>
  <si>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</si>
  <si>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</si>
  <si>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</si>
  <si>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</si>
  <si>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</si>
  <si>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</si>
  <si>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</si>
  <si>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</si>
  <si>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</si>
  <si>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</si>
  <si>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</si>
  <si>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</si>
  <si>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</si>
  <si>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</si>
  <si>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</si>
  <si>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</si>
  <si>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</si>
  <si>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</si>
  <si>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</si>
  <si>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</si>
  <si>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</si>
  <si>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</si>
  <si>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</si>
  <si>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</si>
  <si>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</si>
  <si>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</si>
  <si>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</si>
  <si>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</si>
  <si>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</si>
  <si>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</si>
  <si>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</si>
  <si>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</si>
  <si>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</si>
  <si>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</si>
  <si>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</si>
  <si>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</si>
  <si>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</si>
  <si>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</si>
  <si>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</si>
  <si>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</si>
  <si>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</si>
  <si>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</si>
  <si>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</si>
  <si>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</si>
  <si>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</si>
  <si>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</si>
  <si>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</si>
  <si>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</si>
  <si>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</si>
  <si>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</si>
  <si>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</si>
  <si>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</si>
  <si>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</si>
  <si>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</si>
  <si>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</si>
  <si>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</si>
  <si>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</si>
  <si>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</si>
  <si>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</si>
  <si>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</si>
  <si>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</si>
  <si>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</si>
  <si>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</si>
  <si>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</si>
  <si>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</si>
  <si>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</si>
  <si>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</si>
  <si>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</si>
  <si>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</si>
  <si>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</si>
  <si>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</si>
  <si>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</si>
  <si>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</si>
  <si>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</si>
  <si>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</si>
  <si>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</si>
  <si>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</si>
  <si>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</si>
  <si>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</si>
  <si>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</si>
  <si>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</si>
  <si>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</si>
  <si>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</si>
  <si>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</si>
  <si>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</si>
  <si>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</si>
  <si>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</si>
  <si>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</si>
  <si>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</si>
  <si>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</si>
  <si>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</si>
  <si>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</si>
  <si>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</si>
  <si>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</si>
  <si>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</si>
  <si>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</si>
  <si>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</si>
  <si>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</si>
  <si>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</si>
  <si>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</si>
  <si>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</si>
  <si>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</si>
  <si>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</si>
  <si>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</si>
  <si>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</si>
  <si>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</si>
  <si>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</si>
  <si>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</si>
  <si>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</si>
  <si>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</si>
  <si>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</si>
  <si>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</si>
  <si>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</si>
  <si>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</si>
  <si>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</si>
  <si>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</si>
  <si>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</si>
  <si>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</si>
  <si>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</si>
  <si>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</si>
  <si>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</si>
  <si>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</si>
  <si>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</si>
  <si>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</si>
  <si>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</si>
  <si>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</si>
  <si>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</si>
  <si>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</si>
  <si>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</si>
  <si>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</si>
  <si>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</si>
  <si>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</si>
  <si>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</si>
  <si>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</si>
  <si>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</si>
  <si>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</si>
  <si>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</si>
  <si>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</si>
  <si>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</si>
  <si>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</si>
  <si>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</si>
  <si>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</si>
  <si>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</si>
  <si>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</si>
  <si>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</si>
  <si>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</si>
  <si>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</si>
  <si>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</si>
  <si>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</si>
  <si>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</si>
  <si>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</si>
  <si>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</si>
  <si>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</si>
  <si>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</si>
  <si>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</si>
  <si>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</si>
  <si>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</si>
  <si>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</si>
  <si>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</si>
  <si>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</si>
  <si>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</si>
  <si>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</si>
  <si>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</si>
  <si>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</si>
  <si>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</si>
  <si>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</si>
  <si>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</si>
  <si>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</si>
  <si>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</si>
  <si>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</si>
  <si>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</si>
  <si>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</si>
  <si>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</si>
  <si>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</si>
  <si>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</si>
  <si>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</si>
  <si>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</si>
  <si>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</si>
  <si>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</si>
  <si>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</si>
  <si>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</si>
  <si>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</si>
  <si>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</si>
  <si>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</si>
  <si>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</si>
  <si>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</si>
  <si>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</si>
  <si>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</si>
  <si>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</si>
  <si>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</si>
  <si>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</si>
  <si>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</si>
  <si>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</si>
  <si>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</si>
  <si>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</si>
  <si>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</si>
  <si>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</si>
  <si>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</si>
  <si>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</si>
  <si>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</si>
  <si>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</si>
  <si>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</si>
  <si>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</si>
  <si>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</si>
  <si>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</si>
  <si>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</si>
  <si>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</si>
  <si>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</si>
  <si>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</si>
  <si>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</si>
  <si>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</si>
  <si>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</si>
  <si>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</si>
  <si>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</si>
  <si>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</si>
  <si>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</si>
  <si>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</si>
  <si>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</si>
  <si>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</si>
  <si>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</si>
  <si>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</si>
  <si>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</si>
  <si>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</si>
  <si>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</si>
  <si>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</si>
  <si>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</si>
  <si>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</si>
  <si>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</si>
  <si>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</si>
  <si>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</si>
  <si>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</si>
  <si>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</si>
  <si>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</si>
  <si>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</si>
  <si>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</si>
  <si>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</si>
  <si>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</si>
  <si>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</si>
  <si>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</si>
  <si>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</si>
  <si>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</si>
  <si>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</si>
  <si>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</si>
  <si>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</si>
  <si>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</si>
  <si>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</si>
  <si>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</si>
  <si>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</si>
  <si>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</si>
  <si>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</si>
  <si>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</si>
  <si>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</si>
  <si>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</si>
  <si>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</si>
  <si>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</si>
  <si>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</si>
  <si>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</si>
  <si>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</si>
  <si>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</si>
  <si>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</si>
  <si>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</si>
  <si>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</si>
  <si>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</si>
  <si>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</si>
  <si>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</si>
  <si>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</si>
  <si>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</si>
  <si>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</si>
  <si>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</si>
  <si>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</si>
  <si>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</si>
  <si>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</si>
  <si>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</si>
  <si>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</si>
  <si>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</si>
  <si>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</si>
  <si>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</si>
  <si>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</si>
  <si>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</si>
  <si>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</si>
  <si>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</si>
  <si>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</si>
  <si>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</si>
  <si>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</si>
  <si>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</si>
  <si>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</si>
  <si>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</si>
  <si>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</si>
  <si>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</si>
  <si>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</si>
  <si>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</si>
  <si>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</si>
  <si>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</si>
  <si>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</si>
  <si>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</si>
  <si>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</si>
  <si>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</si>
  <si>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</si>
  <si>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</si>
  <si>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</si>
  <si>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</si>
  <si>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</si>
  <si>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</si>
  <si>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</si>
  <si>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</si>
  <si>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</si>
  <si>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</si>
  <si>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</si>
  <si>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</si>
  <si>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</si>
  <si>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</si>
  <si>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</si>
  <si>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</si>
  <si>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</si>
  <si>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</si>
  <si>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</si>
  <si>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</si>
  <si>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</si>
  <si>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</si>
  <si>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</si>
  <si>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</si>
  <si>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</si>
  <si>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</si>
  <si>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</si>
  <si>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</si>
  <si>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</si>
  <si>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</si>
  <si>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</si>
  <si>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</si>
  <si>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</si>
  <si>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</si>
  <si>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</si>
  <si>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</si>
  <si>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</si>
  <si>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</si>
  <si>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</si>
  <si>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</si>
  <si>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</si>
  <si>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</si>
  <si>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</si>
  <si>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</si>
  <si>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</si>
  <si>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</si>
  <si>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</si>
  <si>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</si>
  <si>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</si>
  <si>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</si>
  <si>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</si>
  <si>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</si>
  <si>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</si>
  <si>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</si>
  <si>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</si>
  <si>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</si>
  <si>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</si>
  <si>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</si>
  <si>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</si>
  <si>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</si>
  <si>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</si>
  <si>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</si>
  <si>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</si>
  <si>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</si>
  <si>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</si>
  <si>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</si>
  <si>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</si>
  <si>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</si>
  <si>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</si>
  <si>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</si>
  <si>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</si>
  <si>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</si>
  <si>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</si>
  <si>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</si>
  <si>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</si>
  <si>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</si>
  <si>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</si>
  <si>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</si>
  <si>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</si>
  <si>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</si>
  <si>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</si>
  <si>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</si>
  <si>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</si>
  <si>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</si>
  <si>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</si>
  <si>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</si>
  <si>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</si>
  <si>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</si>
  <si>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</si>
  <si>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</si>
  <si>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</si>
  <si>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</si>
  <si>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</si>
  <si>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</si>
  <si>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</si>
  <si>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</si>
  <si>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</si>
  <si>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</si>
  <si>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</si>
  <si>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</si>
  <si>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</si>
  <si>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</si>
  <si>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</si>
  <si>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</si>
  <si>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</si>
  <si>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</si>
  <si>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</si>
  <si>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</si>
  <si>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</si>
  <si>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</si>
  <si>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</si>
  <si>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</si>
  <si>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</si>
  <si>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</si>
  <si>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</si>
  <si>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</si>
  <si>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</si>
  <si>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</si>
  <si>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</si>
  <si>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</si>
  <si>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</si>
  <si>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</si>
  <si>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</si>
  <si>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</si>
  <si>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</si>
  <si>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</si>
  <si>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</si>
  <si>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</si>
  <si>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</si>
  <si>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</si>
  <si>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</si>
  <si>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</si>
  <si>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</si>
  <si>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</si>
  <si>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</si>
  <si>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</si>
  <si>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</si>
  <si>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</si>
  <si>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</si>
  <si>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</si>
  <si>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</si>
  <si>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</si>
  <si>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</si>
  <si>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</si>
  <si>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</si>
  <si>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</si>
  <si>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</si>
  <si>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</si>
  <si>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</si>
  <si>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</si>
  <si>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</si>
  <si>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</si>
  <si>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</si>
  <si>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</si>
  <si>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</si>
  <si>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</si>
  <si>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</si>
  <si>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</si>
  <si>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</si>
  <si>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</si>
  <si>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</si>
  <si>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</si>
  <si>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</si>
  <si>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</si>
  <si>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</si>
  <si>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</si>
  <si>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</si>
  <si>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</si>
  <si>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</si>
  <si>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</si>
  <si>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</si>
  <si>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</si>
  <si>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</si>
  <si>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</si>
  <si>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</si>
  <si>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</si>
  <si>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</si>
  <si>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</si>
  <si>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</si>
  <si>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</si>
  <si>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</si>
  <si>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</si>
  <si>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</si>
  <si>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</si>
  <si>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</si>
  <si>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</si>
  <si>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</si>
  <si>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</si>
  <si>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</si>
  <si>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</si>
  <si>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</si>
  <si>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</si>
  <si>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</si>
  <si>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</si>
  <si>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</si>
  <si>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</si>
  <si>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</si>
  <si>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</si>
  <si>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</si>
  <si>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</si>
  <si>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</si>
  <si>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</si>
  <si>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</si>
  <si>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</si>
  <si>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</si>
  <si>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</si>
  <si>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</si>
  <si>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</si>
  <si>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</si>
  <si>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</si>
  <si>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</si>
  <si>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</si>
  <si>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</si>
  <si>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</si>
  <si>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</si>
  <si>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</si>
  <si>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</si>
  <si>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</si>
  <si>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</si>
  <si>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</si>
  <si>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</si>
  <si>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</si>
  <si>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</si>
  <si>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</si>
  <si>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</si>
  <si>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</si>
  <si>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</si>
  <si>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</si>
  <si>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</si>
  <si>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</si>
  <si>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</si>
  <si>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</si>
  <si>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</si>
  <si>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</si>
  <si>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</si>
  <si>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</si>
  <si>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</si>
  <si>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</si>
  <si>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</si>
  <si>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</si>
  <si>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</si>
  <si>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</si>
  <si>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</si>
  <si>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</si>
  <si>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</si>
  <si>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</si>
  <si>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</si>
  <si>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</si>
  <si>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</si>
  <si>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</si>
  <si>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</si>
  <si>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</si>
  <si>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</si>
  <si>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</si>
  <si>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</si>
  <si>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</si>
  <si>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</si>
  <si>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</si>
  <si>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</si>
  <si>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</si>
  <si>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</si>
  <si>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</si>
  <si>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</si>
  <si>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</si>
  <si>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</si>
  <si>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</si>
  <si>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</si>
  <si>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</si>
  <si>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</si>
  <si>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</si>
  <si>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</si>
  <si>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</si>
  <si>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</si>
  <si>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</si>
  <si>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</si>
  <si>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</si>
  <si>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</si>
  <si>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</si>
  <si>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</si>
  <si>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</si>
  <si>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</si>
  <si>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</si>
  <si>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</si>
  <si>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</si>
  <si>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</si>
  <si>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</si>
  <si>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</si>
  <si>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</si>
  <si>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</si>
  <si>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</si>
  <si>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</si>
  <si>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</si>
  <si>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</si>
  <si>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</si>
  <si>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</si>
  <si>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</si>
  <si>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</si>
  <si>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</si>
  <si>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</si>
  <si>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</si>
  <si>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</si>
  <si>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</si>
  <si>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</si>
  <si>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</si>
  <si>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</si>
  <si>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</si>
  <si>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</si>
  <si>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</si>
  <si>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</si>
  <si>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</si>
  <si>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</si>
  <si>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</si>
  <si>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</si>
  <si>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</si>
  <si>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</si>
  <si>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</si>
  <si>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</si>
  <si>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</si>
  <si>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</si>
  <si>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</si>
  <si>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</si>
  <si>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</si>
  <si>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</si>
  <si>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</si>
  <si>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</si>
  <si>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</si>
  <si>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</si>
  <si>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</si>
  <si>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</si>
  <si>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</si>
  <si>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</si>
  <si>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</si>
  <si>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</si>
  <si>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</si>
  <si>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</si>
  <si>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</si>
  <si>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</si>
  <si>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</si>
  <si>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</si>
  <si>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</si>
  <si>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</si>
  <si>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</si>
  <si>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</si>
  <si>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</si>
  <si>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</si>
  <si>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</si>
  <si>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</si>
  <si>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</si>
  <si>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</si>
  <si>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</si>
  <si>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</si>
  <si>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</si>
  <si>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</si>
  <si>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</si>
  <si>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</si>
  <si>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</si>
  <si>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</si>
  <si>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</si>
  <si>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</si>
  <si>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</si>
  <si>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</si>
  <si>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</si>
  <si>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</si>
  <si>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</si>
  <si>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</si>
  <si>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</si>
  <si>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</si>
  <si>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</si>
  <si>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</si>
  <si>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</si>
  <si>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</si>
  <si>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</si>
  <si>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</si>
  <si>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</si>
  <si>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</si>
  <si>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</si>
  <si>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</si>
  <si>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</si>
  <si>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</si>
  <si>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</si>
  <si>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</si>
  <si>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</si>
  <si>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</si>
  <si>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</si>
  <si>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</si>
  <si>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</si>
  <si>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</si>
  <si>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</si>
  <si>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</si>
  <si>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</si>
  <si>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</si>
  <si>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</si>
  <si>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</si>
  <si>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</si>
  <si>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</si>
  <si>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</si>
  <si>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</si>
  <si>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</si>
  <si>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</si>
  <si>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</si>
  <si>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</si>
  <si>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</si>
  <si>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</si>
  <si>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</si>
  <si>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</si>
  <si>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</si>
  <si>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</si>
  <si>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</si>
  <si>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</si>
  <si>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</si>
  <si>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</si>
  <si>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</si>
  <si>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</si>
  <si>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</si>
  <si>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</si>
  <si>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</si>
  <si>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</si>
  <si>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</si>
  <si>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</si>
  <si>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</si>
  <si>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</si>
  <si>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</si>
  <si>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</si>
  <si>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</si>
  <si>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</si>
  <si>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</si>
  <si>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</si>
  <si>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</si>
  <si>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</si>
  <si>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</si>
  <si>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</si>
  <si>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</si>
  <si>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</si>
  <si>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</si>
  <si>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</si>
  <si>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</si>
  <si>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</si>
  <si>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</si>
  <si>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</si>
  <si>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</si>
  <si>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</si>
  <si>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</si>
  <si>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</si>
  <si>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</si>
  <si>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</si>
  <si>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</si>
  <si>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</si>
  <si>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</si>
  <si>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</si>
  <si>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</si>
  <si>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</si>
  <si>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</si>
  <si>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</si>
  <si>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</si>
  <si>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</si>
  <si>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</si>
  <si>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</si>
  <si>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</si>
  <si>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</si>
  <si>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</si>
  <si>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</si>
  <si>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</si>
  <si>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</si>
  <si>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</si>
  <si>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</si>
  <si>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</si>
  <si>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</si>
  <si>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</si>
  <si>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</si>
  <si>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</si>
  <si>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</si>
  <si>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</si>
  <si>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</si>
  <si>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</si>
  <si>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</si>
  <si>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</si>
  <si>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</si>
  <si>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</si>
  <si>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</si>
  <si>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</si>
  <si>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</si>
  <si>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</si>
  <si>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</si>
  <si>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</si>
  <si>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</si>
  <si>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</si>
  <si>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</si>
  <si>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</si>
  <si>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</si>
  <si>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</si>
  <si>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</si>
  <si>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6611 W.171ST STREET</t>
  </si>
  <si>
    <t>TINLEY PARK</t>
  </si>
  <si>
    <t>JCHARLESTON@DISTRICT146.ORG</t>
  </si>
  <si>
    <t>X</t>
  </si>
  <si>
    <t xml:space="preserve">DR. JEFF STAWICK </t>
  </si>
  <si>
    <t>JSTAWICK@DISTRICT146.ORG</t>
  </si>
  <si>
    <t>708-614-4500</t>
  </si>
  <si>
    <t>708-614-8892</t>
  </si>
  <si>
    <t>ED MCCORMICK</t>
  </si>
  <si>
    <t xml:space="preserve">14300 RAVINIA AVE. </t>
  </si>
  <si>
    <t xml:space="preserve">ORLAND PARK </t>
  </si>
  <si>
    <t>IL</t>
  </si>
  <si>
    <t>708-349-6999</t>
  </si>
  <si>
    <t>708-349-6639</t>
  </si>
  <si>
    <t>N/A</t>
  </si>
  <si>
    <r>
      <t xml:space="preserve">The accompanying Schedule of Expenditures of Federal Awards includes the federal grant activity of </t>
    </r>
    <r>
      <rPr>
        <b/>
        <sz val="9"/>
        <rFont val="Calibri"/>
        <family val="2"/>
        <scheme val="minor"/>
      </rPr>
      <t>Community Consolidated School District 146</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</si>
  <si>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Community Consolidated School District 146</t>
    </r>
    <r>
      <rPr>
        <sz val="9"/>
        <rFont val="Calibri"/>
        <family val="2"/>
        <scheme val="minor"/>
      </rPr>
      <t xml:space="preserve"> provided federal awards to subrecipients as follows:</t>
    </r>
  </si>
  <si>
    <t>NONE</t>
  </si>
  <si>
    <t>U.S. Department of Education</t>
  </si>
  <si>
    <t xml:space="preserve">  Passed Through Illinois State Board of Education:</t>
  </si>
  <si>
    <t xml:space="preserve">    Title I - Low Income</t>
  </si>
  <si>
    <t xml:space="preserve">    Title I - Teacher Quality</t>
  </si>
  <si>
    <t xml:space="preserve">    Title III - Language Instruction Program</t>
  </si>
  <si>
    <t xml:space="preserve">    Title III - Immigrant Education</t>
  </si>
  <si>
    <t xml:space="preserve">      Total Illinois State Board of Education </t>
  </si>
  <si>
    <t xml:space="preserve">  Passed Through Southwest Cook County Cooperative Association for Special Education (SWCASE)</t>
  </si>
  <si>
    <t xml:space="preserve">    IDEA Flow Through</t>
  </si>
  <si>
    <t xml:space="preserve">    Pre-School Flow Through</t>
  </si>
  <si>
    <t xml:space="preserve">      Total SWCASE</t>
  </si>
  <si>
    <t xml:space="preserve">                                 Total U.S. Department of Education</t>
  </si>
  <si>
    <t>U.S. Department of Agriculture:</t>
  </si>
  <si>
    <t xml:space="preserve">  Passed through Illinois State Board of Education:</t>
  </si>
  <si>
    <t xml:space="preserve">    National School Lunch Program</t>
  </si>
  <si>
    <t>17-4210</t>
  </si>
  <si>
    <t xml:space="preserve">    Special Milk Program</t>
  </si>
  <si>
    <t>17-4215</t>
  </si>
  <si>
    <t xml:space="preserve">    School Breakfast Program</t>
  </si>
  <si>
    <t>17-4220</t>
  </si>
  <si>
    <t xml:space="preserve">    Commodities (noncash)</t>
  </si>
  <si>
    <t xml:space="preserve">    DoD Fruits &amp; Vegetables - Commodities (noncash)</t>
  </si>
  <si>
    <t xml:space="preserve">                               Total U.S. Department of Agriculture</t>
  </si>
  <si>
    <t>U.S. Department of Health and Human Services:</t>
  </si>
  <si>
    <t xml:space="preserve">  Passed through Illinois Department of Healthcare and Family Services:</t>
  </si>
  <si>
    <t xml:space="preserve">    Medicaid Administrative Outreach</t>
  </si>
  <si>
    <t>Total Federal Awards</t>
  </si>
  <si>
    <t>18-4300</t>
  </si>
  <si>
    <t>18-4932</t>
  </si>
  <si>
    <t xml:space="preserve">    Title IIVA - Student Support &amp; Academic Enrichment</t>
  </si>
  <si>
    <t>18-4400</t>
  </si>
  <si>
    <t>18-4909</t>
  </si>
  <si>
    <t>18-4905</t>
  </si>
  <si>
    <t>18-4620</t>
  </si>
  <si>
    <t>18-4600</t>
  </si>
  <si>
    <t>18-4210</t>
  </si>
  <si>
    <t>18-4215</t>
  </si>
  <si>
    <t>18-4220</t>
  </si>
  <si>
    <t>UNMODIFIED</t>
  </si>
  <si>
    <t>Preparation of financial statements.</t>
  </si>
  <si>
    <t>Management relies on its audit firm to prepare full financial statements in accordance with GASB Statement 34.</t>
  </si>
  <si>
    <t>Material adjusting journal entries were made to finalize the year end financial statements.</t>
  </si>
  <si>
    <t>Users of interim financial statements are not viewing accurate and timely information.</t>
  </si>
  <si>
    <t>Month end closing procedures do not include steps to accumulate and record accrual basis information.</t>
  </si>
  <si>
    <t>Management should implement procedures to record month end accrual basis information.</t>
  </si>
  <si>
    <t>Management disagrees with the recommendation.</t>
  </si>
  <si>
    <t>Closing procedures do not include steps to accumulate and record GASB Statement 34 conversion adjustments.</t>
  </si>
  <si>
    <t>Generally Accepted Accounting Principles require records to be kept on the accrual basis of accounting.</t>
  </si>
  <si>
    <t>Users of interim financial statements are not viewing statements in accordance with GASB Statement 34.</t>
  </si>
  <si>
    <t>Management should implement procedures to record GASB Statement 34 adjustments.</t>
  </si>
  <si>
    <t>All Federal Programs</t>
  </si>
  <si>
    <t>Preparation of financial statements.  Refer to financial statement finding #2018-001.</t>
  </si>
  <si>
    <t>Generally Accepted Accounting Principles require records to be kept on the accrual basis of accounting.  Refer to financial statement finding #2018-002.</t>
  </si>
  <si>
    <t>2017-001</t>
  </si>
  <si>
    <t>Management relies on its audit firm to prepare full financial statements in</t>
  </si>
  <si>
    <t>accordance with GASB Statement 34.</t>
  </si>
  <si>
    <t>Repeated as 2018-001</t>
  </si>
  <si>
    <t>2017-002</t>
  </si>
  <si>
    <t>The District's records are kept on the cash basis during the year and</t>
  </si>
  <si>
    <t>converted to accrual basis at year end with audit adjustments.</t>
  </si>
  <si>
    <t>Repeated as 2018-002</t>
  </si>
  <si>
    <t>2017-003</t>
  </si>
  <si>
    <t>Repeated as 2018-003</t>
  </si>
  <si>
    <t>2017-004</t>
  </si>
  <si>
    <t>Repeated as 2018-004</t>
  </si>
  <si>
    <t xml:space="preserve">Mueller &amp; Co., LLP </t>
  </si>
  <si>
    <t>Ed McCormick &lt;emccormick@muellercpa.com&gt;</t>
  </si>
  <si>
    <t>x</t>
  </si>
  <si>
    <t>Educational Benefit Cooperative</t>
  </si>
  <si>
    <t xml:space="preserve">Illinois Energy Consrtium </t>
  </si>
  <si>
    <t>Orland School District 135</t>
  </si>
  <si>
    <t>Illinois School Insurance Cooperative</t>
  </si>
  <si>
    <t xml:space="preserve">Southwest Cooperative </t>
  </si>
  <si>
    <t>South Suburban School Purchasing Cooperative</t>
  </si>
  <si>
    <t>Total U.S. Department of Health and Human Services</t>
  </si>
  <si>
    <t>066-003328</t>
  </si>
  <si>
    <t>GO Bonds</t>
  </si>
  <si>
    <t>Education Fund Acc#1790 - $15 (Library fines)</t>
  </si>
  <si>
    <t>Education Fund Acc#1999 - $143,949 (Other local revenue)</t>
  </si>
  <si>
    <t>Education Fund Acc#2900 - $249 (Other support services)</t>
  </si>
  <si>
    <t>O&amp;M Fund Acc#1999 - $6,928 (Other local revenue)</t>
  </si>
  <si>
    <t>Education Fund Acc#3299 - $3,155 (Library Grant)</t>
  </si>
  <si>
    <t>rounding</t>
  </si>
  <si>
    <t>CALL ONE</t>
  </si>
  <si>
    <t>DLA ARCHITECTS, LTD</t>
  </si>
  <si>
    <t>HORTON GROUP</t>
  </si>
  <si>
    <t>MARTIN WHALEN</t>
  </si>
  <si>
    <t>ORLAND SCHOOL DISTRICT 135</t>
  </si>
  <si>
    <t>PETERS &amp; ASSOCIATES</t>
  </si>
  <si>
    <t>PRECISION CONTROL SYSTEMS</t>
  </si>
  <si>
    <t>SUNRISE SOUTHWEST</t>
  </si>
  <si>
    <t>TYCO INTEGRATED SECURITY</t>
  </si>
  <si>
    <t>#20 - see findings 2018-001 - 2018-004</t>
  </si>
  <si>
    <t>Mueller &amp; Co. LLP</t>
  </si>
  <si>
    <t>1,4</t>
  </si>
  <si>
    <r>
      <t xml:space="preserve">The following amounts were expended in the form of non-cash assistance by </t>
    </r>
    <r>
      <rPr>
        <b/>
        <sz val="9"/>
        <rFont val="Calibri"/>
        <family val="2"/>
        <scheme val="minor"/>
      </rPr>
      <t>Community Consolidated School District 146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</si>
  <si>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National School Lunch</t>
  </si>
  <si>
    <t>School Breakfast</t>
  </si>
  <si>
    <t>Special Milk</t>
  </si>
  <si>
    <t>The District's records are kept on the cash basis during the year and converted to accrual basis at year end with audit adjustments.</t>
  </si>
  <si>
    <t>OM-OM-Communication</t>
  </si>
  <si>
    <t>CAP - Building Construction - Professional Services</t>
  </si>
  <si>
    <t>ED - BOE - Professional Services</t>
  </si>
  <si>
    <t>ECRA GROUP</t>
  </si>
  <si>
    <t>ED - Staff Services - Professional Services</t>
  </si>
  <si>
    <t>ED - Elementary - Supplies</t>
  </si>
  <si>
    <t>ED - BOE - Audit &amp; Financials Services</t>
  </si>
  <si>
    <t>MULCAHY, PAURITSCH, SALVADOR &amp; CO</t>
  </si>
  <si>
    <t>ED - Food Services - Supplies</t>
  </si>
  <si>
    <t>ED - Elementary - Equipment Repair</t>
  </si>
  <si>
    <t>OM - OM - Equipment Repair</t>
  </si>
  <si>
    <t>Transportation - Pupil Transportation - Pupil Trans.</t>
  </si>
  <si>
    <t>OM - Security Services - Equip Repair</t>
  </si>
  <si>
    <t>OM - OM - Natural Gas</t>
  </si>
  <si>
    <t>VANGUARD ENERGY SERVICES</t>
  </si>
  <si>
    <t>20-2540-300</t>
  </si>
  <si>
    <t>10-2640-300</t>
  </si>
  <si>
    <t>10-2560-400</t>
  </si>
  <si>
    <t>40-2550-300</t>
  </si>
  <si>
    <t>20-2540-400</t>
  </si>
  <si>
    <t>CCSD 146 Tinley Park</t>
  </si>
  <si>
    <t>60-2530-300</t>
  </si>
  <si>
    <t>10-2300-300</t>
  </si>
  <si>
    <t>10-1000-400</t>
  </si>
  <si>
    <t>10-1000-300</t>
  </si>
  <si>
    <t>20-2900-300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</si>
</sst>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68">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53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8" fillId="0" borderId="2" xfId="12" applyNumberFormat="1" applyFont="1" applyBorder="1" applyAlignment="1" applyProtection="1">
      <alignment horizontal="center" vertical="center"/>
      <protection locked="0"/>
    </xf>
    <xf numFmtId="0" fontId="31" fillId="0" borderId="126" xfId="2" applyBorder="1" applyAlignment="1" applyProtection="1">
      <protection locked="0"/>
    </xf>
    <xf numFmtId="0" fontId="14" fillId="0" borderId="129" xfId="0" applyFont="1" applyBorder="1" applyProtection="1">
      <protection locked="0"/>
    </xf>
    <xf numFmtId="0" fontId="14" fillId="0" borderId="127" xfId="0" applyFont="1" applyBorder="1" applyProtection="1">
      <protection locked="0"/>
    </xf>
    <xf numFmtId="3"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3"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0" fillId="0" borderId="8" xfId="3" applyNumberFormat="1" applyFont="1" applyBorder="1" applyAlignment="1" applyProtection="1">
      <alignment horizontal="center"/>
      <protection locked="0"/>
    </xf>
    <xf numFmtId="3" fontId="9" fillId="0" borderId="22" xfId="3" applyNumberFormat="1" applyFont="1" applyFill="1" applyBorder="1" applyAlignment="1" applyProtection="1">
      <alignment horizontal="center"/>
      <protection locked="0"/>
    </xf>
    <xf numFmtId="3" fontId="10" fillId="0" borderId="22" xfId="3" applyNumberFormat="1" applyFont="1" applyBorder="1" applyAlignment="1" applyProtection="1">
      <alignment horizontal="right" vertical="center" wrapText="1"/>
      <protection locked="0"/>
    </xf>
    <xf numFmtId="3" fontId="10" fillId="0" borderId="22" xfId="3" applyNumberFormat="1" applyFont="1" applyBorder="1" applyAlignment="1" applyProtection="1">
      <alignment horizontal="right" vertical="center"/>
      <protection locked="0"/>
    </xf>
    <xf numFmtId="0" fontId="11" fillId="0" borderId="0" xfId="3" applyFont="1" applyAlignment="1" applyProtection="1">
      <alignment textRotation="180" wrapText="1"/>
    </xf>
    <xf numFmtId="0" fontId="11" fillId="0" borderId="0" xfId="3" applyFont="1" applyProtection="1"/>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0" fontId="55" fillId="0" borderId="78" xfId="3"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11" fillId="0" borderId="126" xfId="12" applyNumberFormat="1"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9"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7" xfId="12" applyNumberFormat="1" applyFont="1" applyBorder="1" applyAlignment="1" applyProtection="1">
      <alignment horizontal="center"/>
    </xf>
    <xf numFmtId="0" fontId="11" fillId="0" borderId="20" xfId="0" applyNumberFormat="1" applyFont="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1" fillId="0" borderId="126" xfId="12" applyNumberFormat="1" applyFont="1" applyFill="1" applyBorder="1" applyAlignment="1" applyProtection="1">
      <alignment horizontal="left" vertical="center" indent="1"/>
      <protection locked="0"/>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0" fontId="11" fillId="0" borderId="126"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126" xfId="2" applyNumberFormat="1" applyFont="1" applyBorder="1" applyAlignment="1" applyProtection="1">
      <alignment horizontal="left" vertical="center" indent="1"/>
      <protection locked="0"/>
    </xf>
    <xf numFmtId="0" fontId="42" fillId="0" borderId="129" xfId="2" applyNumberFormat="1" applyFont="1" applyBorder="1" applyAlignment="1" applyProtection="1">
      <alignment horizontal="left" vertical="center" indent="1"/>
      <protection locked="0"/>
    </xf>
    <xf numFmtId="0" fontId="42" fillId="0" borderId="129" xfId="2" applyFont="1" applyBorder="1" applyAlignment="1" applyProtection="1">
      <alignment horizontal="left" vertical="center" indent="1"/>
      <protection locked="0"/>
    </xf>
    <xf numFmtId="0" fontId="18" fillId="0" borderId="129" xfId="0" applyFont="1" applyBorder="1" applyAlignment="1" applyProtection="1">
      <alignment horizontal="left" vertical="center" indent="1"/>
      <protection locked="0"/>
    </xf>
    <xf numFmtId="0" fontId="18" fillId="0" borderId="127"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1" fillId="0" borderId="18" xfId="0" applyFont="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0" fontId="11" fillId="0" borderId="129" xfId="12" applyNumberFormat="1" applyFont="1" applyFill="1" applyBorder="1" applyAlignment="1" applyProtection="1">
      <alignment horizontal="left" vertical="center" indent="1"/>
      <protection locked="0"/>
    </xf>
    <xf numFmtId="0" fontId="11" fillId="0" borderId="127" xfId="12" applyNumberFormat="1" applyFont="1" applyFill="1" applyBorder="1" applyAlignment="1" applyProtection="1">
      <alignment horizontal="left" vertical="center" indent="1"/>
      <protection locked="0"/>
    </xf>
    <xf numFmtId="49" fontId="33" fillId="0" borderId="126" xfId="2" applyNumberFormat="1" applyFont="1" applyFill="1" applyBorder="1" applyAlignment="1" applyProtection="1">
      <alignment horizontal="left" vertical="center" indent="1"/>
      <protection locked="0"/>
    </xf>
    <xf numFmtId="49" fontId="35" fillId="0" borderId="129" xfId="0" applyNumberFormat="1" applyFont="1" applyBorder="1" applyAlignment="1" applyProtection="1">
      <alignment horizontal="left" vertical="center" indent="1"/>
      <protection locked="0"/>
    </xf>
    <xf numFmtId="49" fontId="35" fillId="0" borderId="127" xfId="0"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8" fillId="0" borderId="129" xfId="0" applyFont="1" applyBorder="1" applyAlignment="1" applyProtection="1">
      <alignment vertical="center"/>
      <protection locked="0"/>
    </xf>
    <xf numFmtId="0" fontId="8" fillId="0" borderId="127" xfId="0" applyFont="1" applyBorder="1" applyAlignment="1" applyProtection="1">
      <alignment vertical="center"/>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8" fillId="0" borderId="0" xfId="3" applyAlignment="1" applyProtection="1">
      <alignment horizontal="left" vertical="top" wrapText="1"/>
      <protection locked="0"/>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68">
    <cellStyle name="Comma" xfId="1" builtinId="3"/>
    <cellStyle name="Comma 2" xfId="62"/>
    <cellStyle name="Hyperlink" xfId="2" builtinId="8"/>
    <cellStyle name="Hyperlink 2" xfId="15"/>
    <cellStyle name="Normal" xfId="0" builtinId="0"/>
    <cellStyle name="Normal 10" xfId="25"/>
    <cellStyle name="Normal 11" xfId="26"/>
    <cellStyle name="Normal 12" xfId="27"/>
    <cellStyle name="Normal 2" xfId="3"/>
    <cellStyle name="Normal 3" xfId="4"/>
    <cellStyle name="Normal 3 10" xfId="19"/>
    <cellStyle name="Normal 3 2" xfId="14"/>
    <cellStyle name="Normal 3 2 2" xfId="18"/>
    <cellStyle name="Normal 3 2 2 2" xfId="29"/>
    <cellStyle name="Normal 3 2 3" xfId="23"/>
    <cellStyle name="Normal 3 2 3 2" xfId="51"/>
    <cellStyle name="Normal 3 2 4" xfId="40"/>
    <cellStyle name="Normal 3 2 4 2" xfId="54"/>
    <cellStyle name="Normal 3 2 5" xfId="49"/>
    <cellStyle name="Normal 3 2 6" xfId="20"/>
    <cellStyle name="Normal 3 3" xfId="28"/>
    <cellStyle name="Normal 3 3 2" xfId="37"/>
    <cellStyle name="Normal 3 3 2 2" xfId="45"/>
    <cellStyle name="Normal 3 3 2 2 2" xfId="66"/>
    <cellStyle name="Normal 3 3 2 3" xfId="59"/>
    <cellStyle name="Normal 3 3 3" xfId="42"/>
    <cellStyle name="Normal 3 3 3 2" xfId="55"/>
    <cellStyle name="Normal 3 3 4" xfId="53"/>
    <cellStyle name="Normal 3 4" xfId="35"/>
    <cellStyle name="Normal 3 4 2" xfId="38"/>
    <cellStyle name="Normal 3 4 2 2" xfId="46"/>
    <cellStyle name="Normal 3 4 2 2 2" xfId="67"/>
    <cellStyle name="Normal 3 4 2 3" xfId="60"/>
    <cellStyle name="Normal 3 4 3" xfId="43"/>
    <cellStyle name="Normal 3 4 3 2" xfId="64"/>
    <cellStyle name="Normal 3 4 4" xfId="57"/>
    <cellStyle name="Normal 3 5" xfId="24"/>
    <cellStyle name="Normal 3 5 2" xfId="41"/>
    <cellStyle name="Normal 3 5 2 2" xfId="56"/>
    <cellStyle name="Normal 3 5 3" xfId="50"/>
    <cellStyle name="Normal 3 6" xfId="36"/>
    <cellStyle name="Normal 3 6 2" xfId="44"/>
    <cellStyle name="Normal 3 6 2 2" xfId="65"/>
    <cellStyle name="Normal 3 6 3" xfId="58"/>
    <cellStyle name="Normal 3 7" xfId="22"/>
    <cellStyle name="Normal 3 7 2" xfId="52"/>
    <cellStyle name="Normal 3 8" xfId="39"/>
    <cellStyle name="Normal 3 8 2" xfId="63"/>
    <cellStyle name="Normal 3 9" xfId="47"/>
    <cellStyle name="Normal 4" xfId="16"/>
    <cellStyle name="Normal 4 2" xfId="30"/>
    <cellStyle name="Normal 4 3" xfId="48"/>
    <cellStyle name="Normal 4 4" xfId="21"/>
    <cellStyle name="Normal 5" xfId="17"/>
    <cellStyle name="Normal 5 2" xfId="31"/>
    <cellStyle name="Normal 6" xfId="32"/>
    <cellStyle name="Normal 7" xfId="33"/>
    <cellStyle name="Normal 8" xfId="61"/>
    <cellStyle name="Normal 9" xfId="3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619125</xdr:colOff>
          <xdr:row>4</xdr:row>
          <xdr:rowOff>19050</xdr:rowOff>
        </xdr:from>
        <xdr:to>
          <xdr:col>1</xdr:col>
          <xdr:colOff>1485900</xdr:colOff>
          <xdr:row>8</xdr:row>
          <xdr:rowOff>76200</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4" t="s">
        <v>425</v>
      </c>
      <c r="J1" s="2045"/>
      <c r="K1" s="2045"/>
      <c r="L1" s="2045"/>
      <c r="M1" s="2045"/>
      <c r="N1" s="2045"/>
      <c r="O1" s="2045"/>
      <c r="P1" s="2045"/>
      <c r="Q1" s="2045"/>
      <c r="R1" s="2045"/>
      <c r="S1" s="2045"/>
    </row>
    <row r="2" spans="1:28" ht="12" customHeight="1" x14ac:dyDescent="0.2">
      <c r="A2" s="47" t="s">
        <v>1684</v>
      </c>
      <c r="D2" s="48"/>
      <c r="I2" s="2046" t="s">
        <v>1036</v>
      </c>
      <c r="J2" s="2045"/>
      <c r="K2" s="2045"/>
      <c r="L2" s="2045"/>
      <c r="M2" s="2045"/>
      <c r="N2" s="2045"/>
      <c r="O2" s="2045"/>
      <c r="P2" s="2045"/>
      <c r="Q2" s="2045"/>
      <c r="R2" s="2045"/>
      <c r="S2" s="2045"/>
    </row>
    <row r="3" spans="1:28" ht="12" customHeight="1" x14ac:dyDescent="0.2">
      <c r="A3" s="155" t="s">
        <v>1685</v>
      </c>
      <c r="B3" s="156"/>
      <c r="C3" s="156"/>
      <c r="D3" s="157"/>
      <c r="I3" s="2046" t="s">
        <v>54</v>
      </c>
      <c r="J3" s="2045"/>
      <c r="K3" s="2045"/>
      <c r="L3" s="2045"/>
      <c r="M3" s="2045"/>
      <c r="N3" s="2045"/>
      <c r="O3" s="2045"/>
      <c r="P3" s="2045"/>
      <c r="Q3" s="2045"/>
      <c r="R3" s="2045"/>
      <c r="S3" s="2045"/>
    </row>
    <row r="4" spans="1:28" ht="12" customHeight="1" x14ac:dyDescent="0.2">
      <c r="A4" s="37"/>
      <c r="I4" s="2046" t="s">
        <v>545</v>
      </c>
      <c r="J4" s="2045"/>
      <c r="K4" s="2045"/>
      <c r="L4" s="2045"/>
      <c r="M4" s="2045"/>
      <c r="N4" s="2045"/>
      <c r="O4" s="2045"/>
      <c r="P4" s="2045"/>
      <c r="Q4" s="2045"/>
      <c r="R4" s="2045"/>
      <c r="S4" s="2045"/>
    </row>
    <row r="5" spans="1:28" ht="14.1" customHeight="1" x14ac:dyDescent="0.2">
      <c r="B5" s="104" t="s">
        <v>2077</v>
      </c>
      <c r="C5" s="26" t="s">
        <v>966</v>
      </c>
      <c r="D5" s="84"/>
      <c r="E5" s="84"/>
      <c r="H5" s="38"/>
      <c r="I5" s="2053" t="s">
        <v>701</v>
      </c>
      <c r="J5" s="2003"/>
      <c r="K5" s="2003"/>
      <c r="L5" s="2003"/>
      <c r="M5" s="2003"/>
      <c r="N5" s="2003"/>
      <c r="O5" s="2003"/>
      <c r="P5" s="2003"/>
      <c r="Q5" s="2003"/>
      <c r="R5" s="2003"/>
      <c r="S5" s="2003"/>
    </row>
    <row r="6" spans="1:28" ht="14.1" customHeight="1" x14ac:dyDescent="0.2">
      <c r="B6" s="104"/>
      <c r="C6" s="26" t="s">
        <v>967</v>
      </c>
      <c r="D6" s="84"/>
      <c r="E6" s="84"/>
      <c r="I6" s="2052" t="s">
        <v>938</v>
      </c>
      <c r="J6" s="2003"/>
      <c r="K6" s="2003"/>
      <c r="L6" s="2003"/>
      <c r="M6" s="2003"/>
      <c r="N6" s="2003"/>
      <c r="O6" s="2003"/>
      <c r="P6" s="2003"/>
      <c r="Q6" s="2003"/>
      <c r="R6" s="2003"/>
      <c r="S6" s="2003"/>
    </row>
    <row r="7" spans="1:28" ht="12.2" customHeight="1" x14ac:dyDescent="0.2">
      <c r="I7" s="2047">
        <v>43281</v>
      </c>
      <c r="J7" s="2048"/>
      <c r="K7" s="2048"/>
      <c r="L7" s="2048"/>
      <c r="M7" s="2048"/>
      <c r="N7" s="2048"/>
      <c r="O7" s="2048"/>
      <c r="P7" s="2048"/>
      <c r="Q7" s="2048"/>
      <c r="R7" s="2048"/>
      <c r="S7" s="204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9" t="s">
        <v>695</v>
      </c>
      <c r="J9" s="2050"/>
      <c r="K9" s="2050"/>
      <c r="L9" s="2050"/>
      <c r="M9" s="2050"/>
      <c r="N9" s="2050"/>
      <c r="O9" s="2050"/>
      <c r="P9" s="2050"/>
      <c r="Q9" s="2050"/>
      <c r="R9" s="2050"/>
      <c r="S9" s="2051"/>
      <c r="T9" s="2061" t="s">
        <v>554</v>
      </c>
      <c r="U9" s="2062"/>
      <c r="V9" s="2062"/>
      <c r="W9" s="2062"/>
      <c r="X9" s="2062"/>
      <c r="Y9" s="2062"/>
      <c r="Z9" s="2062"/>
      <c r="AA9" s="2063"/>
    </row>
    <row r="10" spans="1:28" ht="13.5" customHeight="1" x14ac:dyDescent="0.2">
      <c r="A10" s="2068" t="s">
        <v>696</v>
      </c>
      <c r="B10" s="2069"/>
      <c r="C10" s="2069"/>
      <c r="D10" s="2069"/>
      <c r="E10" s="2069"/>
      <c r="F10" s="2069"/>
      <c r="G10" s="2069"/>
      <c r="H10" s="2070"/>
      <c r="I10" s="29"/>
      <c r="J10" s="30"/>
      <c r="K10" s="28"/>
      <c r="R10" s="30"/>
      <c r="S10" s="30"/>
      <c r="T10" s="2064"/>
      <c r="U10" s="2003"/>
      <c r="V10" s="2003"/>
      <c r="W10" s="2003"/>
      <c r="X10" s="2003"/>
      <c r="Y10" s="2003"/>
      <c r="Z10" s="2003"/>
      <c r="AA10" s="2004"/>
    </row>
    <row r="11" spans="1:28" ht="14.25" customHeight="1" x14ac:dyDescent="0.2">
      <c r="A11" s="2071" t="s">
        <v>1012</v>
      </c>
      <c r="B11" s="2072"/>
      <c r="C11" s="2072"/>
      <c r="D11" s="2072"/>
      <c r="E11" s="2072"/>
      <c r="F11" s="2072"/>
      <c r="G11" s="2072"/>
      <c r="H11" s="2073"/>
      <c r="I11" s="27"/>
      <c r="J11" s="74"/>
      <c r="K11" s="27"/>
      <c r="O11" s="148"/>
      <c r="P11" s="100" t="s">
        <v>210</v>
      </c>
      <c r="Q11" s="30"/>
      <c r="R11" s="28"/>
      <c r="S11" s="27"/>
      <c r="T11" s="2065"/>
      <c r="U11" s="2066"/>
      <c r="V11" s="2066"/>
      <c r="W11" s="2066"/>
      <c r="X11" s="2066"/>
      <c r="Y11" s="2066"/>
      <c r="Z11" s="2066"/>
      <c r="AA11" s="2067"/>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83">
        <v>7016146004</v>
      </c>
      <c r="B13" s="2084"/>
      <c r="C13" s="2084"/>
      <c r="D13" s="2084"/>
      <c r="E13" s="2084"/>
      <c r="F13" s="2084"/>
      <c r="G13" s="2084"/>
      <c r="H13" s="2085"/>
      <c r="I13" s="31"/>
      <c r="J13" s="30"/>
      <c r="K13" s="28"/>
      <c r="L13" s="30"/>
      <c r="M13" s="30"/>
      <c r="N13" s="30"/>
      <c r="O13" s="30"/>
      <c r="P13" s="30"/>
      <c r="Q13" s="30"/>
      <c r="R13" s="30"/>
      <c r="S13" s="30"/>
      <c r="T13" s="2077" t="s">
        <v>2157</v>
      </c>
      <c r="U13" s="2078"/>
      <c r="V13" s="2078"/>
      <c r="W13" s="2078"/>
      <c r="X13" s="2078"/>
      <c r="Y13" s="2079"/>
      <c r="Z13" s="2079"/>
      <c r="AA13" s="208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74" t="s">
        <v>2073</v>
      </c>
      <c r="B15" s="2075"/>
      <c r="C15" s="2075"/>
      <c r="D15" s="2075"/>
      <c r="E15" s="2075"/>
      <c r="F15" s="2075"/>
      <c r="G15" s="2075"/>
      <c r="H15" s="2076"/>
      <c r="T15" s="2086" t="s">
        <v>2082</v>
      </c>
      <c r="U15" s="2087"/>
      <c r="V15" s="2087"/>
      <c r="W15" s="2087"/>
      <c r="X15" s="2087"/>
      <c r="Y15" s="2088"/>
      <c r="Z15" s="2088"/>
      <c r="AA15" s="208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9" t="s">
        <v>2212</v>
      </c>
      <c r="B17" s="2020"/>
      <c r="C17" s="2020"/>
      <c r="D17" s="2020"/>
      <c r="E17" s="2020"/>
      <c r="F17" s="2020"/>
      <c r="G17" s="2020"/>
      <c r="H17" s="2054"/>
      <c r="T17" s="1988" t="s">
        <v>2083</v>
      </c>
      <c r="U17" s="1989"/>
      <c r="V17" s="1989"/>
      <c r="W17" s="1989"/>
      <c r="X17" s="1989"/>
      <c r="Y17" s="1989"/>
      <c r="Z17" s="1989"/>
      <c r="AA17" s="1990"/>
    </row>
    <row r="18" spans="1:27" ht="13.5" customHeight="1" x14ac:dyDescent="0.2">
      <c r="A18" s="85" t="s">
        <v>551</v>
      </c>
      <c r="B18" s="76"/>
      <c r="C18" s="72"/>
      <c r="D18" s="76"/>
      <c r="E18" s="76"/>
      <c r="F18" s="76"/>
      <c r="G18" s="76"/>
      <c r="H18" s="56"/>
      <c r="I18" s="2008" t="s">
        <v>697</v>
      </c>
      <c r="J18" s="2009"/>
      <c r="K18" s="2009"/>
      <c r="L18" s="2009"/>
      <c r="M18" s="2009"/>
      <c r="N18" s="2009"/>
      <c r="O18" s="2009"/>
      <c r="P18" s="2009"/>
      <c r="Q18" s="2009"/>
      <c r="R18" s="2009"/>
      <c r="S18" s="2010"/>
      <c r="T18" s="85" t="s">
        <v>735</v>
      </c>
      <c r="U18" s="51"/>
      <c r="V18" s="72"/>
      <c r="W18" s="50"/>
      <c r="X18" s="85" t="s">
        <v>284</v>
      </c>
      <c r="Y18" s="81"/>
      <c r="Z18" s="159" t="s">
        <v>698</v>
      </c>
      <c r="AA18" s="46"/>
    </row>
    <row r="19" spans="1:27" ht="13.5" customHeight="1" x14ac:dyDescent="0.2">
      <c r="A19" s="1991" t="s">
        <v>2074</v>
      </c>
      <c r="B19" s="2055"/>
      <c r="C19" s="2055"/>
      <c r="D19" s="2055"/>
      <c r="E19" s="2055"/>
      <c r="F19" s="2055"/>
      <c r="G19" s="2055"/>
      <c r="H19" s="1993"/>
      <c r="I19" s="30"/>
      <c r="J19" s="99"/>
      <c r="K19" s="40"/>
      <c r="L19" s="38"/>
      <c r="M19" s="112" t="s">
        <v>333</v>
      </c>
      <c r="P19" s="27"/>
      <c r="Q19" s="27"/>
      <c r="R19" s="27"/>
      <c r="S19" s="31"/>
      <c r="T19" s="1991" t="s">
        <v>2084</v>
      </c>
      <c r="U19" s="1992"/>
      <c r="V19" s="1992"/>
      <c r="W19" s="1993"/>
      <c r="X19" s="2082" t="s">
        <v>2085</v>
      </c>
      <c r="Y19" s="1992"/>
      <c r="Z19" s="2081">
        <v>60462</v>
      </c>
      <c r="AA19" s="199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8" t="s">
        <v>2075</v>
      </c>
      <c r="B21" s="2056"/>
      <c r="C21" s="2056"/>
      <c r="D21" s="2056"/>
      <c r="E21" s="2056"/>
      <c r="F21" s="2056"/>
      <c r="G21" s="2056"/>
      <c r="H21" s="2057"/>
      <c r="I21" s="2002" t="s">
        <v>699</v>
      </c>
      <c r="J21" s="2003"/>
      <c r="K21" s="2003"/>
      <c r="L21" s="2003"/>
      <c r="M21" s="2003"/>
      <c r="N21" s="2003"/>
      <c r="O21" s="2003"/>
      <c r="P21" s="2003"/>
      <c r="Q21" s="2003"/>
      <c r="R21" s="2003"/>
      <c r="S21" s="2004"/>
      <c r="T21" s="2091" t="s">
        <v>2086</v>
      </c>
      <c r="U21" s="2092"/>
      <c r="V21" s="2092"/>
      <c r="W21" s="2092"/>
      <c r="X21" s="2093" t="s">
        <v>2087</v>
      </c>
      <c r="Y21" s="2094"/>
      <c r="Z21" s="2094"/>
      <c r="AA21" s="2095"/>
    </row>
    <row r="22" spans="1:27" ht="13.5" customHeight="1" x14ac:dyDescent="0.2">
      <c r="A22" s="87" t="s">
        <v>552</v>
      </c>
      <c r="B22" s="59"/>
      <c r="C22" s="59"/>
      <c r="D22" s="59"/>
      <c r="E22" s="59"/>
      <c r="F22" s="59"/>
      <c r="G22" s="59"/>
      <c r="H22" s="60"/>
      <c r="I22" s="2005" t="s">
        <v>1504</v>
      </c>
      <c r="J22" s="2006"/>
      <c r="K22" s="2006"/>
      <c r="L22" s="2006"/>
      <c r="M22" s="2006"/>
      <c r="N22" s="2006"/>
      <c r="O22" s="2006"/>
      <c r="P22" s="2006"/>
      <c r="Q22" s="2006"/>
      <c r="R22" s="2006"/>
      <c r="S22" s="2007"/>
      <c r="T22" s="85" t="s">
        <v>1596</v>
      </c>
      <c r="U22" s="51"/>
      <c r="V22" s="72"/>
      <c r="W22" s="51"/>
      <c r="X22" s="160" t="s">
        <v>1385</v>
      </c>
      <c r="Z22" s="45"/>
      <c r="AA22" s="46"/>
    </row>
    <row r="23" spans="1:27" ht="13.5" customHeight="1" x14ac:dyDescent="0.2">
      <c r="A23" s="2058" t="s">
        <v>2076</v>
      </c>
      <c r="B23" s="2059"/>
      <c r="C23" s="2059"/>
      <c r="D23" s="2059"/>
      <c r="E23" s="2059"/>
      <c r="F23" s="2059"/>
      <c r="G23" s="2059"/>
      <c r="H23" s="2060"/>
      <c r="T23" s="2019" t="s">
        <v>2167</v>
      </c>
      <c r="U23" s="2090"/>
      <c r="V23" s="2090"/>
      <c r="W23" s="2090"/>
      <c r="X23" s="1994">
        <v>43434</v>
      </c>
      <c r="Y23" s="1995"/>
      <c r="Z23" s="1995"/>
      <c r="AA23" s="1996"/>
    </row>
    <row r="24" spans="1:27" ht="14.1" customHeight="1" x14ac:dyDescent="0.2">
      <c r="A24" s="88" t="s">
        <v>698</v>
      </c>
      <c r="B24" s="49"/>
      <c r="C24" s="49"/>
      <c r="D24" s="49"/>
      <c r="E24" s="49"/>
      <c r="F24" s="49"/>
      <c r="G24" s="49"/>
      <c r="H24" s="61"/>
      <c r="J24" s="2014">
        <f>IF(B5="x",IF(AUDITCHECK!D29="AFR form Incomplete.","",IF(AUDITCHECK!D29="Deficit reduction plan is required.","School District must complete a deficit reduction plan in the 2018-2019 Budget",)),"")</f>
        <v>0</v>
      </c>
      <c r="K24" s="2014"/>
      <c r="L24" s="2014"/>
      <c r="M24" s="2014"/>
      <c r="N24" s="2014"/>
      <c r="O24" s="2014"/>
      <c r="P24" s="2014"/>
      <c r="Q24" s="2014"/>
      <c r="R24" s="2014"/>
      <c r="S24" s="2015"/>
      <c r="T24" s="105" t="s">
        <v>552</v>
      </c>
      <c r="U24" s="106"/>
      <c r="V24" s="106"/>
      <c r="W24" s="106"/>
      <c r="X24" s="107"/>
      <c r="Y24" s="107"/>
      <c r="Z24" s="107"/>
      <c r="AA24" s="108"/>
    </row>
    <row r="25" spans="1:27" ht="14.1" customHeight="1" x14ac:dyDescent="0.2">
      <c r="A25" s="2018">
        <v>60477</v>
      </c>
      <c r="B25" s="1992"/>
      <c r="C25" s="1992"/>
      <c r="D25" s="1992"/>
      <c r="E25" s="1992"/>
      <c r="F25" s="1992"/>
      <c r="G25" s="1992"/>
      <c r="H25" s="1993"/>
      <c r="I25" s="113"/>
      <c r="J25" s="2016"/>
      <c r="K25" s="2016"/>
      <c r="L25" s="2016"/>
      <c r="M25" s="2016"/>
      <c r="N25" s="2016"/>
      <c r="O25" s="2016"/>
      <c r="P25" s="2016"/>
      <c r="Q25" s="2016"/>
      <c r="R25" s="2016"/>
      <c r="S25" s="2017"/>
      <c r="T25" s="1955" t="s">
        <v>2158</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11" t="s">
        <v>1591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954"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954"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954"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2"/>
      <c r="Q35" s="2013"/>
      <c r="R35" s="20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9" t="s">
        <v>2078</v>
      </c>
      <c r="B38" s="2020"/>
      <c r="C38" s="2020"/>
      <c r="D38" s="2020"/>
      <c r="E38" s="2020"/>
      <c r="F38" s="1992"/>
      <c r="G38" s="1992"/>
      <c r="H38" s="1993"/>
      <c r="I38" s="2025"/>
      <c r="J38" s="2026"/>
      <c r="K38" s="2026"/>
      <c r="L38" s="2026"/>
      <c r="M38" s="2026"/>
      <c r="N38" s="2026"/>
      <c r="O38" s="2026"/>
      <c r="P38" s="2027"/>
      <c r="Q38" s="2027"/>
      <c r="R38" s="2027"/>
      <c r="S38" s="2028"/>
      <c r="T38" s="2037"/>
      <c r="U38" s="2026"/>
      <c r="V38" s="2026"/>
      <c r="W38" s="2026"/>
      <c r="X38" s="2027"/>
      <c r="Y38" s="2027"/>
      <c r="Z38" s="2027"/>
      <c r="AA38" s="2028"/>
    </row>
    <row r="39" spans="1:27" ht="12" customHeight="1" x14ac:dyDescent="0.2">
      <c r="A39" s="2000" t="s">
        <v>552</v>
      </c>
      <c r="B39" s="2001"/>
      <c r="C39" s="72"/>
      <c r="D39" s="69"/>
      <c r="E39" s="69"/>
      <c r="F39" s="79"/>
      <c r="G39" s="69"/>
      <c r="H39" s="56"/>
      <c r="I39" s="2000" t="s">
        <v>552</v>
      </c>
      <c r="J39" s="2001"/>
      <c r="K39" s="2001"/>
      <c r="L39" s="2001"/>
      <c r="M39" s="2001"/>
      <c r="N39" s="67"/>
      <c r="O39" s="72"/>
      <c r="P39" s="72"/>
      <c r="Q39" s="78"/>
      <c r="R39" s="72"/>
      <c r="S39" s="56"/>
      <c r="T39" s="72" t="s">
        <v>552</v>
      </c>
      <c r="U39" s="51"/>
      <c r="V39" s="72"/>
      <c r="W39" s="50"/>
      <c r="X39" s="78"/>
      <c r="Y39" s="45"/>
      <c r="Z39" s="45"/>
      <c r="AA39" s="46"/>
    </row>
    <row r="40" spans="1:27" ht="13.5" customHeight="1" x14ac:dyDescent="0.2">
      <c r="A40" s="2039" t="s">
        <v>2079</v>
      </c>
      <c r="B40" s="2040"/>
      <c r="C40" s="2041"/>
      <c r="D40" s="2041"/>
      <c r="E40" s="2041"/>
      <c r="F40" s="2042"/>
      <c r="G40" s="2042"/>
      <c r="H40" s="2043"/>
      <c r="I40" s="2033"/>
      <c r="J40" s="2034"/>
      <c r="K40" s="2034"/>
      <c r="L40" s="2034"/>
      <c r="M40" s="2034"/>
      <c r="N40" s="2034"/>
      <c r="O40" s="2034"/>
      <c r="P40" s="2034"/>
      <c r="Q40" s="2034"/>
      <c r="R40" s="2034"/>
      <c r="S40" s="2035"/>
      <c r="T40" s="2033"/>
      <c r="U40" s="2038"/>
      <c r="V40" s="2034"/>
      <c r="W40" s="2034"/>
      <c r="X40" s="2034"/>
      <c r="Y40" s="2034"/>
      <c r="Z40" s="2034"/>
      <c r="AA40" s="203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1" t="s">
        <v>2080</v>
      </c>
      <c r="B42" s="1992"/>
      <c r="C42" s="1993"/>
      <c r="D42" s="2036" t="s">
        <v>2081</v>
      </c>
      <c r="E42" s="1992"/>
      <c r="F42" s="1992"/>
      <c r="G42" s="1992"/>
      <c r="H42" s="1993"/>
      <c r="I42" s="1997"/>
      <c r="J42" s="1998"/>
      <c r="K42" s="1998"/>
      <c r="L42" s="1998"/>
      <c r="M42" s="1998"/>
      <c r="N42" s="1998"/>
      <c r="O42" s="1999"/>
      <c r="P42" s="2032"/>
      <c r="Q42" s="1998"/>
      <c r="R42" s="1998"/>
      <c r="S42" s="1999"/>
      <c r="T42" s="1997"/>
      <c r="U42" s="1998"/>
      <c r="V42" s="1998"/>
      <c r="W42" s="1999"/>
      <c r="X42" s="2032"/>
      <c r="Y42" s="1998"/>
      <c r="Z42" s="1998"/>
      <c r="AA42" s="199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29"/>
      <c r="B44" s="2030"/>
      <c r="C44" s="2030"/>
      <c r="D44" s="2030"/>
      <c r="E44" s="2030"/>
      <c r="F44" s="2030"/>
      <c r="G44" s="2030"/>
      <c r="H44" s="2031"/>
      <c r="I44" s="2021"/>
      <c r="J44" s="2023"/>
      <c r="K44" s="2023"/>
      <c r="L44" s="2023"/>
      <c r="M44" s="2023"/>
      <c r="N44" s="2023"/>
      <c r="O44" s="2023"/>
      <c r="P44" s="2023"/>
      <c r="Q44" s="2023"/>
      <c r="R44" s="2023"/>
      <c r="S44" s="2024"/>
      <c r="T44" s="2021"/>
      <c r="U44" s="2022"/>
      <c r="V44" s="2022"/>
      <c r="W44" s="2022"/>
      <c r="X44" s="2022"/>
      <c r="Y44" s="2022"/>
      <c r="Z44" s="2023"/>
      <c r="AA44" s="202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1">
    <mergeCell ref="A17:H17"/>
    <mergeCell ref="A19:H19"/>
    <mergeCell ref="A21:H21"/>
    <mergeCell ref="A23:H23"/>
    <mergeCell ref="T9:AA11"/>
    <mergeCell ref="A10:H10"/>
    <mergeCell ref="A11:H11"/>
    <mergeCell ref="A15:H15"/>
    <mergeCell ref="T13:AA13"/>
    <mergeCell ref="Z19:AA19"/>
    <mergeCell ref="X19:Y19"/>
    <mergeCell ref="A13:H13"/>
    <mergeCell ref="T15:AA15"/>
    <mergeCell ref="T23:W23"/>
    <mergeCell ref="T21:W21"/>
    <mergeCell ref="X21:AA21"/>
    <mergeCell ref="I1:S1"/>
    <mergeCell ref="I2:S2"/>
    <mergeCell ref="I7:S7"/>
    <mergeCell ref="I9:S9"/>
    <mergeCell ref="I6:S6"/>
    <mergeCell ref="I3:S3"/>
    <mergeCell ref="I4:S4"/>
    <mergeCell ref="I5:S5"/>
    <mergeCell ref="A25:H25"/>
    <mergeCell ref="A38:H38"/>
    <mergeCell ref="T44:AA44"/>
    <mergeCell ref="I38:S38"/>
    <mergeCell ref="A44:H44"/>
    <mergeCell ref="P42:S42"/>
    <mergeCell ref="I40:S40"/>
    <mergeCell ref="D42:H42"/>
    <mergeCell ref="X42:AA42"/>
    <mergeCell ref="T42:W42"/>
    <mergeCell ref="T38:AA38"/>
    <mergeCell ref="T40:AA40"/>
    <mergeCell ref="A39:B39"/>
    <mergeCell ref="I44:S44"/>
    <mergeCell ref="A40:H40"/>
    <mergeCell ref="A42:C42"/>
    <mergeCell ref="T17:AA17"/>
    <mergeCell ref="T19:W19"/>
    <mergeCell ref="X23:AA23"/>
    <mergeCell ref="I42:O42"/>
    <mergeCell ref="I39:M39"/>
    <mergeCell ref="I21:S21"/>
    <mergeCell ref="I22:S22"/>
    <mergeCell ref="I18:S18"/>
    <mergeCell ref="I27:S27"/>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7" t="s">
        <v>1709</v>
      </c>
    </row>
    <row r="23" spans="1:5" x14ac:dyDescent="0.2">
      <c r="A23" s="168"/>
      <c r="B23" s="162" t="s">
        <v>1965</v>
      </c>
      <c r="D23" s="167" t="s">
        <v>658</v>
      </c>
      <c r="E23" s="1857"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9" t="s">
        <v>1125</v>
      </c>
      <c r="B35" s="2099"/>
      <c r="C35" s="2099"/>
      <c r="D35" s="2099"/>
      <c r="E35" s="209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6" t="s">
        <v>715</v>
      </c>
      <c r="B40" s="2096"/>
      <c r="C40" s="2096"/>
      <c r="D40" s="2096"/>
      <c r="E40" s="2096"/>
    </row>
    <row r="41" spans="1:5" x14ac:dyDescent="0.2">
      <c r="A41" s="2097" t="s">
        <v>1706</v>
      </c>
      <c r="B41" s="2097"/>
      <c r="C41" s="2097"/>
      <c r="D41" s="2097"/>
      <c r="E41" s="2097"/>
    </row>
    <row r="42" spans="1:5" ht="12.75" customHeight="1" x14ac:dyDescent="0.2">
      <c r="A42" s="2098" t="s">
        <v>1080</v>
      </c>
      <c r="B42" s="2098"/>
      <c r="C42" s="2098"/>
      <c r="D42" s="2098"/>
      <c r="E42" s="2098"/>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5" t="s">
        <v>1875</v>
      </c>
    </row>
    <row r="60" spans="1:3" x14ac:dyDescent="0.2">
      <c r="A60" s="196"/>
      <c r="B60" s="1505"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7"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6"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0" t="s">
        <v>1230</v>
      </c>
      <c r="B2" s="2100"/>
      <c r="C2" s="2100"/>
      <c r="D2" s="2100"/>
      <c r="E2" s="2100"/>
      <c r="F2" s="2100"/>
      <c r="G2" s="2100"/>
      <c r="H2" s="2100"/>
      <c r="I2" s="2100"/>
      <c r="J2" s="210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4" t="s">
        <v>1731</v>
      </c>
      <c r="B35" s="2115"/>
      <c r="C35" s="2115"/>
      <c r="D35" s="2115"/>
      <c r="E35" s="2116"/>
      <c r="F35" s="2116"/>
      <c r="G35" s="2116"/>
      <c r="H35" s="2116"/>
      <c r="I35" s="211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4" t="s">
        <v>331</v>
      </c>
      <c r="B47" s="2117"/>
      <c r="C47" s="2117"/>
      <c r="D47" s="2117"/>
      <c r="E47" s="2118"/>
      <c r="F47" s="2118"/>
      <c r="G47" s="2118"/>
      <c r="H47" s="2118"/>
      <c r="I47" s="211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2159</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2159</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1" t="s">
        <v>2184</v>
      </c>
      <c r="C57" s="2122"/>
      <c r="D57" s="2122"/>
      <c r="E57" s="2122"/>
      <c r="F57" s="2122"/>
      <c r="G57" s="2122"/>
      <c r="H57" s="2122"/>
      <c r="I57" s="2122"/>
      <c r="J57" s="2123"/>
    </row>
    <row r="58" spans="1:10" s="181" customFormat="1" x14ac:dyDescent="0.2">
      <c r="A58" s="253"/>
      <c r="B58" s="2124"/>
      <c r="C58" s="2125"/>
      <c r="D58" s="2125"/>
      <c r="E58" s="2125"/>
      <c r="F58" s="2125"/>
      <c r="G58" s="2125"/>
      <c r="H58" s="2125"/>
      <c r="I58" s="2125"/>
      <c r="J58" s="2126"/>
    </row>
    <row r="59" spans="1:10" s="181" customFormat="1" x14ac:dyDescent="0.2">
      <c r="A59" s="253"/>
      <c r="B59" s="2124"/>
      <c r="C59" s="2125"/>
      <c r="D59" s="2125"/>
      <c r="E59" s="2125"/>
      <c r="F59" s="2125"/>
      <c r="G59" s="2125"/>
      <c r="H59" s="2125"/>
      <c r="I59" s="2125"/>
      <c r="J59" s="2126"/>
    </row>
    <row r="60" spans="1:10" s="181" customFormat="1" x14ac:dyDescent="0.2">
      <c r="A60" s="253"/>
      <c r="B60" s="2124"/>
      <c r="C60" s="2125"/>
      <c r="D60" s="2125"/>
      <c r="E60" s="2125"/>
      <c r="F60" s="2125"/>
      <c r="G60" s="2125"/>
      <c r="H60" s="2125"/>
      <c r="I60" s="2125"/>
      <c r="J60" s="2126"/>
    </row>
    <row r="61" spans="1:10" s="181" customFormat="1" x14ac:dyDescent="0.2">
      <c r="A61" s="253"/>
      <c r="B61" s="2124"/>
      <c r="C61" s="2125"/>
      <c r="D61" s="2125"/>
      <c r="E61" s="2125"/>
      <c r="F61" s="2125"/>
      <c r="G61" s="2125"/>
      <c r="H61" s="2125"/>
      <c r="I61" s="2125"/>
      <c r="J61" s="2126"/>
    </row>
    <row r="62" spans="1:10" s="181" customFormat="1" x14ac:dyDescent="0.2">
      <c r="A62" s="253"/>
      <c r="B62" s="2124"/>
      <c r="C62" s="2125"/>
      <c r="D62" s="2125"/>
      <c r="E62" s="2125"/>
      <c r="F62" s="2125"/>
      <c r="G62" s="2125"/>
      <c r="H62" s="2125"/>
      <c r="I62" s="2125"/>
      <c r="J62" s="2126"/>
    </row>
    <row r="63" spans="1:10" s="181" customFormat="1" x14ac:dyDescent="0.2">
      <c r="A63" s="253"/>
      <c r="B63" s="2124"/>
      <c r="C63" s="2125"/>
      <c r="D63" s="2125"/>
      <c r="E63" s="2125"/>
      <c r="F63" s="2125"/>
      <c r="G63" s="2125"/>
      <c r="H63" s="2125"/>
      <c r="I63" s="2125"/>
      <c r="J63" s="2126"/>
    </row>
    <row r="64" spans="1:10" s="181" customFormat="1" x14ac:dyDescent="0.2">
      <c r="A64" s="253"/>
      <c r="B64" s="2124"/>
      <c r="C64" s="2125"/>
      <c r="D64" s="2125"/>
      <c r="E64" s="2125"/>
      <c r="F64" s="2125"/>
      <c r="G64" s="2125"/>
      <c r="H64" s="2125"/>
      <c r="I64" s="2125"/>
      <c r="J64" s="2126"/>
    </row>
    <row r="65" spans="1:10" s="181" customFormat="1" x14ac:dyDescent="0.2">
      <c r="A65" s="253"/>
      <c r="B65" s="2124"/>
      <c r="C65" s="2125"/>
      <c r="D65" s="2125"/>
      <c r="E65" s="2125"/>
      <c r="F65" s="2125"/>
      <c r="G65" s="2125"/>
      <c r="H65" s="2125"/>
      <c r="I65" s="2125"/>
      <c r="J65" s="2126"/>
    </row>
    <row r="66" spans="1:10" s="181" customFormat="1" x14ac:dyDescent="0.2">
      <c r="A66" s="253"/>
      <c r="B66" s="2124"/>
      <c r="C66" s="2125"/>
      <c r="D66" s="2125"/>
      <c r="E66" s="2125"/>
      <c r="F66" s="2125"/>
      <c r="G66" s="2125"/>
      <c r="H66" s="2125"/>
      <c r="I66" s="2125"/>
      <c r="J66" s="2126"/>
    </row>
    <row r="67" spans="1:10" s="181" customFormat="1" ht="9" customHeight="1" x14ac:dyDescent="0.2">
      <c r="A67" s="254"/>
      <c r="B67" s="2127"/>
      <c r="C67" s="2128"/>
      <c r="D67" s="2128"/>
      <c r="E67" s="2128"/>
      <c r="F67" s="2128"/>
      <c r="G67" s="2128"/>
      <c r="H67" s="2128"/>
      <c r="I67" s="2128"/>
      <c r="J67" s="212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4" t="s">
        <v>1390</v>
      </c>
      <c r="B70" s="2117"/>
      <c r="C70" s="2117"/>
      <c r="D70" s="2117"/>
      <c r="E70" s="2118"/>
      <c r="F70" s="2118"/>
      <c r="G70" s="2118"/>
      <c r="H70" s="2118"/>
      <c r="I70" s="211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59"/>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9" t="s">
        <v>1387</v>
      </c>
      <c r="B83" s="2119"/>
      <c r="C83" s="2119"/>
      <c r="D83" s="212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v>11810</v>
      </c>
      <c r="F88" s="276">
        <v>236809</v>
      </c>
      <c r="G88" s="276">
        <v>430035</v>
      </c>
      <c r="H88" s="276">
        <v>84272</v>
      </c>
      <c r="I88" s="276">
        <v>0</v>
      </c>
      <c r="J88" s="277">
        <f>SUM(E88:I88)</f>
        <v>762926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762926</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01"/>
      <c r="C102" s="2102"/>
      <c r="D102" s="2102"/>
      <c r="E102" s="2102"/>
      <c r="F102" s="2102"/>
      <c r="G102" s="2102"/>
      <c r="H102" s="2102"/>
      <c r="I102" s="2103"/>
    </row>
    <row r="103" spans="1:9" s="181" customFormat="1" ht="11.25" customHeight="1" x14ac:dyDescent="0.2">
      <c r="A103" s="316"/>
      <c r="B103" s="2104"/>
      <c r="C103" s="2105"/>
      <c r="D103" s="2105"/>
      <c r="E103" s="2105"/>
      <c r="F103" s="2105"/>
      <c r="G103" s="2105"/>
      <c r="H103" s="2105"/>
      <c r="I103" s="2106"/>
    </row>
    <row r="104" spans="1:9" s="181" customFormat="1" ht="11.25" customHeight="1" x14ac:dyDescent="0.2">
      <c r="A104" s="316"/>
      <c r="B104" s="2104"/>
      <c r="C104" s="2105"/>
      <c r="D104" s="2105"/>
      <c r="E104" s="2105"/>
      <c r="F104" s="2105"/>
      <c r="G104" s="2105"/>
      <c r="H104" s="2105"/>
      <c r="I104" s="2106"/>
    </row>
    <row r="105" spans="1:9" s="181" customFormat="1" x14ac:dyDescent="0.2">
      <c r="A105" s="316"/>
      <c r="B105" s="2104"/>
      <c r="C105" s="2105"/>
      <c r="D105" s="2105"/>
      <c r="E105" s="2105"/>
      <c r="F105" s="2105"/>
      <c r="G105" s="2105"/>
      <c r="H105" s="2105"/>
      <c r="I105" s="2106"/>
    </row>
    <row r="106" spans="1:9" s="181" customFormat="1" ht="11.25" customHeight="1" x14ac:dyDescent="0.2">
      <c r="A106" s="316"/>
      <c r="B106" s="2104"/>
      <c r="C106" s="2105"/>
      <c r="D106" s="2105"/>
      <c r="E106" s="2105"/>
      <c r="F106" s="2105"/>
      <c r="G106" s="2105"/>
      <c r="H106" s="2105"/>
      <c r="I106" s="2106"/>
    </row>
    <row r="107" spans="1:9" s="181" customFormat="1" ht="11.25" customHeight="1" x14ac:dyDescent="0.2">
      <c r="A107" s="316"/>
      <c r="B107" s="2104"/>
      <c r="C107" s="2105"/>
      <c r="D107" s="2105"/>
      <c r="E107" s="2105"/>
      <c r="F107" s="2105"/>
      <c r="G107" s="2105"/>
      <c r="H107" s="2105"/>
      <c r="I107" s="2106"/>
    </row>
    <row r="108" spans="1:9" s="181" customFormat="1" ht="11.25" customHeight="1" x14ac:dyDescent="0.2">
      <c r="A108" s="316"/>
      <c r="B108" s="2104"/>
      <c r="C108" s="2105"/>
      <c r="D108" s="2105"/>
      <c r="E108" s="2105"/>
      <c r="F108" s="2105"/>
      <c r="G108" s="2105"/>
      <c r="H108" s="2105"/>
      <c r="I108" s="2106"/>
    </row>
    <row r="109" spans="1:9" s="181" customFormat="1" ht="11.25" customHeight="1" x14ac:dyDescent="0.2">
      <c r="A109" s="316"/>
      <c r="B109" s="2104"/>
      <c r="C109" s="2105"/>
      <c r="D109" s="2105"/>
      <c r="E109" s="2105"/>
      <c r="F109" s="2105"/>
      <c r="G109" s="2105"/>
      <c r="H109" s="2105"/>
      <c r="I109" s="2106"/>
    </row>
    <row r="110" spans="1:9" s="181" customFormat="1" ht="11.25" customHeight="1" x14ac:dyDescent="0.2">
      <c r="A110" s="316"/>
      <c r="B110" s="2104"/>
      <c r="C110" s="2105"/>
      <c r="D110" s="2105"/>
      <c r="E110" s="2105"/>
      <c r="F110" s="2105"/>
      <c r="G110" s="2105"/>
      <c r="H110" s="2105"/>
      <c r="I110" s="2106"/>
    </row>
    <row r="111" spans="1:9" s="181" customFormat="1" ht="11.25" customHeight="1" x14ac:dyDescent="0.2">
      <c r="A111" s="316"/>
      <c r="B111" s="2104"/>
      <c r="C111" s="2105"/>
      <c r="D111" s="2105"/>
      <c r="E111" s="2105"/>
      <c r="F111" s="2105"/>
      <c r="G111" s="2105"/>
      <c r="H111" s="2105"/>
      <c r="I111" s="2106"/>
    </row>
    <row r="112" spans="1:9" s="181" customFormat="1" ht="11.25" customHeight="1" x14ac:dyDescent="0.2">
      <c r="A112" s="316"/>
      <c r="B112" s="2107"/>
      <c r="C112" s="2108"/>
      <c r="D112" s="2108"/>
      <c r="E112" s="2108"/>
      <c r="F112" s="2108"/>
      <c r="G112" s="2108"/>
      <c r="H112" s="2108"/>
      <c r="I112" s="210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0" t="s">
        <v>2185</v>
      </c>
      <c r="D114" s="211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1" t="s">
        <v>1397</v>
      </c>
      <c r="D117" s="2112"/>
      <c r="E117" s="2113"/>
      <c r="F117" s="2113"/>
      <c r="G117" s="2113"/>
      <c r="H117" s="2113"/>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2018</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0" t="s">
        <v>404</v>
      </c>
      <c r="B1" s="2130"/>
      <c r="C1" s="2130"/>
      <c r="D1" s="2130"/>
      <c r="E1" s="2130"/>
      <c r="F1" s="2130"/>
      <c r="G1" s="2130"/>
      <c r="H1" s="2130"/>
      <c r="I1" s="2130"/>
      <c r="J1" s="2130"/>
      <c r="K1" s="2130"/>
      <c r="L1" s="2130"/>
      <c r="M1" s="213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639018693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3.9480000000000001E-2</v>
      </c>
      <c r="E10" s="356" t="s">
        <v>1062</v>
      </c>
      <c r="F10" s="355">
        <v>4.9719999999999999E-3</v>
      </c>
      <c r="G10" s="356" t="s">
        <v>1062</v>
      </c>
      <c r="H10" s="355">
        <v>2.5790000000000001E-3</v>
      </c>
      <c r="I10" s="356" t="s">
        <v>1063</v>
      </c>
      <c r="J10" s="1752">
        <f>ROUND(D10+F10+H10,5)</f>
        <v>4.7030000000000002E-2</v>
      </c>
      <c r="K10" s="222"/>
      <c r="L10" s="355">
        <v>4.5199999999999998E-4</v>
      </c>
      <c r="M10" s="222"/>
    </row>
    <row r="11" spans="1:14" ht="7.5" customHeight="1" x14ac:dyDescent="0.2">
      <c r="B11" s="222"/>
      <c r="C11" s="222"/>
      <c r="D11" s="2140" t="str">
        <f>IF(SUM(J10)&lt;=0.0999999,"","Enter the Tax Rates by moving the decimal two places to the left.")</f>
        <v/>
      </c>
      <c r="E11" s="2141"/>
      <c r="F11" s="2141"/>
      <c r="G11" s="2141"/>
      <c r="H11" s="2141"/>
      <c r="I11" s="2141"/>
      <c r="J11" s="214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36097311</v>
      </c>
      <c r="E16" s="356"/>
      <c r="F16" s="1753">
        <f>SUM('Acct Summary 7-8'!C17,'Acct Summary 7-8'!D17,'Acct Summary 7-8'!F17)</f>
        <v>35027557</v>
      </c>
      <c r="G16" s="356"/>
      <c r="H16" s="1753">
        <f>SUM(D16-F16)</f>
        <v>1069754</v>
      </c>
      <c r="I16" s="222"/>
      <c r="J16" s="1753">
        <f>SUM('Acct Summary 7-8'!C81,'Acct Summary 7-8'!D81,'Acct Summary 7-8'!F81,'Acct Summary 7-8'!I81)</f>
        <v>28816638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2159</v>
      </c>
      <c r="C31" s="367" t="s">
        <v>607</v>
      </c>
      <c r="D31" s="237" t="s">
        <v>1132</v>
      </c>
      <c r="E31" s="222"/>
      <c r="F31" s="222"/>
      <c r="G31" s="363"/>
      <c r="H31" s="1755">
        <f>IF(B31="X",(J7*0.069),IF(B32="X",(J7*0.138),"Enter x in a.or b."))</f>
        <v>44092289.817000002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14360000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31"/>
      <c r="C54" s="2132"/>
      <c r="D54" s="2132"/>
      <c r="E54" s="2132"/>
      <c r="F54" s="2132"/>
      <c r="G54" s="2132"/>
      <c r="H54" s="2132"/>
      <c r="I54" s="2132"/>
      <c r="J54" s="2132"/>
      <c r="K54" s="2132"/>
      <c r="L54" s="2133"/>
      <c r="M54" s="380"/>
    </row>
    <row r="55" spans="1:13" ht="12.75" customHeight="1" x14ac:dyDescent="0.2">
      <c r="B55" s="2134"/>
      <c r="C55" s="2135"/>
      <c r="D55" s="2135"/>
      <c r="E55" s="2135"/>
      <c r="F55" s="2135"/>
      <c r="G55" s="2135"/>
      <c r="H55" s="2135"/>
      <c r="I55" s="2135"/>
      <c r="J55" s="2135"/>
      <c r="K55" s="2135"/>
      <c r="L55" s="2136"/>
      <c r="M55" s="380"/>
    </row>
    <row r="56" spans="1:13" ht="12.75" customHeight="1" x14ac:dyDescent="0.2">
      <c r="B56" s="2134"/>
      <c r="C56" s="2135"/>
      <c r="D56" s="2135"/>
      <c r="E56" s="2135"/>
      <c r="F56" s="2135"/>
      <c r="G56" s="2135"/>
      <c r="H56" s="2135"/>
      <c r="I56" s="2135"/>
      <c r="J56" s="2135"/>
      <c r="K56" s="2135"/>
      <c r="L56" s="2136"/>
      <c r="M56" s="222"/>
    </row>
    <row r="57" spans="1:13" ht="12.75" customHeight="1" x14ac:dyDescent="0.2">
      <c r="B57" s="2134"/>
      <c r="C57" s="2135"/>
      <c r="D57" s="2135"/>
      <c r="E57" s="2135"/>
      <c r="F57" s="2135"/>
      <c r="G57" s="2135"/>
      <c r="H57" s="2135"/>
      <c r="I57" s="2135"/>
      <c r="J57" s="2135"/>
      <c r="K57" s="2135"/>
      <c r="L57" s="2136"/>
      <c r="M57" s="222"/>
    </row>
    <row r="58" spans="1:13" x14ac:dyDescent="0.2">
      <c r="B58" s="2137"/>
      <c r="C58" s="2138"/>
      <c r="D58" s="2138"/>
      <c r="E58" s="2138"/>
      <c r="F58" s="2138"/>
      <c r="G58" s="2138"/>
      <c r="H58" s="2138"/>
      <c r="I58" s="2138"/>
      <c r="J58" s="2138"/>
      <c r="K58" s="2138"/>
      <c r="L58" s="213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2"/>
      <c r="D61" s="214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5"/>
      <c r="B1" s="2146"/>
      <c r="C1" s="2146"/>
      <c r="D1" s="384"/>
      <c r="E1" s="384"/>
      <c r="F1" s="384"/>
      <c r="G1" s="384"/>
      <c r="H1" s="384"/>
      <c r="I1" s="384"/>
      <c r="J1" s="384"/>
      <c r="K1" s="384"/>
      <c r="L1" s="384"/>
      <c r="M1" s="384"/>
      <c r="N1" s="384"/>
      <c r="O1" s="2145"/>
      <c r="P1" s="2146"/>
      <c r="Q1" s="2146"/>
    </row>
    <row r="2" spans="1:18" ht="15" x14ac:dyDescent="0.2">
      <c r="A2" s="2149" t="s">
        <v>577</v>
      </c>
      <c r="B2" s="2149"/>
      <c r="C2" s="2149"/>
      <c r="D2" s="2149"/>
      <c r="E2" s="2149"/>
      <c r="F2" s="2149"/>
      <c r="G2" s="2149"/>
      <c r="H2" s="2149"/>
      <c r="I2" s="2149"/>
      <c r="J2" s="2149"/>
      <c r="K2" s="2149"/>
      <c r="L2" s="2149"/>
      <c r="M2" s="2149"/>
      <c r="N2" s="2149"/>
      <c r="O2" s="2149"/>
      <c r="P2" s="2149"/>
      <c r="Q2" s="2149"/>
      <c r="R2" s="2149"/>
    </row>
    <row r="3" spans="1:18" ht="12.75" x14ac:dyDescent="0.2">
      <c r="A3" s="2150" t="s">
        <v>1480</v>
      </c>
      <c r="B3" s="2150"/>
      <c r="C3" s="2150"/>
      <c r="D3" s="2150"/>
      <c r="E3" s="2150"/>
      <c r="F3" s="2150"/>
      <c r="G3" s="2150"/>
      <c r="H3" s="2150"/>
      <c r="I3" s="2150"/>
      <c r="J3" s="2150"/>
      <c r="K3" s="2150"/>
      <c r="L3" s="2150"/>
      <c r="M3" s="2150"/>
      <c r="N3" s="2150"/>
      <c r="O3" s="2150"/>
      <c r="P3" s="2150"/>
      <c r="Q3" s="2150"/>
      <c r="R3" s="2150"/>
    </row>
    <row r="4" spans="1:18" x14ac:dyDescent="0.2">
      <c r="A4" s="2151" t="s">
        <v>1635</v>
      </c>
      <c r="B4" s="2151"/>
      <c r="C4" s="2151"/>
      <c r="D4" s="2151"/>
      <c r="E4" s="2151"/>
      <c r="F4" s="2151"/>
      <c r="G4" s="2151"/>
      <c r="H4" s="2151"/>
      <c r="I4" s="2151"/>
      <c r="J4" s="2151"/>
      <c r="K4" s="2151"/>
      <c r="L4" s="2151"/>
      <c r="M4" s="2151"/>
      <c r="N4" s="2151"/>
      <c r="O4" s="2151"/>
      <c r="P4" s="2151"/>
      <c r="Q4" s="2151"/>
      <c r="R4" s="215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CCSD 146 Tinley Park</v>
      </c>
      <c r="E7" s="391"/>
      <c r="G7" s="252"/>
      <c r="H7" s="387"/>
      <c r="I7" s="387"/>
      <c r="J7" s="387"/>
      <c r="K7" s="387"/>
      <c r="L7" s="329"/>
      <c r="M7" s="329"/>
      <c r="N7" s="329"/>
      <c r="O7" s="329"/>
      <c r="P7" s="329"/>
    </row>
    <row r="8" spans="1:18" ht="12.75" x14ac:dyDescent="0.2">
      <c r="A8" s="329"/>
      <c r="B8" s="329"/>
      <c r="C8" s="389" t="s">
        <v>1187</v>
      </c>
      <c r="D8" s="392">
        <f>COVER!A13</f>
        <v>7016146004</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28816638</v>
      </c>
      <c r="I12" s="404"/>
      <c r="J12" s="404"/>
      <c r="K12" s="405">
        <f>TRUNC((H12/H13*100000),5)/100000</f>
        <v>0.95744892290000005</v>
      </c>
      <c r="L12" s="406"/>
      <c r="M12" s="360" t="s">
        <v>1206</v>
      </c>
      <c r="N12" s="360"/>
      <c r="O12" s="407">
        <v>0.35</v>
      </c>
      <c r="P12" s="218"/>
      <c r="Q12" s="218"/>
    </row>
    <row r="13" spans="1:18" s="408" customFormat="1" ht="12.75" x14ac:dyDescent="0.2">
      <c r="A13" s="218"/>
      <c r="B13" s="401"/>
      <c r="C13" s="2147" t="s">
        <v>1391</v>
      </c>
      <c r="D13" s="2148"/>
      <c r="E13" s="218"/>
      <c r="F13" s="409" t="s">
        <v>826</v>
      </c>
      <c r="G13" s="402"/>
      <c r="H13" s="403">
        <f>SUM('Acct Summary 7-8'!C8+'Acct Summary 7-8'!D8+'Acct Summary 7-8'!F8+'Acct Summary 7-8'!I8)+H14</f>
        <v>30097311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-6000000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2</v>
      </c>
      <c r="P16" s="216"/>
      <c r="R16" s="384"/>
    </row>
    <row r="17" spans="1:18" s="408" customFormat="1" ht="11.25" x14ac:dyDescent="0.2">
      <c r="A17" s="218"/>
      <c r="B17" s="401"/>
      <c r="C17" s="218" t="s">
        <v>830</v>
      </c>
      <c r="D17" s="218"/>
      <c r="E17" s="218"/>
      <c r="F17" s="218" t="s">
        <v>464</v>
      </c>
      <c r="G17" s="402"/>
      <c r="H17" s="403">
        <f>SUM('Acct Summary 7-8'!C17+'Acct Summary 7-8'!D17+'Acct Summary 7-8'!F17)</f>
        <v>35027557</v>
      </c>
      <c r="I17" s="404"/>
      <c r="J17" s="416"/>
      <c r="K17" s="405">
        <f>TRUNC((H17/H18*100000),5)/100000</f>
        <v>1.1638101822</v>
      </c>
      <c r="L17" s="406"/>
      <c r="M17" s="417" t="s">
        <v>1233</v>
      </c>
      <c r="O17" s="418" t="str">
        <f>IF(AND(O16="2", J20 &gt; 2),"1",IF(AND(O16 = "1", J20 &gt; 2),"2",IF(AND(O16="1", J20 &gt;1),"1","0")))</f>
        <v>1</v>
      </c>
      <c r="P17" s="218"/>
    </row>
    <row r="18" spans="1:18" s="408" customFormat="1" ht="11.25" x14ac:dyDescent="0.2">
      <c r="A18" s="218"/>
      <c r="B18" s="401"/>
      <c r="C18" s="2147" t="s">
        <v>1384</v>
      </c>
      <c r="D18" s="2148"/>
      <c r="E18" s="218"/>
      <c r="F18" s="419" t="s">
        <v>827</v>
      </c>
      <c r="G18" s="402"/>
      <c r="H18" s="403">
        <f>SUM('Acct Summary 7-8'!C8+'Acct Summary 7-8'!D8+'Acct Summary 7-8'!F8+'Acct Summary 7-8'!I8)+H19</f>
        <v>30097311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-6000000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5.2344055000000003</v>
      </c>
      <c r="K20" s="405">
        <f>IF(K17&lt;=1,"0",IF(AND(O16="2", J20 &gt; 2),TRUNC(((K12-0.1)/(K17-1)*100),5)/100,IF(AND(O16 = "1", J20 &gt; 2),TRUNC(((K12-0.1)/(K17-1)*100),5)/100,IF(AND(O16="1", J20 &gt;1),TRUNC(((K12-0.1)/(K17-1)*100),5)/100,""))))</f>
        <v>5.2344055000000003</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44" t="s">
        <v>1479</v>
      </c>
      <c r="D24" s="2144"/>
      <c r="E24" s="218"/>
      <c r="F24" s="218" t="s">
        <v>465</v>
      </c>
      <c r="G24" s="402"/>
      <c r="H24" s="403">
        <f>SUM('Assets-Liab 5-6'!C4+'Assets-Liab 5-6'!D4+'Assets-Liab 5-6'!F4+'Assets-Liab 5-6'!I4+'Assets-Liab 5-6'!C5+'Assets-Liab 5-6'!D5+'Assets-Liab 5-6'!F5+'Assets-Liab 5-6'!I5)</f>
        <v>29253668</v>
      </c>
      <c r="I24" s="422"/>
      <c r="J24" s="422"/>
      <c r="K24" s="423">
        <f>TRUNC(((H24/H25*100000)/100000),2)</f>
        <v>300.64999999999998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97298.769440000004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25545091.762019999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14360000</v>
      </c>
      <c r="I32" s="420"/>
      <c r="J32" s="420"/>
      <c r="K32" s="423">
        <f>TRUNC(100-((((H32/H33*100))*100)/100),2)</f>
        <v>67.430000000000007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44092289.817000002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4" t="s">
        <v>1030</v>
      </c>
      <c r="B3" s="2155"/>
      <c r="C3" s="1579"/>
      <c r="D3" s="1580"/>
      <c r="E3" s="1580"/>
      <c r="F3" s="1580"/>
      <c r="G3" s="1580"/>
      <c r="H3" s="1580"/>
      <c r="I3" s="1580"/>
      <c r="J3" s="1580"/>
      <c r="K3" s="1580"/>
      <c r="L3" s="1580"/>
      <c r="M3" s="1581"/>
      <c r="N3" s="1582"/>
    </row>
    <row r="4" spans="1:14" ht="13.5" customHeight="1" x14ac:dyDescent="0.2">
      <c r="A4" s="463" t="s">
        <v>1750</v>
      </c>
      <c r="B4" s="464"/>
      <c r="C4" s="465">
        <f>23241072+1602308</f>
        <v>24843380</v>
      </c>
      <c r="D4" s="466">
        <v>3066414</v>
      </c>
      <c r="E4" s="466">
        <v>3277396</v>
      </c>
      <c r="F4" s="466">
        <v>1097771</v>
      </c>
      <c r="G4" s="466">
        <f>127767+625053</f>
        <v>752820</v>
      </c>
      <c r="H4" s="466">
        <v>5014650</v>
      </c>
      <c r="I4" s="466">
        <v>246103</v>
      </c>
      <c r="J4" s="467">
        <v>549340</v>
      </c>
      <c r="K4" s="466">
        <v>336114</v>
      </c>
      <c r="L4" s="466">
        <v>86831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f>11376195+2341</f>
        <v>11378536</v>
      </c>
      <c r="D6" s="466">
        <v>1432422</v>
      </c>
      <c r="E6" s="466">
        <v>1418892</v>
      </c>
      <c r="F6" s="466">
        <v>742944</v>
      </c>
      <c r="G6" s="471">
        <f>250881+273963</f>
        <v>524844</v>
      </c>
      <c r="H6" s="471"/>
      <c r="I6" s="466">
        <v>130220</v>
      </c>
      <c r="J6" s="474">
        <v>139157</v>
      </c>
      <c r="K6" s="471">
        <v>2341</v>
      </c>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462127</v>
      </c>
      <c r="D8" s="467"/>
      <c r="E8" s="467"/>
      <c r="F8" s="467">
        <v>188053</v>
      </c>
      <c r="G8" s="478"/>
      <c r="H8" s="467"/>
      <c r="I8" s="474"/>
      <c r="J8" s="474"/>
      <c r="K8" s="479"/>
      <c r="L8" s="480"/>
      <c r="M8" s="468"/>
      <c r="N8" s="469"/>
    </row>
    <row r="9" spans="1:14" ht="13.5" customHeight="1" x14ac:dyDescent="0.2">
      <c r="A9" s="473" t="s">
        <v>288</v>
      </c>
      <c r="B9" s="470">
        <v>160</v>
      </c>
      <c r="C9" s="476">
        <f>105785+7933</f>
        <v>113718</v>
      </c>
      <c r="D9" s="467">
        <v>16788</v>
      </c>
      <c r="E9" s="467">
        <v>17387</v>
      </c>
      <c r="F9" s="467">
        <v>5475</v>
      </c>
      <c r="G9" s="467">
        <f>3385+708</f>
        <v>4093</v>
      </c>
      <c r="H9" s="478">
        <v>14401</v>
      </c>
      <c r="I9" s="467">
        <v>32620</v>
      </c>
      <c r="J9" s="467">
        <v>2882</v>
      </c>
      <c r="K9" s="467">
        <v>1799</v>
      </c>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v>57416</v>
      </c>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36797761</v>
      </c>
      <c r="D13" s="1757">
        <f t="shared" ref="D13:L13" si="0">SUM(D4:D12)</f>
        <v>4515624</v>
      </c>
      <c r="E13" s="1757">
        <f t="shared" si="0"/>
        <v>4713675</v>
      </c>
      <c r="F13" s="1757">
        <f t="shared" si="0"/>
        <v>2034243</v>
      </c>
      <c r="G13" s="1757">
        <f t="shared" si="0"/>
        <v>1281757</v>
      </c>
      <c r="H13" s="1757">
        <f t="shared" si="0"/>
        <v>5029051</v>
      </c>
      <c r="I13" s="1757">
        <f t="shared" si="0"/>
        <v>408943</v>
      </c>
      <c r="J13" s="1757">
        <f t="shared" si="0"/>
        <v>748795</v>
      </c>
      <c r="K13" s="1757">
        <f t="shared" si="0"/>
        <v>340254</v>
      </c>
      <c r="L13" s="1757">
        <f t="shared" si="0"/>
        <v>86831</v>
      </c>
      <c r="M13" s="468"/>
      <c r="N13" s="469"/>
    </row>
    <row r="14" spans="1:14" ht="18" customHeight="1" thickTop="1" x14ac:dyDescent="0.2">
      <c r="A14" s="2156" t="s">
        <v>149</v>
      </c>
      <c r="B14" s="2157"/>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5311469</v>
      </c>
      <c r="N16" s="484"/>
    </row>
    <row r="17" spans="1:14" s="485" customFormat="1" ht="12.75" customHeight="1" x14ac:dyDescent="0.2">
      <c r="A17" s="482" t="s">
        <v>1470</v>
      </c>
      <c r="B17" s="483">
        <v>230</v>
      </c>
      <c r="C17" s="477"/>
      <c r="D17" s="477"/>
      <c r="E17" s="477"/>
      <c r="F17" s="477"/>
      <c r="G17" s="477"/>
      <c r="H17" s="477"/>
      <c r="I17" s="477"/>
      <c r="J17" s="477"/>
      <c r="K17" s="477"/>
      <c r="L17" s="477"/>
      <c r="M17" s="467">
        <v>45754550</v>
      </c>
      <c r="N17" s="484"/>
    </row>
    <row r="18" spans="1:14" s="485" customFormat="1" ht="12.75" customHeight="1" x14ac:dyDescent="0.2">
      <c r="A18" s="482" t="s">
        <v>1471</v>
      </c>
      <c r="B18" s="483">
        <v>240</v>
      </c>
      <c r="C18" s="477"/>
      <c r="D18" s="477"/>
      <c r="E18" s="477"/>
      <c r="F18" s="477"/>
      <c r="G18" s="477"/>
      <c r="H18" s="477"/>
      <c r="I18" s="477"/>
      <c r="J18" s="477"/>
      <c r="K18" s="477"/>
      <c r="L18" s="477"/>
      <c r="M18" s="467">
        <v>8251004</v>
      </c>
      <c r="N18" s="484"/>
    </row>
    <row r="19" spans="1:14" s="485" customFormat="1" ht="12.75" customHeight="1" x14ac:dyDescent="0.2">
      <c r="A19" s="482" t="s">
        <v>1472</v>
      </c>
      <c r="B19" s="483">
        <v>250</v>
      </c>
      <c r="C19" s="477"/>
      <c r="D19" s="477"/>
      <c r="E19" s="477"/>
      <c r="F19" s="477"/>
      <c r="G19" s="477"/>
      <c r="H19" s="477"/>
      <c r="I19" s="477"/>
      <c r="J19" s="477"/>
      <c r="K19" s="477"/>
      <c r="L19" s="477"/>
      <c r="M19" s="467">
        <v>14215728</v>
      </c>
      <c r="N19" s="484"/>
    </row>
    <row r="20" spans="1:14" s="485" customFormat="1" ht="12.75" customHeight="1" x14ac:dyDescent="0.2">
      <c r="A20" s="482" t="s">
        <v>1473</v>
      </c>
      <c r="B20" s="483">
        <v>260</v>
      </c>
      <c r="C20" s="477"/>
      <c r="D20" s="477"/>
      <c r="E20" s="477"/>
      <c r="F20" s="477"/>
      <c r="G20" s="477"/>
      <c r="H20" s="477"/>
      <c r="I20" s="477"/>
      <c r="J20" s="477"/>
      <c r="K20" s="477"/>
      <c r="L20" s="477"/>
      <c r="M20" s="467">
        <v>1421147</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3187430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11172570</v>
      </c>
    </row>
    <row r="23" spans="1:14" ht="13.5" customHeight="1" thickBot="1" x14ac:dyDescent="0.25">
      <c r="A23" s="1756" t="s">
        <v>664</v>
      </c>
      <c r="B23" s="1761"/>
      <c r="C23" s="468"/>
      <c r="D23" s="468"/>
      <c r="E23" s="468"/>
      <c r="F23" s="468"/>
      <c r="G23" s="468"/>
      <c r="H23" s="468"/>
      <c r="I23" s="468"/>
      <c r="J23" s="468"/>
      <c r="K23" s="468"/>
      <c r="L23" s="468"/>
      <c r="M23" s="1708">
        <f>SUM(M15:M22)</f>
        <v>74953898</v>
      </c>
      <c r="N23" s="1708">
        <f>SUM(N21:N22)</f>
        <v>14360000</v>
      </c>
    </row>
    <row r="24" spans="1:14" ht="18" customHeight="1" thickTop="1" x14ac:dyDescent="0.2">
      <c r="A24" s="2158" t="s">
        <v>619</v>
      </c>
      <c r="B24" s="2159"/>
      <c r="C24" s="1588"/>
      <c r="D24" s="1585"/>
      <c r="E24" s="1585"/>
      <c r="F24" s="1585"/>
      <c r="G24" s="1585"/>
      <c r="H24" s="1585"/>
      <c r="I24" s="1585"/>
      <c r="J24" s="1585"/>
      <c r="K24" s="1585"/>
      <c r="L24" s="1585"/>
      <c r="M24" s="1584"/>
      <c r="N24" s="158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172559</v>
      </c>
      <c r="D27" s="467">
        <v>46118</v>
      </c>
      <c r="E27" s="467"/>
      <c r="F27" s="467"/>
      <c r="G27" s="467"/>
      <c r="H27" s="467">
        <v>177028</v>
      </c>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f>12238417+2498</f>
        <v>12240915</v>
      </c>
      <c r="D32" s="492">
        <v>1540973</v>
      </c>
      <c r="E32" s="474">
        <v>1526245</v>
      </c>
      <c r="F32" s="474">
        <v>799280</v>
      </c>
      <c r="G32" s="474">
        <f>269757+294734</f>
        <v>564491</v>
      </c>
      <c r="H32" s="474"/>
      <c r="I32" s="474">
        <v>140088</v>
      </c>
      <c r="J32" s="474">
        <v>149865</v>
      </c>
      <c r="K32" s="479">
        <v>2498</v>
      </c>
      <c r="L32" s="468"/>
      <c r="M32" s="468"/>
      <c r="N32" s="468"/>
    </row>
    <row r="33" spans="1:14" ht="13.5" customHeight="1" x14ac:dyDescent="0.2">
      <c r="A33" s="493" t="s">
        <v>321</v>
      </c>
      <c r="B33" s="491">
        <v>493</v>
      </c>
      <c r="C33" s="467"/>
      <c r="D33" s="467"/>
      <c r="E33" s="467"/>
      <c r="F33" s="467"/>
      <c r="G33" s="467"/>
      <c r="H33" s="467"/>
      <c r="I33" s="467"/>
      <c r="J33" s="467"/>
      <c r="K33" s="467"/>
      <c r="L33" s="467">
        <v>86831</v>
      </c>
      <c r="M33" s="468"/>
      <c r="N33" s="469"/>
    </row>
    <row r="34" spans="1:14" ht="13.5" customHeight="1" thickBot="1" x14ac:dyDescent="0.25">
      <c r="A34" s="1758" t="s">
        <v>675</v>
      </c>
      <c r="B34" s="1759"/>
      <c r="C34" s="1760">
        <f>SUM(C25:C33)</f>
        <v>12413474</v>
      </c>
      <c r="D34" s="1760">
        <f t="shared" ref="D34:K34" si="1">SUM(D25:D33)</f>
        <v>1587091</v>
      </c>
      <c r="E34" s="1760">
        <f t="shared" si="1"/>
        <v>1526245</v>
      </c>
      <c r="F34" s="1760">
        <f t="shared" si="1"/>
        <v>799280</v>
      </c>
      <c r="G34" s="1760">
        <f t="shared" si="1"/>
        <v>564491</v>
      </c>
      <c r="H34" s="1760">
        <f t="shared" si="1"/>
        <v>177028</v>
      </c>
      <c r="I34" s="1760">
        <f t="shared" si="1"/>
        <v>140088</v>
      </c>
      <c r="J34" s="1760">
        <f t="shared" si="1"/>
        <v>149865</v>
      </c>
      <c r="K34" s="1760">
        <f t="shared" si="1"/>
        <v>2498</v>
      </c>
      <c r="L34" s="1741">
        <f>SUM(L33)</f>
        <v>86831</v>
      </c>
      <c r="M34" s="468"/>
      <c r="N34" s="480"/>
    </row>
    <row r="35" spans="1:14" ht="18" customHeight="1" thickTop="1" x14ac:dyDescent="0.2">
      <c r="A35" s="2160" t="s">
        <v>550</v>
      </c>
      <c r="B35" s="2161"/>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14360000</v>
      </c>
    </row>
    <row r="37" spans="1:14" ht="13.5" thickBot="1" x14ac:dyDescent="0.25">
      <c r="A37" s="1756" t="s">
        <v>674</v>
      </c>
      <c r="B37" s="1761"/>
      <c r="C37" s="477"/>
      <c r="D37" s="477"/>
      <c r="E37" s="477"/>
      <c r="F37" s="477"/>
      <c r="G37" s="477"/>
      <c r="H37" s="477"/>
      <c r="I37" s="477"/>
      <c r="J37" s="477"/>
      <c r="K37" s="477"/>
      <c r="L37" s="480"/>
      <c r="M37" s="468"/>
      <c r="N37" s="1708">
        <f>SUM(N36:N36)</f>
        <v>14360000</v>
      </c>
    </row>
    <row r="38" spans="1:14" s="329" customFormat="1" ht="13.5" customHeight="1" thickTop="1" x14ac:dyDescent="0.2">
      <c r="A38" s="496" t="s">
        <v>440</v>
      </c>
      <c r="B38" s="483">
        <v>714</v>
      </c>
      <c r="C38" s="466"/>
      <c r="D38" s="466">
        <v>2928533</v>
      </c>
      <c r="E38" s="466">
        <v>3187430</v>
      </c>
      <c r="F38" s="466">
        <v>1234963</v>
      </c>
      <c r="G38" s="466">
        <f>109599+607667</f>
        <v>717266</v>
      </c>
      <c r="H38" s="466">
        <v>4852023</v>
      </c>
      <c r="I38" s="466"/>
      <c r="J38" s="467">
        <v>598930</v>
      </c>
      <c r="K38" s="466">
        <v>337756</v>
      </c>
      <c r="L38" s="481"/>
      <c r="M38" s="497"/>
      <c r="N38" s="497"/>
    </row>
    <row r="39" spans="1:14" s="329" customFormat="1" ht="13.5" customHeight="1" x14ac:dyDescent="0.2">
      <c r="A39" s="496" t="s">
        <v>360</v>
      </c>
      <c r="B39" s="483">
        <v>730</v>
      </c>
      <c r="C39" s="466">
        <f>22774203+1610084</f>
        <v>24384287</v>
      </c>
      <c r="D39" s="466"/>
      <c r="E39" s="466"/>
      <c r="F39" s="466"/>
      <c r="G39" s="466"/>
      <c r="H39" s="466"/>
      <c r="I39" s="466">
        <v>268855</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74953898</v>
      </c>
      <c r="N40" s="497"/>
    </row>
    <row r="41" spans="1:14" ht="13.5" customHeight="1" thickBot="1" x14ac:dyDescent="0.25">
      <c r="A41" s="1756" t="s">
        <v>676</v>
      </c>
      <c r="B41" s="1726"/>
      <c r="C41" s="1708">
        <f>(SUM(C34,C37,C38,C39))</f>
        <v>36797761</v>
      </c>
      <c r="D41" s="1708">
        <f t="shared" ref="D41:L41" si="2">SUM(D34,D37,D38:D39)</f>
        <v>4515624</v>
      </c>
      <c r="E41" s="1708">
        <f t="shared" si="2"/>
        <v>4713675</v>
      </c>
      <c r="F41" s="1708">
        <f t="shared" si="2"/>
        <v>2034243</v>
      </c>
      <c r="G41" s="1708">
        <f t="shared" si="2"/>
        <v>1281757</v>
      </c>
      <c r="H41" s="1708">
        <f t="shared" si="2"/>
        <v>5029051</v>
      </c>
      <c r="I41" s="1708">
        <f t="shared" si="2"/>
        <v>408943</v>
      </c>
      <c r="J41" s="1708">
        <f t="shared" si="2"/>
        <v>748795</v>
      </c>
      <c r="K41" s="1708">
        <f t="shared" si="2"/>
        <v>340254</v>
      </c>
      <c r="L41" s="1708">
        <f t="shared" si="2"/>
        <v>86831</v>
      </c>
      <c r="M41" s="1708">
        <f>SUM(M40)</f>
        <v>74953898</v>
      </c>
      <c r="N41" s="1708">
        <f>SUM(N37)</f>
        <v>14360000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5" zoomScaleNormal="85" zoomScaleSheetLayoutView="100" workbookViewId="0">
      <pane ySplit="2" topLeftCell="A48" activePane="bottomLeft" state="frozenSplit"/>
      <selection activeCell="A47" sqref="A47"/>
      <selection pane="bottomLeft" activeCell="I75" sqref="I7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7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82" t="s">
        <v>1237</v>
      </c>
      <c r="B3" s="2183"/>
      <c r="C3" s="1593"/>
      <c r="D3" s="1594"/>
      <c r="E3" s="1594"/>
      <c r="F3" s="1594"/>
      <c r="G3" s="1594"/>
      <c r="H3" s="1594"/>
      <c r="I3" s="1594"/>
      <c r="J3" s="1594"/>
      <c r="K3" s="1595"/>
      <c r="L3" s="506"/>
    </row>
    <row r="4" spans="1:13" ht="15.75" customHeight="1" x14ac:dyDescent="0.2">
      <c r="A4" s="1951" t="s">
        <v>1579</v>
      </c>
      <c r="B4" s="1952">
        <v>1000</v>
      </c>
      <c r="C4" s="1762">
        <f>'Revenues 9-14'!C109</f>
        <v>24005629</v>
      </c>
      <c r="D4" s="1762">
        <f>'Revenues 9-14'!D109</f>
        <v>3090743</v>
      </c>
      <c r="E4" s="1762">
        <f>'Revenues 9-14'!E109</f>
        <v>3089447</v>
      </c>
      <c r="F4" s="1762">
        <f>'Revenues 9-14'!F109</f>
        <v>2842883</v>
      </c>
      <c r="G4" s="1762">
        <f>'Revenues 9-14'!G109</f>
        <v>1086537</v>
      </c>
      <c r="H4" s="1762">
        <f>'Revenues 9-14'!H109</f>
        <v>41012</v>
      </c>
      <c r="I4" s="1762">
        <f>'Revenues 9-14'!I109</f>
        <v>366654</v>
      </c>
      <c r="J4" s="1762">
        <f>'Revenues 9-14'!J109</f>
        <v>306362</v>
      </c>
      <c r="K4" s="1762">
        <f>'Revenues 9-14'!K109</f>
        <v>10133</v>
      </c>
      <c r="L4" s="347"/>
    </row>
    <row r="5" spans="1:13" ht="15.75" customHeight="1" x14ac:dyDescent="0.2">
      <c r="A5" s="1596" t="s">
        <v>1580</v>
      </c>
      <c r="B5" s="1597">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6" t="s">
        <v>1581</v>
      </c>
      <c r="B6" s="1598">
        <v>3000</v>
      </c>
      <c r="C6" s="1763">
        <f>'Revenues 9-14'!C173</f>
        <v>3142133</v>
      </c>
      <c r="D6" s="1763">
        <f>'Revenues 9-14'!D173</f>
        <v>0</v>
      </c>
      <c r="E6" s="1763">
        <f>'Revenues 9-14'!E173</f>
        <v>0</v>
      </c>
      <c r="F6" s="1763">
        <f>'Revenues 9-14'!F173</f>
        <v>666844</v>
      </c>
      <c r="G6" s="1763">
        <f>'Revenues 9-14'!G173</f>
        <v>0</v>
      </c>
      <c r="H6" s="1763">
        <f>'Revenues 9-14'!H173</f>
        <v>0</v>
      </c>
      <c r="I6" s="1763">
        <f>'Revenues 9-14'!I173</f>
        <v>0</v>
      </c>
      <c r="J6" s="1763">
        <f>'Revenues 9-14'!J173</f>
        <v>0</v>
      </c>
      <c r="K6" s="1763">
        <f>'Revenues 9-14'!K173</f>
        <v>0</v>
      </c>
      <c r="L6" s="347"/>
      <c r="M6" s="513"/>
    </row>
    <row r="7" spans="1:13" ht="15.75" customHeight="1" x14ac:dyDescent="0.2">
      <c r="A7" s="1596" t="s">
        <v>1582</v>
      </c>
      <c r="B7" s="1598">
        <v>4000</v>
      </c>
      <c r="C7" s="1763">
        <f>'Revenues 9-14'!C274</f>
        <v>1982425</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29130187</v>
      </c>
      <c r="D8" s="1708">
        <f t="shared" ref="D8:K8" si="0">SUM(D4:D7)</f>
        <v>3090743</v>
      </c>
      <c r="E8" s="1708">
        <f t="shared" si="0"/>
        <v>3089447</v>
      </c>
      <c r="F8" s="1708">
        <f t="shared" si="0"/>
        <v>3509727</v>
      </c>
      <c r="G8" s="1708">
        <f t="shared" si="0"/>
        <v>1086537</v>
      </c>
      <c r="H8" s="1708">
        <f t="shared" si="0"/>
        <v>41012</v>
      </c>
      <c r="I8" s="1708">
        <f t="shared" si="0"/>
        <v>366654</v>
      </c>
      <c r="J8" s="1708">
        <f t="shared" si="0"/>
        <v>306362</v>
      </c>
      <c r="K8" s="1708">
        <f t="shared" si="0"/>
        <v>10133</v>
      </c>
      <c r="L8" s="347"/>
    </row>
    <row r="9" spans="1:13" ht="15.75" thickTop="1" x14ac:dyDescent="0.2">
      <c r="A9" s="514" t="s">
        <v>1752</v>
      </c>
      <c r="B9" s="515">
        <v>3998</v>
      </c>
      <c r="C9" s="481">
        <v>7822693</v>
      </c>
      <c r="D9" s="516"/>
      <c r="E9" s="481"/>
      <c r="F9" s="481"/>
      <c r="G9" s="517"/>
      <c r="H9" s="481"/>
      <c r="I9" s="509" t="s">
        <v>1231</v>
      </c>
      <c r="J9" s="478"/>
      <c r="K9" s="481"/>
      <c r="L9" s="347"/>
    </row>
    <row r="10" spans="1:13" s="519" customFormat="1" ht="13.5" thickBot="1" x14ac:dyDescent="0.25">
      <c r="A10" s="1756" t="s">
        <v>1235</v>
      </c>
      <c r="B10" s="1729"/>
      <c r="C10" s="1708">
        <f>SUM(C8:C9)</f>
        <v>36952880</v>
      </c>
      <c r="D10" s="1708">
        <f t="shared" ref="D10:K10" si="1">SUM(D8:D9)</f>
        <v>3090743</v>
      </c>
      <c r="E10" s="1708">
        <f t="shared" si="1"/>
        <v>3089447</v>
      </c>
      <c r="F10" s="1708">
        <f t="shared" si="1"/>
        <v>3509727</v>
      </c>
      <c r="G10" s="1708">
        <f t="shared" si="1"/>
        <v>1086537</v>
      </c>
      <c r="H10" s="1708">
        <f t="shared" si="1"/>
        <v>41012</v>
      </c>
      <c r="I10" s="1708">
        <f t="shared" si="1"/>
        <v>366654</v>
      </c>
      <c r="J10" s="1708">
        <f t="shared" si="1"/>
        <v>306362</v>
      </c>
      <c r="K10" s="1708">
        <f t="shared" si="1"/>
        <v>10133</v>
      </c>
      <c r="L10" s="518"/>
    </row>
    <row r="11" spans="1:13" s="519" customFormat="1" ht="16.7" customHeight="1" thickTop="1" x14ac:dyDescent="0.2">
      <c r="A11" s="2156" t="s">
        <v>1238</v>
      </c>
      <c r="B11" s="2157"/>
      <c r="C11" s="1590"/>
      <c r="D11" s="1591"/>
      <c r="E11" s="1591"/>
      <c r="F11" s="1591"/>
      <c r="G11" s="1591"/>
      <c r="H11" s="1591"/>
      <c r="I11" s="1591"/>
      <c r="J11" s="1591"/>
      <c r="K11" s="1592"/>
      <c r="L11" s="518"/>
    </row>
    <row r="12" spans="1:13" ht="15.75" customHeight="1" x14ac:dyDescent="0.2">
      <c r="A12" s="1596" t="s">
        <v>476</v>
      </c>
      <c r="B12" s="1598">
        <v>1000</v>
      </c>
      <c r="C12" s="1762">
        <f>'Expenditures 15-22'!K33</f>
        <v>21336009</v>
      </c>
      <c r="D12" s="520" t="s">
        <v>1231</v>
      </c>
      <c r="E12" s="468" t="s">
        <v>1231</v>
      </c>
      <c r="F12" s="468" t="s">
        <v>1231</v>
      </c>
      <c r="G12" s="1762">
        <f>'Expenditures 15-22'!K229</f>
        <v>553266</v>
      </c>
      <c r="H12" s="521"/>
      <c r="I12" s="468" t="s">
        <v>1231</v>
      </c>
      <c r="J12" s="468" t="s">
        <v>1231</v>
      </c>
      <c r="K12" s="521" t="s">
        <v>1231</v>
      </c>
      <c r="L12" s="347"/>
    </row>
    <row r="13" spans="1:13" ht="15.75" customHeight="1" x14ac:dyDescent="0.2">
      <c r="A13" s="1596" t="s">
        <v>477</v>
      </c>
      <c r="B13" s="1598">
        <v>2000</v>
      </c>
      <c r="C13" s="1763">
        <f>'Expenditures 15-22'!K74</f>
        <v>7620791</v>
      </c>
      <c r="D13" s="1763">
        <f>'Expenditures 15-22'!K129</f>
        <v>3233346</v>
      </c>
      <c r="E13" s="469" t="s">
        <v>1231</v>
      </c>
      <c r="F13" s="1763">
        <f>'Expenditures 15-22'!K184</f>
        <v>1613744</v>
      </c>
      <c r="G13" s="1763">
        <f>'Expenditures 15-22'!K279</f>
        <v>539831</v>
      </c>
      <c r="H13" s="1763">
        <f>'Expenditures 15-22'!K303</f>
        <v>1490753</v>
      </c>
      <c r="I13" s="468" t="s">
        <v>1231</v>
      </c>
      <c r="J13" s="1763">
        <f>'Expenditures 15-22'!K330</f>
        <v>258691</v>
      </c>
      <c r="K13" s="1767">
        <f>'Expenditures 15-22'!K352</f>
        <v>0</v>
      </c>
      <c r="L13" s="347"/>
    </row>
    <row r="14" spans="1:13" ht="15.75" customHeight="1" x14ac:dyDescent="0.2">
      <c r="A14" s="1596" t="s">
        <v>469</v>
      </c>
      <c r="B14" s="1598">
        <v>3000</v>
      </c>
      <c r="C14" s="1763">
        <f>'Expenditures 15-22'!K75</f>
        <v>227034</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6" t="s">
        <v>109</v>
      </c>
      <c r="B15" s="1598">
        <v>4000</v>
      </c>
      <c r="C15" s="1763">
        <f>'Expenditures 15-22'!K102</f>
        <v>996633</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2921714</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30180467</v>
      </c>
      <c r="D17" s="1708">
        <f t="shared" si="2"/>
        <v>3233346</v>
      </c>
      <c r="E17" s="1708">
        <f t="shared" si="2"/>
        <v>2921714</v>
      </c>
      <c r="F17" s="1708">
        <f t="shared" si="2"/>
        <v>1613744</v>
      </c>
      <c r="G17" s="1708">
        <f t="shared" si="2"/>
        <v>1093097</v>
      </c>
      <c r="H17" s="1708">
        <f t="shared" si="2"/>
        <v>1490753</v>
      </c>
      <c r="I17" s="468"/>
      <c r="J17" s="1708">
        <f>SUM(J12:J16)</f>
        <v>258691</v>
      </c>
      <c r="K17" s="1708">
        <f>SUM(K12:K16)</f>
        <v>0</v>
      </c>
      <c r="L17" s="347"/>
    </row>
    <row r="18" spans="1:12" ht="15" customHeight="1" thickTop="1" x14ac:dyDescent="0.2">
      <c r="A18" s="1764" t="s">
        <v>1753</v>
      </c>
      <c r="B18" s="1765">
        <v>4180</v>
      </c>
      <c r="C18" s="1762">
        <f t="shared" ref="C18:H18" si="3">C9</f>
        <v>7822693</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38003160</v>
      </c>
      <c r="D19" s="1708">
        <f t="shared" si="4"/>
        <v>3233346</v>
      </c>
      <c r="E19" s="1708">
        <f t="shared" si="4"/>
        <v>2921714</v>
      </c>
      <c r="F19" s="1708">
        <f t="shared" si="4"/>
        <v>1613744</v>
      </c>
      <c r="G19" s="1708">
        <f t="shared" si="4"/>
        <v>1093097</v>
      </c>
      <c r="H19" s="1708">
        <f t="shared" si="4"/>
        <v>1490753</v>
      </c>
      <c r="I19" s="468"/>
      <c r="J19" s="1708">
        <f>SUM(J17:J18)</f>
        <v>258691</v>
      </c>
      <c r="K19" s="1708">
        <f>SUM(K17:K18)</f>
        <v>0</v>
      </c>
      <c r="L19" s="347"/>
    </row>
    <row r="20" spans="1:12" ht="16.5" thickTop="1" thickBot="1" x14ac:dyDescent="0.25">
      <c r="A20" s="2172" t="s">
        <v>1754</v>
      </c>
      <c r="B20" s="2173"/>
      <c r="C20" s="1766">
        <f>C8-C17</f>
        <v>-1050280</v>
      </c>
      <c r="D20" s="1766">
        <f t="shared" ref="D20:K20" si="5">D8-D17</f>
        <v>-142603</v>
      </c>
      <c r="E20" s="1766">
        <f t="shared" si="5"/>
        <v>167733</v>
      </c>
      <c r="F20" s="1766">
        <f t="shared" si="5"/>
        <v>1895983</v>
      </c>
      <c r="G20" s="1766">
        <f t="shared" si="5"/>
        <v>-6560</v>
      </c>
      <c r="H20" s="1766">
        <f t="shared" si="5"/>
        <v>-1449741</v>
      </c>
      <c r="I20" s="1766">
        <f t="shared" si="5"/>
        <v>366654</v>
      </c>
      <c r="J20" s="1766">
        <f t="shared" si="5"/>
        <v>47671</v>
      </c>
      <c r="K20" s="1766">
        <f t="shared" si="5"/>
        <v>10133</v>
      </c>
      <c r="L20" s="347"/>
    </row>
    <row r="21" spans="1:12" ht="16.7" customHeight="1" thickTop="1" x14ac:dyDescent="0.2">
      <c r="A21" s="2184" t="s">
        <v>616</v>
      </c>
      <c r="B21" s="2185"/>
      <c r="C21" s="1590"/>
      <c r="D21" s="1591"/>
      <c r="E21" s="1591"/>
      <c r="F21" s="1591"/>
      <c r="G21" s="1591"/>
      <c r="H21" s="1591"/>
      <c r="I21" s="1591"/>
      <c r="J21" s="1591"/>
      <c r="K21" s="1592"/>
      <c r="L21" s="524"/>
    </row>
    <row r="22" spans="1:12" ht="15.75" customHeight="1" collapsed="1" x14ac:dyDescent="0.2">
      <c r="A22" s="2180" t="s">
        <v>617</v>
      </c>
      <c r="B22" s="2181"/>
      <c r="C22" s="477"/>
      <c r="D22" s="477"/>
      <c r="E22" s="477"/>
      <c r="F22" s="477"/>
      <c r="G22" s="477"/>
      <c r="H22" s="477"/>
      <c r="I22" s="477"/>
      <c r="J22" s="477"/>
      <c r="K22" s="477"/>
      <c r="L22" s="347"/>
    </row>
    <row r="23" spans="1:12" s="485" customFormat="1" ht="15.75" customHeight="1" x14ac:dyDescent="0.2">
      <c r="A23" s="2176" t="s">
        <v>311</v>
      </c>
      <c r="B23" s="2177"/>
      <c r="C23" s="480"/>
      <c r="D23" s="477"/>
      <c r="E23" s="477"/>
      <c r="F23" s="477"/>
      <c r="G23" s="477"/>
      <c r="H23" s="477"/>
      <c r="I23" s="477"/>
      <c r="J23" s="477"/>
      <c r="K23" s="477"/>
      <c r="L23" s="524"/>
    </row>
    <row r="24" spans="1:12" s="485" customFormat="1" ht="13.5" customHeight="1" x14ac:dyDescent="0.2">
      <c r="A24" s="1509" t="s">
        <v>1755</v>
      </c>
      <c r="B24" s="525">
        <v>7110</v>
      </c>
      <c r="C24" s="467"/>
      <c r="D24" s="477"/>
      <c r="E24" s="477"/>
      <c r="F24" s="477"/>
      <c r="G24" s="477"/>
      <c r="H24" s="477"/>
      <c r="I24" s="477"/>
      <c r="J24" s="477"/>
      <c r="K24" s="477"/>
      <c r="L24" s="524"/>
    </row>
    <row r="25" spans="1:12" s="485" customFormat="1" ht="13.5" customHeight="1" x14ac:dyDescent="0.2">
      <c r="A25" s="1509" t="s">
        <v>1756</v>
      </c>
      <c r="B25" s="525">
        <v>7110</v>
      </c>
      <c r="C25" s="467">
        <v>5997181</v>
      </c>
      <c r="D25" s="467">
        <v>6000000</v>
      </c>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v>1800000</v>
      </c>
      <c r="D27" s="467"/>
      <c r="E27" s="526"/>
      <c r="F27" s="467"/>
      <c r="G27" s="480"/>
      <c r="H27" s="480"/>
      <c r="I27" s="480"/>
      <c r="J27" s="480"/>
      <c r="K27" s="480"/>
      <c r="L27" s="524"/>
    </row>
    <row r="28" spans="1:12" s="485" customFormat="1" ht="13.5" customHeight="1" x14ac:dyDescent="0.2">
      <c r="A28" s="1509" t="s">
        <v>1465</v>
      </c>
      <c r="B28" s="483">
        <v>7140</v>
      </c>
      <c r="C28" s="467"/>
      <c r="D28" s="467"/>
      <c r="E28" s="467"/>
      <c r="F28" s="467"/>
      <c r="G28" s="467"/>
      <c r="H28" s="467"/>
      <c r="I28" s="467"/>
      <c r="J28" s="467"/>
      <c r="K28" s="467"/>
      <c r="L28" s="524"/>
    </row>
    <row r="29" spans="1:12" s="485" customFormat="1" ht="13.5" customHeight="1" x14ac:dyDescent="0.2">
      <c r="A29" s="1509" t="s">
        <v>312</v>
      </c>
      <c r="B29" s="483">
        <v>7150</v>
      </c>
      <c r="C29" s="475"/>
      <c r="D29" s="467"/>
      <c r="E29" s="475"/>
      <c r="F29" s="475"/>
      <c r="G29" s="475"/>
      <c r="H29" s="475"/>
      <c r="I29" s="475"/>
      <c r="J29" s="475"/>
      <c r="K29" s="475"/>
      <c r="L29" s="524"/>
    </row>
    <row r="30" spans="1:12" s="485" customFormat="1" ht="26.25" x14ac:dyDescent="0.2">
      <c r="A30" s="1509" t="s">
        <v>1893</v>
      </c>
      <c r="B30" s="527">
        <v>7160</v>
      </c>
      <c r="C30" s="477"/>
      <c r="D30" s="467"/>
      <c r="E30" s="477"/>
      <c r="F30" s="477"/>
      <c r="G30" s="477"/>
      <c r="H30" s="477"/>
      <c r="I30" s="477"/>
      <c r="J30" s="477"/>
      <c r="K30" s="477"/>
      <c r="L30" s="524"/>
    </row>
    <row r="31" spans="1:12" s="485" customFormat="1" ht="26.25" x14ac:dyDescent="0.2">
      <c r="A31" s="1509" t="s">
        <v>1897</v>
      </c>
      <c r="B31" s="527">
        <v>7170</v>
      </c>
      <c r="C31" s="477"/>
      <c r="D31" s="477"/>
      <c r="E31" s="474"/>
      <c r="F31" s="477"/>
      <c r="G31" s="477"/>
      <c r="H31" s="477"/>
      <c r="I31" s="477"/>
      <c r="J31" s="477"/>
      <c r="K31" s="477"/>
      <c r="L31" s="524"/>
    </row>
    <row r="32" spans="1:12" s="485" customFormat="1" ht="15.75" customHeight="1" x14ac:dyDescent="0.2">
      <c r="A32" s="2178" t="s">
        <v>1038</v>
      </c>
      <c r="B32" s="2179"/>
      <c r="C32" s="477"/>
      <c r="D32" s="477"/>
      <c r="E32" s="475"/>
      <c r="F32" s="477"/>
      <c r="G32" s="477"/>
      <c r="H32" s="477"/>
      <c r="I32" s="477"/>
      <c r="J32" s="477"/>
      <c r="K32" s="477"/>
      <c r="L32" s="524"/>
    </row>
    <row r="33" spans="1:12" s="485" customFormat="1" x14ac:dyDescent="0.2">
      <c r="A33" s="1509" t="s">
        <v>432</v>
      </c>
      <c r="B33" s="525">
        <v>7210</v>
      </c>
      <c r="C33" s="467"/>
      <c r="D33" s="467"/>
      <c r="E33" s="467"/>
      <c r="F33" s="467"/>
      <c r="G33" s="477"/>
      <c r="H33" s="467"/>
      <c r="I33" s="467"/>
      <c r="J33" s="467"/>
      <c r="K33" s="467"/>
      <c r="L33" s="524"/>
    </row>
    <row r="34" spans="1:12" s="485" customFormat="1" x14ac:dyDescent="0.2">
      <c r="A34" s="1509" t="s">
        <v>1058</v>
      </c>
      <c r="B34" s="525">
        <v>7220</v>
      </c>
      <c r="C34" s="467"/>
      <c r="D34" s="467"/>
      <c r="E34" s="467"/>
      <c r="F34" s="467"/>
      <c r="G34" s="477"/>
      <c r="H34" s="478"/>
      <c r="I34" s="478"/>
      <c r="J34" s="478"/>
      <c r="K34" s="478"/>
      <c r="L34" s="524"/>
    </row>
    <row r="35" spans="1:12" s="485" customFormat="1" x14ac:dyDescent="0.2">
      <c r="A35" s="1509" t="s">
        <v>1047</v>
      </c>
      <c r="B35" s="525">
        <v>7230</v>
      </c>
      <c r="C35" s="467"/>
      <c r="D35" s="467"/>
      <c r="E35" s="467"/>
      <c r="F35" s="467"/>
      <c r="G35" s="480"/>
      <c r="H35" s="467"/>
      <c r="I35" s="467"/>
      <c r="J35" s="467"/>
      <c r="K35" s="467"/>
      <c r="L35" s="524"/>
    </row>
    <row r="36" spans="1:12" s="485" customFormat="1" ht="15" x14ac:dyDescent="0.2">
      <c r="A36" s="1509" t="s">
        <v>1757</v>
      </c>
      <c r="B36" s="525">
        <v>7300</v>
      </c>
      <c r="C36" s="467"/>
      <c r="D36" s="467"/>
      <c r="E36" s="467"/>
      <c r="F36" s="467"/>
      <c r="G36" s="467"/>
      <c r="H36" s="467"/>
      <c r="I36" s="475"/>
      <c r="J36" s="467"/>
      <c r="K36" s="467"/>
      <c r="L36" s="524"/>
    </row>
    <row r="37" spans="1:12" s="485" customFormat="1" x14ac:dyDescent="0.2">
      <c r="A37" s="1509" t="s">
        <v>461</v>
      </c>
      <c r="B37" s="525">
        <v>7400</v>
      </c>
      <c r="C37" s="475"/>
      <c r="D37" s="475"/>
      <c r="E37" s="1763">
        <f>SUM(C54:D57,H54:H57)</f>
        <v>0</v>
      </c>
      <c r="F37" s="475"/>
      <c r="G37" s="475"/>
      <c r="H37" s="475"/>
      <c r="I37" s="477"/>
      <c r="J37" s="475"/>
      <c r="K37" s="475"/>
      <c r="L37" s="524"/>
    </row>
    <row r="38" spans="1:12" s="485" customFormat="1" x14ac:dyDescent="0.2">
      <c r="A38" s="1509" t="s">
        <v>462</v>
      </c>
      <c r="B38" s="525">
        <v>7500</v>
      </c>
      <c r="C38" s="477"/>
      <c r="D38" s="477"/>
      <c r="E38" s="1763">
        <f>SUM(C58:D61,H58:H61)</f>
        <v>0</v>
      </c>
      <c r="F38" s="477"/>
      <c r="G38" s="477"/>
      <c r="H38" s="477"/>
      <c r="I38" s="477"/>
      <c r="J38" s="477"/>
      <c r="K38" s="477"/>
      <c r="L38" s="524"/>
    </row>
    <row r="39" spans="1:12" s="485" customFormat="1" x14ac:dyDescent="0.2">
      <c r="A39" s="1509" t="s">
        <v>463</v>
      </c>
      <c r="B39" s="525">
        <v>7600</v>
      </c>
      <c r="C39" s="477"/>
      <c r="D39" s="477"/>
      <c r="E39" s="1763">
        <f>SUM(C62:D65)</f>
        <v>0</v>
      </c>
      <c r="F39" s="477"/>
      <c r="G39" s="477"/>
      <c r="H39" s="477"/>
      <c r="I39" s="477"/>
      <c r="J39" s="477"/>
      <c r="K39" s="477"/>
      <c r="L39" s="524"/>
    </row>
    <row r="40" spans="1:12" s="485" customFormat="1" ht="13.5" customHeight="1" x14ac:dyDescent="0.2">
      <c r="A40" s="1509" t="s">
        <v>663</v>
      </c>
      <c r="B40" s="483">
        <v>7700</v>
      </c>
      <c r="C40" s="477"/>
      <c r="D40" s="477"/>
      <c r="E40" s="1763">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3">
        <f>SUM(C70:D73)</f>
        <v>6000000</v>
      </c>
      <c r="I41" s="477"/>
      <c r="J41" s="477"/>
      <c r="K41" s="480"/>
      <c r="L41" s="524"/>
    </row>
    <row r="42" spans="1:12" s="485" customFormat="1" ht="13.5" customHeight="1" x14ac:dyDescent="0.2">
      <c r="A42" s="1509" t="s">
        <v>662</v>
      </c>
      <c r="B42" s="483">
        <v>7900</v>
      </c>
      <c r="C42" s="467"/>
      <c r="D42" s="467"/>
      <c r="E42" s="467"/>
      <c r="F42" s="467"/>
      <c r="G42" s="467"/>
      <c r="H42" s="467"/>
      <c r="I42" s="480"/>
      <c r="J42" s="480"/>
      <c r="K42" s="467"/>
      <c r="L42" s="524"/>
    </row>
    <row r="43" spans="1:12" s="485" customFormat="1" ht="13.5" customHeight="1" x14ac:dyDescent="0.2">
      <c r="A43" s="1509" t="s">
        <v>391</v>
      </c>
      <c r="B43" s="483">
        <v>7990</v>
      </c>
      <c r="C43" s="467"/>
      <c r="D43" s="467"/>
      <c r="E43" s="467"/>
      <c r="F43" s="467"/>
      <c r="G43" s="467"/>
      <c r="H43" s="467"/>
      <c r="I43" s="467"/>
      <c r="J43" s="467"/>
      <c r="K43" s="467"/>
      <c r="L43" s="524"/>
    </row>
    <row r="44" spans="1:12" s="485" customFormat="1" ht="13.5" customHeight="1" thickBot="1" x14ac:dyDescent="0.25">
      <c r="A44" s="2186" t="s">
        <v>392</v>
      </c>
      <c r="B44" s="2187"/>
      <c r="C44" s="1723">
        <f>SUM(C24:C43)</f>
        <v>7797181</v>
      </c>
      <c r="D44" s="1723">
        <f t="shared" ref="D44:K44" si="6">SUM(D24:D43)</f>
        <v>6000000</v>
      </c>
      <c r="E44" s="1723">
        <f t="shared" si="6"/>
        <v>0</v>
      </c>
      <c r="F44" s="1723">
        <f t="shared" si="6"/>
        <v>0</v>
      </c>
      <c r="G44" s="1723">
        <f t="shared" si="6"/>
        <v>0</v>
      </c>
      <c r="H44" s="1723">
        <f t="shared" si="6"/>
        <v>6000000</v>
      </c>
      <c r="I44" s="1723">
        <f t="shared" si="6"/>
        <v>0</v>
      </c>
      <c r="J44" s="1723">
        <f t="shared" si="6"/>
        <v>0</v>
      </c>
      <c r="K44" s="1723">
        <f t="shared" si="6"/>
        <v>0</v>
      </c>
      <c r="L44" s="524"/>
    </row>
    <row r="45" spans="1:12" ht="15.75" customHeight="1" thickTop="1" x14ac:dyDescent="0.2">
      <c r="A45" s="2180" t="s">
        <v>110</v>
      </c>
      <c r="B45" s="2181"/>
      <c r="C45" s="528"/>
      <c r="D45" s="528"/>
      <c r="E45" s="528"/>
      <c r="F45" s="528"/>
      <c r="G45" s="528"/>
      <c r="H45" s="528"/>
      <c r="I45" s="528"/>
      <c r="J45" s="528"/>
      <c r="K45" s="528"/>
      <c r="L45" s="347"/>
    </row>
    <row r="46" spans="1:12" s="485" customFormat="1" ht="15.75" customHeight="1" x14ac:dyDescent="0.2">
      <c r="A46" s="2188" t="s">
        <v>111</v>
      </c>
      <c r="B46" s="2189"/>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3">
        <f>SUM(C24,C25:H25,J25:K25)</f>
        <v>11997181</v>
      </c>
      <c r="J47" s="477"/>
      <c r="K47" s="477"/>
      <c r="L47" s="529"/>
    </row>
    <row r="48" spans="1:12" s="485" customFormat="1" ht="15" x14ac:dyDescent="0.2">
      <c r="A48" s="1510" t="s">
        <v>1759</v>
      </c>
      <c r="B48" s="483">
        <v>8120</v>
      </c>
      <c r="C48" s="480"/>
      <c r="D48" s="480"/>
      <c r="E48" s="477"/>
      <c r="F48" s="480"/>
      <c r="G48" s="477"/>
      <c r="H48" s="477"/>
      <c r="I48" s="1763">
        <f>SUM(C26:H26,J26,K26)</f>
        <v>0</v>
      </c>
      <c r="J48" s="477"/>
      <c r="K48" s="477"/>
      <c r="L48" s="529"/>
    </row>
    <row r="49" spans="1:12" s="485" customFormat="1" x14ac:dyDescent="0.2">
      <c r="A49" s="1510" t="s">
        <v>194</v>
      </c>
      <c r="B49" s="483">
        <v>8130</v>
      </c>
      <c r="C49" s="467"/>
      <c r="D49" s="467"/>
      <c r="E49" s="480"/>
      <c r="F49" s="467">
        <v>1800000</v>
      </c>
      <c r="G49" s="480"/>
      <c r="H49" s="480"/>
      <c r="I49" s="477"/>
      <c r="J49" s="480"/>
      <c r="K49" s="477"/>
      <c r="L49" s="524"/>
    </row>
    <row r="50" spans="1:12" s="485" customFormat="1" x14ac:dyDescent="0.2">
      <c r="A50" s="1510" t="s">
        <v>1465</v>
      </c>
      <c r="B50" s="483">
        <v>8140</v>
      </c>
      <c r="C50" s="467"/>
      <c r="D50" s="467"/>
      <c r="E50" s="467"/>
      <c r="F50" s="467"/>
      <c r="G50" s="467"/>
      <c r="H50" s="467"/>
      <c r="I50" s="477"/>
      <c r="J50" s="467"/>
      <c r="K50" s="477"/>
      <c r="L50" s="524"/>
    </row>
    <row r="51" spans="1:12" s="485" customFormat="1" x14ac:dyDescent="0.2">
      <c r="A51" s="1510" t="s">
        <v>312</v>
      </c>
      <c r="B51" s="483">
        <v>8150</v>
      </c>
      <c r="C51" s="475"/>
      <c r="D51" s="475"/>
      <c r="E51" s="475"/>
      <c r="F51" s="475"/>
      <c r="G51" s="475"/>
      <c r="H51" s="1763">
        <f>SUM(D29)</f>
        <v>0</v>
      </c>
      <c r="I51" s="477"/>
      <c r="J51" s="475"/>
      <c r="K51" s="480"/>
      <c r="L51" s="524"/>
    </row>
    <row r="52" spans="1:12" s="485" customFormat="1" ht="26.25" x14ac:dyDescent="0.2">
      <c r="A52" s="1510" t="s">
        <v>1896</v>
      </c>
      <c r="B52" s="483">
        <v>8160</v>
      </c>
      <c r="C52" s="477"/>
      <c r="D52" s="477"/>
      <c r="E52" s="477"/>
      <c r="F52" s="477"/>
      <c r="G52" s="477"/>
      <c r="H52" s="477"/>
      <c r="I52" s="477"/>
      <c r="J52" s="477"/>
      <c r="K52" s="1763">
        <f>D30</f>
        <v>0</v>
      </c>
      <c r="L52" s="524"/>
    </row>
    <row r="53" spans="1:12" s="485" customFormat="1" ht="26.25" x14ac:dyDescent="0.2">
      <c r="A53" s="1510" t="s">
        <v>1895</v>
      </c>
      <c r="B53" s="483">
        <v>8170</v>
      </c>
      <c r="C53" s="480"/>
      <c r="D53" s="480"/>
      <c r="E53" s="477"/>
      <c r="F53" s="477"/>
      <c r="G53" s="477"/>
      <c r="H53" s="480"/>
      <c r="I53" s="477"/>
      <c r="J53" s="477"/>
      <c r="K53" s="1763">
        <f>E31</f>
        <v>0</v>
      </c>
      <c r="L53" s="524"/>
    </row>
    <row r="54" spans="1:12" s="485" customFormat="1" ht="13.5" thickBot="1" x14ac:dyDescent="0.25">
      <c r="A54" s="1510" t="s">
        <v>716</v>
      </c>
      <c r="B54" s="483">
        <v>8410</v>
      </c>
      <c r="C54" s="530"/>
      <c r="D54" s="530"/>
      <c r="E54" s="477"/>
      <c r="F54" s="477"/>
      <c r="G54" s="477"/>
      <c r="H54" s="530"/>
      <c r="I54" s="477"/>
      <c r="J54" s="477"/>
      <c r="K54" s="475"/>
      <c r="L54" s="524"/>
    </row>
    <row r="55" spans="1:12" s="485" customFormat="1" ht="14.25" thickTop="1" thickBot="1" x14ac:dyDescent="0.25">
      <c r="A55" s="1511" t="s">
        <v>717</v>
      </c>
      <c r="B55" s="483">
        <v>8420</v>
      </c>
      <c r="C55" s="531"/>
      <c r="D55" s="531"/>
      <c r="E55" s="477"/>
      <c r="F55" s="477"/>
      <c r="G55" s="477"/>
      <c r="H55" s="530"/>
      <c r="I55" s="477"/>
      <c r="J55" s="477"/>
      <c r="K55" s="477"/>
      <c r="L55" s="524"/>
    </row>
    <row r="56" spans="1:12" s="485" customFormat="1" ht="14.25" thickTop="1" thickBot="1" x14ac:dyDescent="0.25">
      <c r="A56" s="1510" t="s">
        <v>602</v>
      </c>
      <c r="B56" s="483">
        <v>8430</v>
      </c>
      <c r="C56" s="531"/>
      <c r="D56" s="531"/>
      <c r="E56" s="477"/>
      <c r="F56" s="477"/>
      <c r="G56" s="477"/>
      <c r="H56" s="530"/>
      <c r="I56" s="477"/>
      <c r="J56" s="477"/>
      <c r="K56" s="477"/>
      <c r="L56" s="524"/>
    </row>
    <row r="57" spans="1:12" s="485" customFormat="1" ht="14.25" thickTop="1" thickBot="1" x14ac:dyDescent="0.25">
      <c r="A57" s="1511" t="s">
        <v>599</v>
      </c>
      <c r="B57" s="483">
        <v>8440</v>
      </c>
      <c r="C57" s="531"/>
      <c r="D57" s="531"/>
      <c r="E57" s="477"/>
      <c r="F57" s="477"/>
      <c r="G57" s="477"/>
      <c r="H57" s="530"/>
      <c r="I57" s="477"/>
      <c r="J57" s="477"/>
      <c r="K57" s="477"/>
      <c r="L57" s="524"/>
    </row>
    <row r="58" spans="1:12" s="485" customFormat="1" ht="14.25" thickTop="1" thickBot="1" x14ac:dyDescent="0.25">
      <c r="A58" s="1510" t="s">
        <v>600</v>
      </c>
      <c r="B58" s="483">
        <v>8510</v>
      </c>
      <c r="C58" s="531"/>
      <c r="D58" s="531"/>
      <c r="E58" s="477"/>
      <c r="F58" s="477"/>
      <c r="G58" s="477"/>
      <c r="H58" s="530"/>
      <c r="I58" s="477"/>
      <c r="J58" s="477"/>
      <c r="K58" s="477"/>
      <c r="L58" s="524"/>
    </row>
    <row r="59" spans="1:12" s="485" customFormat="1" ht="14.25" thickTop="1" thickBot="1" x14ac:dyDescent="0.25">
      <c r="A59" s="1512" t="s">
        <v>718</v>
      </c>
      <c r="B59" s="483">
        <v>8520</v>
      </c>
      <c r="C59" s="531"/>
      <c r="D59" s="531"/>
      <c r="E59" s="477"/>
      <c r="F59" s="477"/>
      <c r="G59" s="477"/>
      <c r="H59" s="530"/>
      <c r="I59" s="477"/>
      <c r="J59" s="477"/>
      <c r="K59" s="477"/>
      <c r="L59" s="524"/>
    </row>
    <row r="60" spans="1:12" s="485" customFormat="1" ht="14.25" thickTop="1" thickBot="1" x14ac:dyDescent="0.25">
      <c r="A60" s="1510" t="s">
        <v>601</v>
      </c>
      <c r="B60" s="483">
        <v>8530</v>
      </c>
      <c r="C60" s="531"/>
      <c r="D60" s="531"/>
      <c r="E60" s="477"/>
      <c r="F60" s="477"/>
      <c r="G60" s="477"/>
      <c r="H60" s="530"/>
      <c r="I60" s="477"/>
      <c r="J60" s="477"/>
      <c r="K60" s="477"/>
      <c r="L60" s="524"/>
    </row>
    <row r="61" spans="1:12" s="485" customFormat="1" ht="14.25" thickTop="1" thickBot="1" x14ac:dyDescent="0.25">
      <c r="A61" s="1511" t="s">
        <v>767</v>
      </c>
      <c r="B61" s="483">
        <v>8540</v>
      </c>
      <c r="C61" s="531"/>
      <c r="D61" s="531"/>
      <c r="E61" s="477"/>
      <c r="F61" s="477"/>
      <c r="G61" s="477"/>
      <c r="H61" s="530"/>
      <c r="I61" s="477"/>
      <c r="J61" s="477"/>
      <c r="K61" s="477"/>
      <c r="L61" s="524"/>
    </row>
    <row r="62" spans="1:12" s="485" customFormat="1" ht="13.5" customHeight="1" thickTop="1" thickBot="1" x14ac:dyDescent="0.25">
      <c r="A62" s="1510" t="s">
        <v>768</v>
      </c>
      <c r="B62" s="483">
        <v>8610</v>
      </c>
      <c r="C62" s="531"/>
      <c r="D62" s="531"/>
      <c r="E62" s="477"/>
      <c r="F62" s="477"/>
      <c r="G62" s="477"/>
      <c r="H62" s="477"/>
      <c r="I62" s="477"/>
      <c r="J62" s="477"/>
      <c r="K62" s="477"/>
      <c r="L62" s="524"/>
    </row>
    <row r="63" spans="1:12" s="485" customFormat="1" ht="14.25" thickTop="1" thickBot="1" x14ac:dyDescent="0.25">
      <c r="A63" s="1511" t="s">
        <v>719</v>
      </c>
      <c r="B63" s="483">
        <v>8620</v>
      </c>
      <c r="C63" s="531"/>
      <c r="D63" s="531"/>
      <c r="E63" s="477"/>
      <c r="F63" s="477"/>
      <c r="G63" s="477"/>
      <c r="H63" s="477"/>
      <c r="I63" s="477"/>
      <c r="J63" s="477"/>
      <c r="K63" s="477"/>
      <c r="L63" s="524"/>
    </row>
    <row r="64" spans="1:12" s="485" customFormat="1" ht="13.5" customHeight="1" thickTop="1" thickBot="1" x14ac:dyDescent="0.25">
      <c r="A64" s="1510" t="s">
        <v>769</v>
      </c>
      <c r="B64" s="483">
        <v>8630</v>
      </c>
      <c r="C64" s="531"/>
      <c r="D64" s="531"/>
      <c r="E64" s="477"/>
      <c r="F64" s="477"/>
      <c r="G64" s="477"/>
      <c r="H64" s="477"/>
      <c r="I64" s="477"/>
      <c r="J64" s="477"/>
      <c r="K64" s="477"/>
      <c r="L64" s="524"/>
    </row>
    <row r="65" spans="1:12" s="485" customFormat="1" ht="14.25" thickTop="1" thickBot="1" x14ac:dyDescent="0.25">
      <c r="A65" s="1511" t="s">
        <v>770</v>
      </c>
      <c r="B65" s="483">
        <v>8640</v>
      </c>
      <c r="C65" s="531"/>
      <c r="D65" s="531"/>
      <c r="E65" s="477"/>
      <c r="F65" s="477"/>
      <c r="G65" s="477"/>
      <c r="H65" s="477"/>
      <c r="I65" s="477"/>
      <c r="J65" s="477"/>
      <c r="K65" s="477"/>
      <c r="L65" s="524"/>
    </row>
    <row r="66" spans="1:12" s="485" customFormat="1" ht="14.25" thickTop="1" thickBot="1" x14ac:dyDescent="0.25">
      <c r="A66" s="1510" t="s">
        <v>771</v>
      </c>
      <c r="B66" s="483">
        <v>8710</v>
      </c>
      <c r="C66" s="531"/>
      <c r="D66" s="531"/>
      <c r="E66" s="477"/>
      <c r="F66" s="477"/>
      <c r="G66" s="477"/>
      <c r="H66" s="477"/>
      <c r="I66" s="477"/>
      <c r="J66" s="477"/>
      <c r="K66" s="477"/>
      <c r="L66" s="524"/>
    </row>
    <row r="67" spans="1:12" s="485" customFormat="1" ht="14.25" thickTop="1" thickBot="1" x14ac:dyDescent="0.25">
      <c r="A67" s="1511" t="s">
        <v>720</v>
      </c>
      <c r="B67" s="483">
        <v>8720</v>
      </c>
      <c r="C67" s="531"/>
      <c r="D67" s="531"/>
      <c r="E67" s="477"/>
      <c r="F67" s="477"/>
      <c r="G67" s="477"/>
      <c r="H67" s="477"/>
      <c r="I67" s="477"/>
      <c r="J67" s="477"/>
      <c r="K67" s="477"/>
      <c r="L67" s="524"/>
    </row>
    <row r="68" spans="1:12" s="485" customFormat="1" ht="14.25" thickTop="1" thickBot="1" x14ac:dyDescent="0.25">
      <c r="A68" s="1512" t="s">
        <v>772</v>
      </c>
      <c r="B68" s="483">
        <v>8730</v>
      </c>
      <c r="C68" s="531"/>
      <c r="D68" s="531"/>
      <c r="E68" s="477"/>
      <c r="F68" s="477"/>
      <c r="G68" s="477"/>
      <c r="H68" s="477"/>
      <c r="I68" s="477"/>
      <c r="J68" s="477"/>
      <c r="K68" s="477"/>
      <c r="L68" s="524"/>
    </row>
    <row r="69" spans="1:12" s="485" customFormat="1" ht="14.25" thickTop="1" thickBot="1" x14ac:dyDescent="0.25">
      <c r="A69" s="1511" t="s">
        <v>773</v>
      </c>
      <c r="B69" s="483">
        <v>8740</v>
      </c>
      <c r="C69" s="531"/>
      <c r="D69" s="531"/>
      <c r="E69" s="477"/>
      <c r="F69" s="477"/>
      <c r="G69" s="477"/>
      <c r="H69" s="477"/>
      <c r="I69" s="477"/>
      <c r="J69" s="477"/>
      <c r="K69" s="477"/>
      <c r="L69" s="524"/>
    </row>
    <row r="70" spans="1:12" s="485" customFormat="1" ht="14.25" thickTop="1" thickBot="1" x14ac:dyDescent="0.25">
      <c r="A70" s="1510" t="s">
        <v>774</v>
      </c>
      <c r="B70" s="483">
        <v>8810</v>
      </c>
      <c r="C70" s="531"/>
      <c r="D70" s="531"/>
      <c r="E70" s="477"/>
      <c r="F70" s="477"/>
      <c r="G70" s="477"/>
      <c r="H70" s="477"/>
      <c r="I70" s="477"/>
      <c r="J70" s="477"/>
      <c r="K70" s="477"/>
      <c r="L70" s="524"/>
    </row>
    <row r="71" spans="1:12" s="485" customFormat="1" ht="14.25" thickTop="1" thickBot="1" x14ac:dyDescent="0.25">
      <c r="A71" s="1510" t="s">
        <v>778</v>
      </c>
      <c r="B71" s="483">
        <v>8820</v>
      </c>
      <c r="C71" s="531"/>
      <c r="D71" s="531"/>
      <c r="E71" s="477"/>
      <c r="F71" s="477"/>
      <c r="G71" s="477"/>
      <c r="H71" s="477"/>
      <c r="I71" s="477"/>
      <c r="J71" s="477"/>
      <c r="K71" s="477"/>
      <c r="L71" s="524"/>
    </row>
    <row r="72" spans="1:12" s="485" customFormat="1" ht="14.25" thickTop="1" thickBot="1" x14ac:dyDescent="0.25">
      <c r="A72" s="1510" t="s">
        <v>775</v>
      </c>
      <c r="B72" s="483">
        <v>8830</v>
      </c>
      <c r="C72" s="531"/>
      <c r="D72" s="531">
        <v>6000000</v>
      </c>
      <c r="E72" s="477"/>
      <c r="F72" s="477"/>
      <c r="G72" s="477"/>
      <c r="H72" s="477"/>
      <c r="I72" s="477"/>
      <c r="J72" s="477"/>
      <c r="K72" s="477"/>
      <c r="L72" s="524"/>
    </row>
    <row r="73" spans="1:12" s="485" customFormat="1" ht="14.25" thickTop="1" thickBot="1" x14ac:dyDescent="0.25">
      <c r="A73" s="1510" t="s">
        <v>776</v>
      </c>
      <c r="B73" s="483">
        <v>8840</v>
      </c>
      <c r="C73" s="531"/>
      <c r="D73" s="531"/>
      <c r="E73" s="477"/>
      <c r="F73" s="477"/>
      <c r="G73" s="477"/>
      <c r="H73" s="477"/>
      <c r="I73" s="477"/>
      <c r="J73" s="477"/>
      <c r="K73" s="480"/>
      <c r="L73" s="524"/>
    </row>
    <row r="74" spans="1:12" s="485" customFormat="1" ht="14.25" thickTop="1" thickBot="1" x14ac:dyDescent="0.25">
      <c r="A74" s="1510" t="s">
        <v>393</v>
      </c>
      <c r="B74" s="483">
        <v>8910</v>
      </c>
      <c r="C74" s="531"/>
      <c r="D74" s="531"/>
      <c r="E74" s="480"/>
      <c r="F74" s="530"/>
      <c r="G74" s="530"/>
      <c r="H74" s="530"/>
      <c r="I74" s="480"/>
      <c r="J74" s="480"/>
      <c r="K74" s="530"/>
      <c r="L74" s="524"/>
    </row>
    <row r="75" spans="1:12" s="485" customFormat="1" ht="14.25" thickTop="1" thickBot="1" x14ac:dyDescent="0.25">
      <c r="A75" s="1513" t="s">
        <v>459</v>
      </c>
      <c r="B75" s="483">
        <v>8990</v>
      </c>
      <c r="C75" s="531"/>
      <c r="D75" s="531"/>
      <c r="E75" s="530"/>
      <c r="F75" s="532"/>
      <c r="G75" s="532"/>
      <c r="H75" s="532"/>
      <c r="I75" s="530"/>
      <c r="J75" s="530"/>
      <c r="K75" s="532"/>
      <c r="L75" s="524"/>
    </row>
    <row r="76" spans="1:12" s="485" customFormat="1" ht="14.25" thickTop="1" thickBot="1" x14ac:dyDescent="0.25">
      <c r="A76" s="2162" t="s">
        <v>460</v>
      </c>
      <c r="B76" s="2163"/>
      <c r="C76" s="1723">
        <f t="shared" ref="C76:K76" si="7">SUM(C47:C75)</f>
        <v>0</v>
      </c>
      <c r="D76" s="1723">
        <f t="shared" si="7"/>
        <v>6000000</v>
      </c>
      <c r="E76" s="1723">
        <f t="shared" si="7"/>
        <v>0</v>
      </c>
      <c r="F76" s="1723">
        <f t="shared" si="7"/>
        <v>1800000</v>
      </c>
      <c r="G76" s="1723">
        <f t="shared" si="7"/>
        <v>0</v>
      </c>
      <c r="H76" s="1723">
        <f t="shared" si="7"/>
        <v>0</v>
      </c>
      <c r="I76" s="1723">
        <f t="shared" si="7"/>
        <v>11997181</v>
      </c>
      <c r="J76" s="1723">
        <f t="shared" si="7"/>
        <v>0</v>
      </c>
      <c r="K76" s="1723">
        <f t="shared" si="7"/>
        <v>0</v>
      </c>
      <c r="L76" s="524"/>
    </row>
    <row r="77" spans="1:12" ht="14.25" thickTop="1" thickBot="1" x14ac:dyDescent="0.25">
      <c r="A77" s="2164" t="s">
        <v>1239</v>
      </c>
      <c r="B77" s="2165"/>
      <c r="C77" s="1723">
        <f t="shared" ref="C77:K77" si="8">C44-C76</f>
        <v>7797181</v>
      </c>
      <c r="D77" s="1723">
        <f t="shared" si="8"/>
        <v>0</v>
      </c>
      <c r="E77" s="1723">
        <f t="shared" si="8"/>
        <v>0</v>
      </c>
      <c r="F77" s="1723">
        <f t="shared" si="8"/>
        <v>-1800000</v>
      </c>
      <c r="G77" s="1723">
        <f t="shared" si="8"/>
        <v>0</v>
      </c>
      <c r="H77" s="1723">
        <f t="shared" si="8"/>
        <v>6000000</v>
      </c>
      <c r="I77" s="1723">
        <f t="shared" si="8"/>
        <v>-11997181</v>
      </c>
      <c r="J77" s="1723">
        <f t="shared" si="8"/>
        <v>0</v>
      </c>
      <c r="K77" s="1723">
        <f t="shared" si="8"/>
        <v>0</v>
      </c>
      <c r="L77" s="347"/>
    </row>
    <row r="78" spans="1:12" ht="21.75" customHeight="1" thickTop="1" thickBot="1" x14ac:dyDescent="0.25">
      <c r="A78" s="2168" t="s">
        <v>618</v>
      </c>
      <c r="B78" s="2169"/>
      <c r="C78" s="1722">
        <f t="shared" ref="C78:K78" si="9">C20+C77</f>
        <v>6746901</v>
      </c>
      <c r="D78" s="1722">
        <f t="shared" si="9"/>
        <v>-142603</v>
      </c>
      <c r="E78" s="1722">
        <f t="shared" si="9"/>
        <v>167733</v>
      </c>
      <c r="F78" s="1722">
        <f t="shared" si="9"/>
        <v>95983</v>
      </c>
      <c r="G78" s="1722">
        <f t="shared" si="9"/>
        <v>-6560</v>
      </c>
      <c r="H78" s="1722">
        <f t="shared" si="9"/>
        <v>4550259</v>
      </c>
      <c r="I78" s="1722">
        <f t="shared" si="9"/>
        <v>-11630527</v>
      </c>
      <c r="J78" s="1722">
        <f t="shared" si="9"/>
        <v>47671</v>
      </c>
      <c r="K78" s="1722">
        <f t="shared" si="9"/>
        <v>10133</v>
      </c>
      <c r="L78" s="533"/>
    </row>
    <row r="79" spans="1:12" ht="13.5" thickTop="1" x14ac:dyDescent="0.2">
      <c r="A79" s="1514" t="s">
        <v>2069</v>
      </c>
      <c r="B79" s="534"/>
      <c r="C79" s="478">
        <f>16319724+1317662</f>
        <v>17637386</v>
      </c>
      <c r="D79" s="535">
        <v>3071136</v>
      </c>
      <c r="E79" s="535">
        <v>3019697</v>
      </c>
      <c r="F79" s="535">
        <v>1138980</v>
      </c>
      <c r="G79" s="535">
        <f>118744+605082</f>
        <v>723826</v>
      </c>
      <c r="H79" s="535">
        <v>301764</v>
      </c>
      <c r="I79" s="535">
        <v>11899382</v>
      </c>
      <c r="J79" s="535">
        <v>551259</v>
      </c>
      <c r="K79" s="535">
        <v>327623</v>
      </c>
      <c r="L79" s="347"/>
    </row>
    <row r="80" spans="1:12" x14ac:dyDescent="0.2">
      <c r="A80" s="2174" t="s">
        <v>1894</v>
      </c>
      <c r="B80" s="2175"/>
      <c r="C80" s="467"/>
      <c r="D80" s="467"/>
      <c r="E80" s="467"/>
      <c r="F80" s="467"/>
      <c r="G80" s="467"/>
      <c r="H80" s="467"/>
      <c r="I80" s="467"/>
      <c r="J80" s="467"/>
      <c r="K80" s="467"/>
      <c r="L80" s="347"/>
    </row>
    <row r="81" spans="1:12" ht="13.5" thickBot="1" x14ac:dyDescent="0.25">
      <c r="A81" s="2166" t="s">
        <v>2070</v>
      </c>
      <c r="B81" s="2167"/>
      <c r="C81" s="1708">
        <f>(SUM(C78:C80))</f>
        <v>24384287</v>
      </c>
      <c r="D81" s="1708">
        <f>SUM(D78:D80)</f>
        <v>2928533</v>
      </c>
      <c r="E81" s="1708">
        <f t="shared" ref="E81:K81" si="10">SUM(E78:E80)</f>
        <v>3187430</v>
      </c>
      <c r="F81" s="1708">
        <f t="shared" si="10"/>
        <v>1234963</v>
      </c>
      <c r="G81" s="1708">
        <f t="shared" si="10"/>
        <v>717266</v>
      </c>
      <c r="H81" s="1708">
        <f t="shared" si="10"/>
        <v>4852023</v>
      </c>
      <c r="I81" s="1708">
        <f t="shared" si="10"/>
        <v>268855</v>
      </c>
      <c r="J81" s="1708">
        <f t="shared" si="10"/>
        <v>598930</v>
      </c>
      <c r="K81" s="1708">
        <f t="shared" si="10"/>
        <v>337756</v>
      </c>
      <c r="L81" s="347"/>
    </row>
    <row r="82" spans="1:12" ht="0.75" customHeight="1" thickTop="1" thickBot="1" x14ac:dyDescent="0.25">
      <c r="A82" s="536" t="s">
        <v>361</v>
      </c>
      <c r="B82" s="537"/>
      <c r="C82" s="538">
        <f>(C81-C79)</f>
        <v>6746901</v>
      </c>
      <c r="D82" s="538">
        <f t="shared" ref="D82:K82" si="11">(D81-D79)</f>
        <v>-142603</v>
      </c>
      <c r="E82" s="538">
        <f t="shared" si="11"/>
        <v>167733</v>
      </c>
      <c r="F82" s="538">
        <f t="shared" si="11"/>
        <v>95983</v>
      </c>
      <c r="G82" s="538">
        <f t="shared" si="11"/>
        <v>-6560</v>
      </c>
      <c r="H82" s="538">
        <f t="shared" si="11"/>
        <v>4550259</v>
      </c>
      <c r="I82" s="538">
        <f t="shared" si="11"/>
        <v>-11630527</v>
      </c>
      <c r="J82" s="538">
        <f t="shared" si="11"/>
        <v>47671</v>
      </c>
      <c r="K82" s="538">
        <f t="shared" si="11"/>
        <v>10133</v>
      </c>
    </row>
    <row r="83" spans="1:12" ht="14.25" hidden="1" thickTop="1" thickBot="1" x14ac:dyDescent="0.25">
      <c r="A83" s="539" t="s">
        <v>362</v>
      </c>
      <c r="B83" s="464"/>
      <c r="C83" s="540">
        <f>C82/C81</f>
        <v>0.27669051795527178</v>
      </c>
      <c r="D83" s="540">
        <f t="shared" ref="D83:K83" si="12">D82/D81</f>
        <v>-4.8694346281909745E-2</v>
      </c>
      <c r="E83" s="540">
        <f t="shared" si="12"/>
        <v>5.2623273295413546E-2</v>
      </c>
      <c r="F83" s="540">
        <f t="shared" si="12"/>
        <v>7.7721356834172362E-2</v>
      </c>
      <c r="G83" s="540">
        <f t="shared" si="12"/>
        <v>-9.1458398976112069E-3</v>
      </c>
      <c r="H83" s="540">
        <f t="shared" si="12"/>
        <v>0.93780656027393106</v>
      </c>
      <c r="I83" s="540">
        <f t="shared" si="12"/>
        <v>-43.25947815737107</v>
      </c>
      <c r="J83" s="540">
        <f t="shared" si="12"/>
        <v>7.9593608602006913E-2</v>
      </c>
      <c r="K83" s="540">
        <f t="shared" si="12"/>
        <v>3.0000947429505324E-2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0" t="s">
        <v>1901</v>
      </c>
      <c r="B1" s="452"/>
      <c r="C1" s="453" t="s">
        <v>445</v>
      </c>
      <c r="D1" s="453" t="s">
        <v>446</v>
      </c>
      <c r="E1" s="453" t="s">
        <v>447</v>
      </c>
      <c r="F1" s="453" t="s">
        <v>448</v>
      </c>
      <c r="G1" s="453" t="s">
        <v>449</v>
      </c>
      <c r="H1" s="453" t="s">
        <v>450</v>
      </c>
      <c r="I1" s="453" t="s">
        <v>451</v>
      </c>
      <c r="J1" s="453" t="s">
        <v>452</v>
      </c>
      <c r="K1" s="453" t="s">
        <v>780</v>
      </c>
    </row>
    <row r="2" spans="1:12" ht="36" x14ac:dyDescent="0.2">
      <c r="A2" s="217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f>21686139</f>
        <v>21686139</v>
      </c>
      <c r="D5" s="481">
        <v>3012411</v>
      </c>
      <c r="E5" s="466">
        <v>3039929</v>
      </c>
      <c r="F5" s="548">
        <v>2805438</v>
      </c>
      <c r="G5" s="466">
        <v>493084</v>
      </c>
      <c r="H5" s="466"/>
      <c r="I5" s="466">
        <v>273754</v>
      </c>
      <c r="J5" s="467">
        <v>298154</v>
      </c>
      <c r="K5" s="466">
        <v>5015</v>
      </c>
    </row>
    <row r="6" spans="1:12" ht="15" x14ac:dyDescent="0.2">
      <c r="A6" s="463" t="s">
        <v>1761</v>
      </c>
      <c r="B6" s="470">
        <v>1130</v>
      </c>
      <c r="C6" s="466">
        <v>269830</v>
      </c>
      <c r="D6" s="466"/>
      <c r="E6" s="475"/>
      <c r="F6" s="475"/>
      <c r="G6" s="468"/>
      <c r="H6" s="468"/>
      <c r="I6" s="468"/>
      <c r="J6" s="468"/>
      <c r="K6" s="468"/>
    </row>
    <row r="7" spans="1:12" x14ac:dyDescent="0.2">
      <c r="A7" s="463" t="s">
        <v>112</v>
      </c>
      <c r="B7" s="549">
        <v>1140</v>
      </c>
      <c r="C7" s="466">
        <v>978521</v>
      </c>
      <c r="D7" s="466"/>
      <c r="E7" s="468"/>
      <c r="F7" s="467"/>
      <c r="G7" s="467"/>
      <c r="H7" s="467"/>
      <c r="I7" s="468"/>
      <c r="J7" s="468"/>
      <c r="K7" s="468"/>
    </row>
    <row r="8" spans="1:12" x14ac:dyDescent="0.2">
      <c r="A8" s="463" t="s">
        <v>433</v>
      </c>
      <c r="B8" s="470">
        <v>1150</v>
      </c>
      <c r="C8" s="475"/>
      <c r="D8" s="475"/>
      <c r="E8" s="477"/>
      <c r="F8" s="477"/>
      <c r="G8" s="481">
        <v>581797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22934490</v>
      </c>
      <c r="D12" s="1727">
        <f t="shared" si="0"/>
        <v>3012411</v>
      </c>
      <c r="E12" s="1727">
        <f t="shared" si="0"/>
        <v>3039929</v>
      </c>
      <c r="F12" s="1727">
        <f t="shared" si="0"/>
        <v>2805438</v>
      </c>
      <c r="G12" s="1727">
        <f t="shared" si="0"/>
        <v>1074881</v>
      </c>
      <c r="H12" s="1727">
        <f t="shared" si="0"/>
        <v>0</v>
      </c>
      <c r="I12" s="1727">
        <f t="shared" si="0"/>
        <v>273754</v>
      </c>
      <c r="J12" s="1727">
        <f t="shared" si="0"/>
        <v>298154</v>
      </c>
      <c r="K12" s="1708">
        <f t="shared" si="0"/>
        <v>5015</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218895</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218895</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v>9543</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10949</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5" t="s">
        <v>615</v>
      </c>
      <c r="B39" s="556">
        <v>1354</v>
      </c>
      <c r="C39" s="489"/>
      <c r="D39" s="468"/>
      <c r="E39" s="468"/>
      <c r="F39" s="468"/>
      <c r="G39" s="468"/>
      <c r="H39" s="468"/>
      <c r="I39" s="468"/>
      <c r="J39" s="468"/>
      <c r="K39" s="468"/>
    </row>
    <row r="40" spans="1:11" ht="12.75" customHeight="1" thickBot="1" x14ac:dyDescent="0.25">
      <c r="A40" s="1728" t="s">
        <v>559</v>
      </c>
      <c r="B40" s="1729"/>
      <c r="C40" s="1708">
        <f>SUM(C20:C39)</f>
        <v>20492</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21852</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1168</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1169</v>
      </c>
      <c r="B56" s="557">
        <v>1442</v>
      </c>
      <c r="C56" s="468"/>
      <c r="D56" s="468"/>
      <c r="E56" s="468"/>
      <c r="F56" s="466"/>
      <c r="G56" s="468"/>
      <c r="H56" s="468"/>
      <c r="I56" s="468"/>
      <c r="J56" s="468"/>
      <c r="K56" s="468"/>
    </row>
    <row r="57" spans="1:11" ht="12.75" customHeight="1" x14ac:dyDescent="0.2">
      <c r="A57" s="1516" t="s">
        <v>510</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933</v>
      </c>
      <c r="B59" s="557">
        <v>1451</v>
      </c>
      <c r="C59" s="468"/>
      <c r="D59" s="468"/>
      <c r="E59" s="468"/>
      <c r="F59" s="466"/>
      <c r="G59" s="468"/>
      <c r="H59" s="468"/>
      <c r="I59" s="468"/>
      <c r="J59" s="468"/>
      <c r="K59" s="468"/>
    </row>
    <row r="60" spans="1:11" ht="12.75" customHeight="1" x14ac:dyDescent="0.2">
      <c r="A60" s="1516"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7"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21852</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f>301272+22592</f>
        <v>323864</v>
      </c>
      <c r="D65" s="466">
        <v>47813</v>
      </c>
      <c r="E65" s="466">
        <v>49518</v>
      </c>
      <c r="F65" s="467">
        <v>15593</v>
      </c>
      <c r="G65" s="466">
        <f>2015+9641</f>
        <v>11656</v>
      </c>
      <c r="H65" s="466">
        <v>41012</v>
      </c>
      <c r="I65" s="466">
        <v>92900</v>
      </c>
      <c r="J65" s="467">
        <v>8208</v>
      </c>
      <c r="K65" s="466">
        <v>5118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323864</v>
      </c>
      <c r="D67" s="1708">
        <f t="shared" ref="D67:K67" si="2">SUM(D65:D66)</f>
        <v>47813</v>
      </c>
      <c r="E67" s="1708">
        <f t="shared" si="2"/>
        <v>49518</v>
      </c>
      <c r="F67" s="1708">
        <f t="shared" si="2"/>
        <v>15593</v>
      </c>
      <c r="G67" s="1708">
        <f t="shared" si="2"/>
        <v>11656</v>
      </c>
      <c r="H67" s="1708">
        <f t="shared" si="2"/>
        <v>41012</v>
      </c>
      <c r="I67" s="1708">
        <f t="shared" si="2"/>
        <v>92900</v>
      </c>
      <c r="J67" s="1708">
        <f t="shared" si="2"/>
        <v>8208</v>
      </c>
      <c r="K67" s="1708">
        <f t="shared" si="2"/>
        <v>5118</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195015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195015</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15</v>
      </c>
      <c r="D81" s="466"/>
      <c r="E81" s="468"/>
      <c r="F81" s="468"/>
      <c r="G81" s="468"/>
      <c r="H81" s="468"/>
      <c r="I81" s="468"/>
      <c r="J81" s="468"/>
      <c r="K81" s="468"/>
    </row>
    <row r="82" spans="1:11" ht="12.75" customHeight="1" thickBot="1" x14ac:dyDescent="0.25">
      <c r="A82" s="1728" t="s">
        <v>259</v>
      </c>
      <c r="B82" s="1729"/>
      <c r="C82" s="1727">
        <f>SUM(C77:C81)</f>
        <v>15</v>
      </c>
      <c r="D82" s="1708">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166496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166496</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v>1200</v>
      </c>
      <c r="D95" s="551">
        <v>23591</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v>1213</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104712+39237</f>
        <v>143949</v>
      </c>
      <c r="D107" s="466">
        <v>6928</v>
      </c>
      <c r="E107" s="466"/>
      <c r="F107" s="466"/>
      <c r="G107" s="466"/>
      <c r="H107" s="466"/>
      <c r="I107" s="466"/>
      <c r="J107" s="467"/>
      <c r="K107" s="466"/>
    </row>
    <row r="108" spans="1:12" ht="12.75" customHeight="1" thickBot="1" x14ac:dyDescent="0.25">
      <c r="A108" s="1728" t="s">
        <v>508</v>
      </c>
      <c r="B108" s="1732"/>
      <c r="C108" s="1727">
        <f>SUM(C95:C107)</f>
        <v>146362</v>
      </c>
      <c r="D108" s="1727">
        <f t="shared" ref="D108:K108" si="3">SUM(D95:D107)</f>
        <v>30519</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24005629</v>
      </c>
      <c r="D109" s="1735">
        <f t="shared" si="4"/>
        <v>3090743</v>
      </c>
      <c r="E109" s="1735">
        <f t="shared" si="4"/>
        <v>3089447</v>
      </c>
      <c r="F109" s="1735">
        <f t="shared" si="4"/>
        <v>2842883</v>
      </c>
      <c r="G109" s="1735">
        <f t="shared" si="4"/>
        <v>1086537</v>
      </c>
      <c r="H109" s="1735">
        <f t="shared" si="4"/>
        <v>41012</v>
      </c>
      <c r="I109" s="1735">
        <f t="shared" si="4"/>
        <v>366654</v>
      </c>
      <c r="J109" s="1735">
        <f t="shared" si="4"/>
        <v>306362</v>
      </c>
      <c r="K109" s="1722">
        <f t="shared" si="4"/>
        <v>10133</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2510686</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6" t="s">
        <v>1900</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2510686</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84272</v>
      </c>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11810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96082</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3155</v>
      </c>
      <c r="D139" s="466"/>
      <c r="E139" s="561"/>
      <c r="F139" s="477"/>
      <c r="G139" s="467"/>
      <c r="H139" s="468"/>
      <c r="I139" s="468"/>
      <c r="J139" s="468"/>
      <c r="K139" s="468"/>
    </row>
    <row r="140" spans="1:11" ht="12.75" customHeight="1" thickBot="1" x14ac:dyDescent="0.25">
      <c r="A140" s="1728" t="s">
        <v>624</v>
      </c>
      <c r="B140" s="1740"/>
      <c r="C140" s="1727">
        <f>SUM(C133:C139)</f>
        <v>3155</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18" t="s">
        <v>1116</v>
      </c>
      <c r="B145" s="568">
        <v>3360</v>
      </c>
      <c r="C145" s="569">
        <v>4841</v>
      </c>
      <c r="D145" s="570"/>
      <c r="E145" s="509"/>
      <c r="F145" s="468"/>
      <c r="G145" s="571"/>
      <c r="H145" s="468"/>
      <c r="I145" s="468"/>
      <c r="J145" s="468"/>
      <c r="K145" s="468"/>
    </row>
    <row r="146" spans="1:11" ht="12.75" customHeight="1" thickBot="1" x14ac:dyDescent="0.25">
      <c r="A146" s="1519" t="s">
        <v>979</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c r="D147" s="573"/>
      <c r="E147" s="509"/>
      <c r="F147" s="468"/>
      <c r="G147" s="468"/>
      <c r="H147" s="468"/>
      <c r="I147" s="468"/>
      <c r="J147" s="468"/>
      <c r="K147" s="468"/>
    </row>
    <row r="148" spans="1:11" ht="12.75" customHeight="1" thickTop="1" thickBot="1" x14ac:dyDescent="0.25">
      <c r="A148" s="1520" t="s">
        <v>791</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c r="D151" s="466"/>
      <c r="E151" s="561"/>
      <c r="F151" s="466">
        <v>236809</v>
      </c>
      <c r="G151" s="467"/>
      <c r="H151" s="468"/>
      <c r="I151" s="468"/>
      <c r="J151" s="468"/>
      <c r="K151" s="468"/>
    </row>
    <row r="152" spans="1:11" ht="12.75" customHeight="1" x14ac:dyDescent="0.2">
      <c r="A152" s="463" t="s">
        <v>1117</v>
      </c>
      <c r="B152" s="562">
        <v>3510</v>
      </c>
      <c r="C152" s="551"/>
      <c r="D152" s="466"/>
      <c r="E152" s="561"/>
      <c r="F152" s="466">
        <v>430035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666844</v>
      </c>
      <c r="G154" s="1727">
        <f>SUM(G151:G153)</f>
        <v>0</v>
      </c>
      <c r="H154" s="468"/>
      <c r="I154" s="468"/>
      <c r="J154" s="468"/>
      <c r="K154" s="468"/>
    </row>
    <row r="155" spans="1:11" ht="12.75" customHeight="1" thickTop="1" thickBot="1" x14ac:dyDescent="0.25">
      <c r="A155" s="1520" t="s">
        <v>398</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1057</v>
      </c>
      <c r="B157" s="574">
        <v>3695</v>
      </c>
      <c r="C157" s="576"/>
      <c r="D157" s="468"/>
      <c r="E157" s="561"/>
      <c r="F157" s="576"/>
      <c r="G157" s="576"/>
      <c r="H157" s="468"/>
      <c r="I157" s="468"/>
      <c r="J157" s="468"/>
      <c r="K157" s="468"/>
    </row>
    <row r="158" spans="1:11" ht="12.75" customHeight="1" thickTop="1" thickBot="1" x14ac:dyDescent="0.25">
      <c r="A158" s="1520" t="s">
        <v>1111</v>
      </c>
      <c r="B158" s="574">
        <v>3705</v>
      </c>
      <c r="C158" s="576">
        <f>563171-35802</f>
        <v>527369</v>
      </c>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415</v>
      </c>
      <c r="B161" s="574">
        <v>3725</v>
      </c>
      <c r="C161" s="531"/>
      <c r="D161" s="468"/>
      <c r="E161" s="561"/>
      <c r="F161" s="531"/>
      <c r="G161" s="531"/>
      <c r="H161" s="468"/>
      <c r="I161" s="468"/>
      <c r="J161" s="468"/>
      <c r="K161" s="468"/>
    </row>
    <row r="162" spans="1:11" ht="12.75" customHeight="1" thickTop="1" thickBot="1" x14ac:dyDescent="0.25">
      <c r="A162" s="1520" t="s">
        <v>416</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1042</v>
      </c>
      <c r="B164" s="574">
        <v>3767</v>
      </c>
      <c r="C164" s="576"/>
      <c r="D164" s="531"/>
      <c r="E164" s="561"/>
      <c r="F164" s="531"/>
      <c r="G164" s="531"/>
      <c r="H164" s="468"/>
      <c r="I164" s="468"/>
      <c r="J164" s="468"/>
      <c r="K164" s="468"/>
    </row>
    <row r="165" spans="1:11" ht="12.75" customHeight="1" thickTop="1" thickBot="1" x14ac:dyDescent="0.25">
      <c r="A165" s="1520" t="s">
        <v>1043</v>
      </c>
      <c r="B165" s="574">
        <v>3775</v>
      </c>
      <c r="C165" s="576"/>
      <c r="D165" s="573"/>
      <c r="E165" s="530"/>
      <c r="F165" s="573"/>
      <c r="G165" s="532"/>
      <c r="H165" s="530"/>
      <c r="I165" s="468"/>
      <c r="J165" s="468"/>
      <c r="K165" s="530"/>
    </row>
    <row r="166" spans="1:11" ht="12.75" customHeight="1" thickTop="1" thickBot="1" x14ac:dyDescent="0.25">
      <c r="A166" s="1520" t="s">
        <v>1524</v>
      </c>
      <c r="B166" s="574">
        <v>3780</v>
      </c>
      <c r="C166" s="531"/>
      <c r="D166" s="530"/>
      <c r="E166" s="531"/>
      <c r="F166" s="531"/>
      <c r="G166" s="531"/>
      <c r="H166" s="531"/>
      <c r="I166" s="468"/>
      <c r="J166" s="468"/>
      <c r="K166" s="531"/>
    </row>
    <row r="167" spans="1:11" ht="12.75" customHeight="1" thickTop="1" thickBot="1" x14ac:dyDescent="0.25">
      <c r="A167" s="1520" t="s">
        <v>913</v>
      </c>
      <c r="B167" s="574">
        <v>3815</v>
      </c>
      <c r="C167" s="576"/>
      <c r="D167" s="468"/>
      <c r="E167" s="561"/>
      <c r="F167" s="576"/>
      <c r="G167" s="468"/>
      <c r="H167" s="468"/>
      <c r="I167" s="468"/>
      <c r="J167" s="468"/>
      <c r="K167" s="468"/>
    </row>
    <row r="168" spans="1:11" ht="12.75" customHeight="1" thickTop="1" thickBot="1" x14ac:dyDescent="0.25">
      <c r="A168" s="1520" t="s">
        <v>417</v>
      </c>
      <c r="B168" s="574">
        <v>3825</v>
      </c>
      <c r="C168" s="576"/>
      <c r="D168" s="468"/>
      <c r="E168" s="561"/>
      <c r="F168" s="576"/>
      <c r="G168" s="468"/>
      <c r="H168" s="468"/>
      <c r="I168" s="468"/>
      <c r="J168" s="468"/>
      <c r="K168" s="468"/>
    </row>
    <row r="169" spans="1:11" ht="12.75" customHeight="1" thickTop="1" thickBot="1" x14ac:dyDescent="0.25">
      <c r="A169" s="1520" t="s">
        <v>366</v>
      </c>
      <c r="B169" s="574">
        <v>3920</v>
      </c>
      <c r="C169" s="566"/>
      <c r="D169" s="578"/>
      <c r="E169" s="468"/>
      <c r="F169" s="566"/>
      <c r="G169" s="468"/>
      <c r="H169" s="530"/>
      <c r="I169" s="468"/>
      <c r="J169" s="468"/>
      <c r="K169" s="468"/>
    </row>
    <row r="170" spans="1:11" ht="12.75" customHeight="1" thickTop="1" thickBot="1" x14ac:dyDescent="0.25">
      <c r="A170" s="1520" t="s">
        <v>367</v>
      </c>
      <c r="B170" s="574">
        <v>3925</v>
      </c>
      <c r="C170" s="521"/>
      <c r="D170" s="576"/>
      <c r="E170" s="521"/>
      <c r="F170" s="521"/>
      <c r="G170" s="468"/>
      <c r="H170" s="531"/>
      <c r="I170" s="468"/>
      <c r="J170" s="468"/>
      <c r="K170" s="530"/>
    </row>
    <row r="171" spans="1:11" ht="14.25" thickTop="1" thickBot="1" x14ac:dyDescent="0.25">
      <c r="A171" s="1520" t="s">
        <v>72</v>
      </c>
      <c r="B171" s="574">
        <v>3999</v>
      </c>
      <c r="C171" s="579"/>
      <c r="D171" s="580"/>
      <c r="E171" s="580"/>
      <c r="F171" s="580"/>
      <c r="G171" s="581"/>
      <c r="H171" s="582"/>
      <c r="I171" s="581"/>
      <c r="J171" s="581"/>
      <c r="K171" s="582"/>
    </row>
    <row r="172" spans="1:11" ht="12.75" customHeight="1" thickTop="1" thickBot="1" x14ac:dyDescent="0.25">
      <c r="A172" s="2190" t="s">
        <v>418</v>
      </c>
      <c r="B172" s="2191"/>
      <c r="C172" s="1742">
        <f t="shared" ref="C172:K172" si="6">SUM(C131,C140,C144,C145:C149,C154,C155:C170,C171)</f>
        <v>631447</v>
      </c>
      <c r="D172" s="1742">
        <f t="shared" si="6"/>
        <v>0</v>
      </c>
      <c r="E172" s="1742">
        <f t="shared" si="6"/>
        <v>0</v>
      </c>
      <c r="F172" s="1742">
        <f t="shared" si="6"/>
        <v>666844</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3142133</v>
      </c>
      <c r="D173" s="1735">
        <f>SUM(D121,D172)</f>
        <v>0</v>
      </c>
      <c r="E173" s="1735">
        <f>SUM(E121,E172)</f>
        <v>0</v>
      </c>
      <c r="F173" s="1735">
        <f t="shared" ref="F173:K173" si="7">SUM(F121,F172)</f>
        <v>666844</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92" t="s">
        <v>1572</v>
      </c>
      <c r="B175" s="219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96" t="s">
        <v>1764</v>
      </c>
      <c r="B178" s="219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200" t="s">
        <v>1763</v>
      </c>
      <c r="B179" s="220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8" t="s">
        <v>818</v>
      </c>
      <c r="B184" s="2199"/>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94" t="s">
        <v>1902</v>
      </c>
      <c r="B185" s="2195"/>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272754</v>
      </c>
      <c r="D194" s="468"/>
      <c r="E194" s="561"/>
      <c r="F194" s="468"/>
      <c r="G194" s="585"/>
      <c r="H194" s="468"/>
      <c r="I194" s="468"/>
      <c r="J194" s="468"/>
      <c r="K194" s="468"/>
    </row>
    <row r="195" spans="1:11" ht="12.75" customHeight="1" x14ac:dyDescent="0.2">
      <c r="A195" s="463" t="s">
        <v>1107</v>
      </c>
      <c r="B195" s="470">
        <v>4215</v>
      </c>
      <c r="C195" s="551">
        <v>6912</v>
      </c>
      <c r="D195" s="468"/>
      <c r="E195" s="561"/>
      <c r="F195" s="468"/>
      <c r="G195" s="585"/>
      <c r="H195" s="468"/>
      <c r="I195" s="468"/>
      <c r="J195" s="468"/>
      <c r="K195" s="468"/>
    </row>
    <row r="196" spans="1:11" ht="12.75" customHeight="1" x14ac:dyDescent="0.2">
      <c r="A196" s="463" t="s">
        <v>1119</v>
      </c>
      <c r="B196" s="470">
        <v>4220</v>
      </c>
      <c r="C196" s="551">
        <v>89474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369140</v>
      </c>
      <c r="D201" s="468"/>
      <c r="E201" s="468"/>
      <c r="F201" s="468"/>
      <c r="G201" s="1708">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484831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484831</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v>15751</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15751</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39806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619731</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659537</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2" t="s">
        <v>1493</v>
      </c>
      <c r="B260" s="588">
        <v>4901</v>
      </c>
      <c r="C260" s="589"/>
      <c r="D260" s="469"/>
      <c r="E260" s="468"/>
      <c r="F260" s="468"/>
      <c r="G260" s="468"/>
      <c r="H260" s="468"/>
      <c r="I260" s="468"/>
      <c r="J260" s="468"/>
      <c r="K260" s="468"/>
    </row>
    <row r="261" spans="1:11" ht="12.75" customHeight="1" thickTop="1" thickBot="1" x14ac:dyDescent="0.25">
      <c r="A261" s="1523"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v>2640</v>
      </c>
      <c r="D263" s="468"/>
      <c r="E263" s="468"/>
      <c r="F263" s="578"/>
      <c r="G263" s="573"/>
      <c r="H263" s="468"/>
      <c r="I263" s="468"/>
      <c r="J263" s="468"/>
      <c r="K263" s="468"/>
    </row>
    <row r="264" spans="1:11" ht="12.75" customHeight="1" thickTop="1" thickBot="1" x14ac:dyDescent="0.25">
      <c r="A264" s="463" t="s">
        <v>1532</v>
      </c>
      <c r="B264" s="470">
        <v>4909</v>
      </c>
      <c r="C264" s="576">
        <v>25404</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81742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74144</v>
      </c>
      <c r="D270" s="576"/>
      <c r="E270" s="468"/>
      <c r="F270" s="576"/>
      <c r="G270" s="576"/>
      <c r="H270" s="468"/>
      <c r="I270" s="468"/>
      <c r="J270" s="468"/>
      <c r="K270" s="468"/>
    </row>
    <row r="271" spans="1:11" ht="12.75" customHeight="1" thickTop="1" thickBot="1" x14ac:dyDescent="0.25">
      <c r="A271" s="463" t="s">
        <v>395</v>
      </c>
      <c r="B271" s="470">
        <v>4992</v>
      </c>
      <c r="C271" s="575">
        <v>269236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1982425</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1982425</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29130187</v>
      </c>
      <c r="D275" s="1735">
        <f t="shared" si="12"/>
        <v>3090743</v>
      </c>
      <c r="E275" s="1735">
        <f t="shared" si="12"/>
        <v>3089447</v>
      </c>
      <c r="F275" s="1735">
        <f t="shared" si="12"/>
        <v>3509727</v>
      </c>
      <c r="G275" s="1735">
        <f t="shared" si="12"/>
        <v>1086537</v>
      </c>
      <c r="H275" s="1735">
        <f t="shared" si="12"/>
        <v>41012</v>
      </c>
      <c r="I275" s="1735">
        <f t="shared" si="12"/>
        <v>366654</v>
      </c>
      <c r="J275" s="1735">
        <f t="shared" si="12"/>
        <v>306362</v>
      </c>
      <c r="K275" s="1722">
        <f t="shared" si="12"/>
        <v>10133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28" activePane="bottomLeft" state="frozen"/>
      <selection activeCell="A47" sqref="A47"/>
      <selection pane="bottomLeft" activeCell="L349" sqref="L34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0"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10" t="s">
        <v>315</v>
      </c>
      <c r="B3" s="2211"/>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10018225</v>
      </c>
      <c r="D5" s="466">
        <v>2418271</v>
      </c>
      <c r="E5" s="466">
        <v>269244</v>
      </c>
      <c r="F5" s="466">
        <v>938157</v>
      </c>
      <c r="G5" s="466">
        <v>120931</v>
      </c>
      <c r="H5" s="466"/>
      <c r="I5" s="467">
        <v>460703</v>
      </c>
      <c r="J5" s="467"/>
      <c r="K5" s="1691">
        <f>SUM(C5:J5)</f>
        <v>14225531</v>
      </c>
      <c r="L5" s="466">
        <v>14462066</v>
      </c>
    </row>
    <row r="6" spans="1:14" x14ac:dyDescent="0.2">
      <c r="A6" s="1524" t="s">
        <v>1508</v>
      </c>
      <c r="B6" s="615" t="s">
        <v>1506</v>
      </c>
      <c r="C6" s="477"/>
      <c r="D6" s="477"/>
      <c r="E6" s="466"/>
      <c r="F6" s="477"/>
      <c r="G6" s="477"/>
      <c r="H6" s="477"/>
      <c r="I6" s="477"/>
      <c r="J6" s="477"/>
      <c r="K6" s="1691">
        <f>SUM(C6,E6)</f>
        <v>0</v>
      </c>
      <c r="L6" s="466"/>
    </row>
    <row r="7" spans="1:14" x14ac:dyDescent="0.2">
      <c r="A7" s="1524" t="s">
        <v>165</v>
      </c>
      <c r="B7" s="615" t="s">
        <v>1024</v>
      </c>
      <c r="C7" s="467"/>
      <c r="D7" s="467"/>
      <c r="E7" s="467"/>
      <c r="F7" s="467"/>
      <c r="G7" s="467"/>
      <c r="H7" s="467"/>
      <c r="I7" s="467"/>
      <c r="J7" s="467"/>
      <c r="K7" s="1691">
        <f t="shared" ref="K7:K32" si="0">SUM(C7:J7)</f>
        <v>0</v>
      </c>
      <c r="L7" s="466"/>
    </row>
    <row r="8" spans="1:14" x14ac:dyDescent="0.2">
      <c r="A8" s="1524" t="s">
        <v>166</v>
      </c>
      <c r="B8" s="615">
        <v>1200</v>
      </c>
      <c r="C8" s="466">
        <v>2907631</v>
      </c>
      <c r="D8" s="466">
        <v>808107</v>
      </c>
      <c r="E8" s="466">
        <v>35916</v>
      </c>
      <c r="F8" s="466"/>
      <c r="G8" s="466"/>
      <c r="H8" s="466"/>
      <c r="I8" s="467"/>
      <c r="J8" s="467"/>
      <c r="K8" s="1691">
        <f t="shared" si="0"/>
        <v>3751654</v>
      </c>
      <c r="L8" s="466">
        <v>3538868</v>
      </c>
    </row>
    <row r="9" spans="1:14" x14ac:dyDescent="0.2">
      <c r="A9" s="1524" t="s">
        <v>745</v>
      </c>
      <c r="B9" s="615" t="s">
        <v>1025</v>
      </c>
      <c r="C9" s="467">
        <v>243800</v>
      </c>
      <c r="D9" s="467">
        <v>79039</v>
      </c>
      <c r="E9" s="467"/>
      <c r="F9" s="467"/>
      <c r="G9" s="467"/>
      <c r="H9" s="467"/>
      <c r="I9" s="467"/>
      <c r="J9" s="467"/>
      <c r="K9" s="1691">
        <f t="shared" si="0"/>
        <v>322839</v>
      </c>
      <c r="L9" s="466">
        <v>202786</v>
      </c>
    </row>
    <row r="10" spans="1:14" x14ac:dyDescent="0.2">
      <c r="A10" s="1524" t="s">
        <v>746</v>
      </c>
      <c r="B10" s="615">
        <v>1250</v>
      </c>
      <c r="C10" s="466">
        <v>406932</v>
      </c>
      <c r="D10" s="466">
        <v>71910</v>
      </c>
      <c r="E10" s="466"/>
      <c r="F10" s="466"/>
      <c r="G10" s="466"/>
      <c r="H10" s="466"/>
      <c r="I10" s="467"/>
      <c r="J10" s="467"/>
      <c r="K10" s="1691">
        <f t="shared" si="0"/>
        <v>478842</v>
      </c>
      <c r="L10" s="466">
        <v>433991</v>
      </c>
    </row>
    <row r="11" spans="1:14" x14ac:dyDescent="0.2">
      <c r="A11" s="1524" t="s">
        <v>1192</v>
      </c>
      <c r="B11" s="615" t="s">
        <v>163</v>
      </c>
      <c r="C11" s="467">
        <v>270003</v>
      </c>
      <c r="D11" s="467">
        <v>53994</v>
      </c>
      <c r="E11" s="467">
        <v>3651</v>
      </c>
      <c r="F11" s="467">
        <v>9617</v>
      </c>
      <c r="G11" s="467"/>
      <c r="H11" s="467"/>
      <c r="I11" s="467"/>
      <c r="J11" s="467"/>
      <c r="K11" s="1691">
        <f t="shared" si="0"/>
        <v>337265</v>
      </c>
      <c r="L11" s="466">
        <v>426462</v>
      </c>
    </row>
    <row r="12" spans="1:14" x14ac:dyDescent="0.2">
      <c r="A12" s="1524" t="s">
        <v>1019</v>
      </c>
      <c r="B12" s="615">
        <v>1300</v>
      </c>
      <c r="C12" s="466"/>
      <c r="D12" s="466"/>
      <c r="E12" s="466"/>
      <c r="F12" s="466"/>
      <c r="G12" s="466"/>
      <c r="H12" s="466"/>
      <c r="I12" s="467"/>
      <c r="J12" s="467"/>
      <c r="K12" s="1691">
        <f t="shared" si="0"/>
        <v>0</v>
      </c>
      <c r="L12" s="466"/>
    </row>
    <row r="13" spans="1:14" x14ac:dyDescent="0.2">
      <c r="A13" s="1524" t="s">
        <v>747</v>
      </c>
      <c r="B13" s="615">
        <v>1400</v>
      </c>
      <c r="C13" s="466"/>
      <c r="D13" s="466"/>
      <c r="E13" s="466"/>
      <c r="F13" s="466"/>
      <c r="G13" s="466"/>
      <c r="H13" s="466"/>
      <c r="I13" s="467"/>
      <c r="J13" s="467"/>
      <c r="K13" s="1691">
        <f t="shared" si="0"/>
        <v>0</v>
      </c>
      <c r="L13" s="466"/>
    </row>
    <row r="14" spans="1:14" x14ac:dyDescent="0.2">
      <c r="A14" s="1524" t="s">
        <v>1020</v>
      </c>
      <c r="B14" s="615">
        <v>1500</v>
      </c>
      <c r="C14" s="466">
        <v>262372</v>
      </c>
      <c r="D14" s="466">
        <v>3718</v>
      </c>
      <c r="E14" s="466">
        <v>8750</v>
      </c>
      <c r="F14" s="466">
        <v>15592</v>
      </c>
      <c r="G14" s="466"/>
      <c r="H14" s="466"/>
      <c r="I14" s="467">
        <v>660</v>
      </c>
      <c r="J14" s="467"/>
      <c r="K14" s="1691">
        <f t="shared" si="0"/>
        <v>291092</v>
      </c>
      <c r="L14" s="466">
        <v>296450</v>
      </c>
    </row>
    <row r="15" spans="1:14" x14ac:dyDescent="0.2">
      <c r="A15" s="1524" t="s">
        <v>1021</v>
      </c>
      <c r="B15" s="615">
        <v>1600</v>
      </c>
      <c r="C15" s="466">
        <v>170215</v>
      </c>
      <c r="D15" s="466">
        <v>2506</v>
      </c>
      <c r="E15" s="466"/>
      <c r="F15" s="466">
        <v>1242</v>
      </c>
      <c r="G15" s="466"/>
      <c r="H15" s="466"/>
      <c r="I15" s="467"/>
      <c r="J15" s="467"/>
      <c r="K15" s="1691">
        <f t="shared" si="0"/>
        <v>173963</v>
      </c>
      <c r="L15" s="466">
        <v>174850</v>
      </c>
    </row>
    <row r="16" spans="1:14" x14ac:dyDescent="0.2">
      <c r="A16" s="1524" t="s">
        <v>1044</v>
      </c>
      <c r="B16" s="615" t="s">
        <v>444</v>
      </c>
      <c r="C16" s="466">
        <v>260524</v>
      </c>
      <c r="D16" s="466">
        <v>44157</v>
      </c>
      <c r="E16" s="466">
        <v>3469</v>
      </c>
      <c r="F16" s="466">
        <v>1540</v>
      </c>
      <c r="G16" s="466"/>
      <c r="H16" s="466"/>
      <c r="I16" s="467"/>
      <c r="J16" s="467"/>
      <c r="K16" s="1691">
        <f t="shared" si="0"/>
        <v>309690</v>
      </c>
      <c r="L16" s="466">
        <v>374204</v>
      </c>
    </row>
    <row r="17" spans="1:12" x14ac:dyDescent="0.2">
      <c r="A17" s="1524" t="s">
        <v>748</v>
      </c>
      <c r="B17" s="615" t="s">
        <v>164</v>
      </c>
      <c r="C17" s="467"/>
      <c r="D17" s="467"/>
      <c r="E17" s="467"/>
      <c r="F17" s="467"/>
      <c r="G17" s="467"/>
      <c r="H17" s="467"/>
      <c r="I17" s="467"/>
      <c r="J17" s="467"/>
      <c r="K17" s="1691">
        <f t="shared" si="0"/>
        <v>0</v>
      </c>
      <c r="L17" s="466"/>
    </row>
    <row r="18" spans="1:12" x14ac:dyDescent="0.2">
      <c r="A18" s="1524" t="s">
        <v>1148</v>
      </c>
      <c r="B18" s="615">
        <v>1800</v>
      </c>
      <c r="C18" s="466">
        <v>898030</v>
      </c>
      <c r="D18" s="466">
        <v>218334</v>
      </c>
      <c r="E18" s="466">
        <v>5524</v>
      </c>
      <c r="F18" s="466">
        <v>5903</v>
      </c>
      <c r="G18" s="466"/>
      <c r="H18" s="466"/>
      <c r="I18" s="467"/>
      <c r="J18" s="467"/>
      <c r="K18" s="1691">
        <f t="shared" si="0"/>
        <v>1127791</v>
      </c>
      <c r="L18" s="466">
        <v>1189380</v>
      </c>
    </row>
    <row r="19" spans="1:12" x14ac:dyDescent="0.2">
      <c r="A19" s="1524" t="s">
        <v>136</v>
      </c>
      <c r="B19" s="615">
        <v>1900</v>
      </c>
      <c r="C19" s="466">
        <v>4525</v>
      </c>
      <c r="D19" s="466">
        <v>53</v>
      </c>
      <c r="E19" s="466"/>
      <c r="F19" s="466"/>
      <c r="G19" s="466"/>
      <c r="H19" s="466"/>
      <c r="I19" s="467"/>
      <c r="J19" s="467"/>
      <c r="K19" s="1691">
        <f t="shared" si="0"/>
        <v>4578</v>
      </c>
      <c r="L19" s="466">
        <v>4035</v>
      </c>
    </row>
    <row r="20" spans="1:12" x14ac:dyDescent="0.2">
      <c r="A20" s="1525" t="s">
        <v>762</v>
      </c>
      <c r="B20" s="603" t="s">
        <v>749</v>
      </c>
      <c r="C20" s="477"/>
      <c r="D20" s="477"/>
      <c r="E20" s="477"/>
      <c r="F20" s="477"/>
      <c r="G20" s="477"/>
      <c r="H20" s="474"/>
      <c r="I20" s="617"/>
      <c r="J20" s="475"/>
      <c r="K20" s="1691">
        <f t="shared" si="0"/>
        <v>0</v>
      </c>
      <c r="L20" s="471"/>
    </row>
    <row r="21" spans="1:12" x14ac:dyDescent="0.2">
      <c r="A21" s="1525" t="s">
        <v>763</v>
      </c>
      <c r="B21" s="603" t="s">
        <v>750</v>
      </c>
      <c r="C21" s="477"/>
      <c r="D21" s="477"/>
      <c r="E21" s="477"/>
      <c r="F21" s="477"/>
      <c r="G21" s="477"/>
      <c r="H21" s="474"/>
      <c r="I21" s="617"/>
      <c r="J21" s="477"/>
      <c r="K21" s="1691">
        <f t="shared" si="0"/>
        <v>0</v>
      </c>
      <c r="L21" s="471"/>
    </row>
    <row r="22" spans="1:12" x14ac:dyDescent="0.2">
      <c r="A22" s="1525" t="s">
        <v>764</v>
      </c>
      <c r="B22" s="603" t="s">
        <v>751</v>
      </c>
      <c r="C22" s="477"/>
      <c r="D22" s="477"/>
      <c r="E22" s="477"/>
      <c r="F22" s="477"/>
      <c r="G22" s="477"/>
      <c r="H22" s="474">
        <v>312764</v>
      </c>
      <c r="I22" s="617"/>
      <c r="J22" s="477"/>
      <c r="K22" s="1691">
        <f t="shared" si="0"/>
        <v>312764</v>
      </c>
      <c r="L22" s="471">
        <v>350000</v>
      </c>
    </row>
    <row r="23" spans="1:12" x14ac:dyDescent="0.2">
      <c r="A23" s="1525" t="s">
        <v>765</v>
      </c>
      <c r="B23" s="603" t="s">
        <v>752</v>
      </c>
      <c r="C23" s="477"/>
      <c r="D23" s="477"/>
      <c r="E23" s="477"/>
      <c r="F23" s="477"/>
      <c r="G23" s="477"/>
      <c r="H23" s="474"/>
      <c r="I23" s="617"/>
      <c r="J23" s="477"/>
      <c r="K23" s="1691">
        <f t="shared" si="0"/>
        <v>0</v>
      </c>
      <c r="L23" s="471"/>
    </row>
    <row r="24" spans="1:12" ht="12.75" customHeight="1" x14ac:dyDescent="0.2">
      <c r="A24" s="1525" t="s">
        <v>766</v>
      </c>
      <c r="B24" s="603" t="s">
        <v>753</v>
      </c>
      <c r="C24" s="477"/>
      <c r="D24" s="477"/>
      <c r="E24" s="477"/>
      <c r="F24" s="477"/>
      <c r="G24" s="477"/>
      <c r="H24" s="474"/>
      <c r="I24" s="617"/>
      <c r="J24" s="477"/>
      <c r="K24" s="1691">
        <f t="shared" si="0"/>
        <v>0</v>
      </c>
      <c r="L24" s="471"/>
    </row>
    <row r="25" spans="1:12" ht="12.75" customHeight="1" x14ac:dyDescent="0.2">
      <c r="A25" s="1525" t="s">
        <v>835</v>
      </c>
      <c r="B25" s="603" t="s">
        <v>754</v>
      </c>
      <c r="C25" s="477"/>
      <c r="D25" s="477"/>
      <c r="E25" s="477"/>
      <c r="F25" s="477"/>
      <c r="G25" s="477"/>
      <c r="H25" s="474"/>
      <c r="I25" s="617"/>
      <c r="J25" s="477"/>
      <c r="K25" s="1691">
        <f t="shared" si="0"/>
        <v>0</v>
      </c>
      <c r="L25" s="471"/>
    </row>
    <row r="26" spans="1:12" x14ac:dyDescent="0.2">
      <c r="A26" s="1525" t="s">
        <v>643</v>
      </c>
      <c r="B26" s="603" t="s">
        <v>755</v>
      </c>
      <c r="C26" s="477"/>
      <c r="D26" s="477"/>
      <c r="E26" s="477"/>
      <c r="F26" s="477"/>
      <c r="G26" s="477"/>
      <c r="H26" s="474"/>
      <c r="I26" s="617"/>
      <c r="J26" s="477"/>
      <c r="K26" s="1691">
        <f t="shared" si="0"/>
        <v>0</v>
      </c>
      <c r="L26" s="471"/>
    </row>
    <row r="27" spans="1:12" x14ac:dyDescent="0.2">
      <c r="A27" s="1525" t="s">
        <v>644</v>
      </c>
      <c r="B27" s="603" t="s">
        <v>756</v>
      </c>
      <c r="C27" s="477"/>
      <c r="D27" s="477"/>
      <c r="E27" s="477"/>
      <c r="F27" s="477"/>
      <c r="G27" s="477"/>
      <c r="H27" s="474"/>
      <c r="I27" s="617"/>
      <c r="J27" s="477"/>
      <c r="K27" s="1691">
        <f t="shared" si="0"/>
        <v>0</v>
      </c>
      <c r="L27" s="471"/>
    </row>
    <row r="28" spans="1:12" x14ac:dyDescent="0.2">
      <c r="A28" s="1525" t="s">
        <v>152</v>
      </c>
      <c r="B28" s="603" t="s">
        <v>757</v>
      </c>
      <c r="C28" s="477"/>
      <c r="D28" s="477"/>
      <c r="E28" s="477"/>
      <c r="F28" s="477"/>
      <c r="G28" s="477"/>
      <c r="H28" s="474"/>
      <c r="I28" s="617"/>
      <c r="J28" s="477"/>
      <c r="K28" s="1691">
        <f t="shared" si="0"/>
        <v>0</v>
      </c>
      <c r="L28" s="471"/>
    </row>
    <row r="29" spans="1:12" x14ac:dyDescent="0.2">
      <c r="A29" s="1525" t="s">
        <v>153</v>
      </c>
      <c r="B29" s="603" t="s">
        <v>758</v>
      </c>
      <c r="C29" s="477"/>
      <c r="D29" s="477"/>
      <c r="E29" s="477"/>
      <c r="F29" s="477"/>
      <c r="G29" s="477"/>
      <c r="H29" s="474"/>
      <c r="I29" s="617"/>
      <c r="J29" s="477"/>
      <c r="K29" s="1691">
        <f t="shared" si="0"/>
        <v>0</v>
      </c>
      <c r="L29" s="471"/>
    </row>
    <row r="30" spans="1:12" x14ac:dyDescent="0.2">
      <c r="A30" s="1525" t="s">
        <v>154</v>
      </c>
      <c r="B30" s="603" t="s">
        <v>759</v>
      </c>
      <c r="C30" s="477"/>
      <c r="D30" s="477"/>
      <c r="E30" s="477"/>
      <c r="F30" s="477"/>
      <c r="G30" s="477"/>
      <c r="H30" s="474"/>
      <c r="I30" s="617"/>
      <c r="J30" s="477"/>
      <c r="K30" s="1691">
        <f t="shared" si="0"/>
        <v>0</v>
      </c>
      <c r="L30" s="471"/>
    </row>
    <row r="31" spans="1:12" x14ac:dyDescent="0.2">
      <c r="A31" s="1525" t="s">
        <v>155</v>
      </c>
      <c r="B31" s="603" t="s">
        <v>760</v>
      </c>
      <c r="C31" s="477"/>
      <c r="D31" s="477"/>
      <c r="E31" s="477"/>
      <c r="F31" s="477"/>
      <c r="G31" s="477"/>
      <c r="H31" s="474"/>
      <c r="I31" s="617"/>
      <c r="J31" s="477"/>
      <c r="K31" s="1691">
        <f t="shared" si="0"/>
        <v>0</v>
      </c>
      <c r="L31" s="471"/>
    </row>
    <row r="32" spans="1:12" x14ac:dyDescent="0.2">
      <c r="A32" s="1526"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15442257</v>
      </c>
      <c r="D33" s="1690">
        <f t="shared" ref="D33:L33" si="1">SUM(D5:D32)</f>
        <v>3700089</v>
      </c>
      <c r="E33" s="1690">
        <f t="shared" si="1"/>
        <v>326554</v>
      </c>
      <c r="F33" s="1690">
        <f t="shared" si="1"/>
        <v>972051</v>
      </c>
      <c r="G33" s="1690">
        <f t="shared" si="1"/>
        <v>120931</v>
      </c>
      <c r="H33" s="1690">
        <f t="shared" si="1"/>
        <v>312764</v>
      </c>
      <c r="I33" s="1690">
        <f t="shared" si="1"/>
        <v>461363</v>
      </c>
      <c r="J33" s="1690">
        <f t="shared" si="1"/>
        <v>0</v>
      </c>
      <c r="K33" s="1690">
        <f t="shared" si="1"/>
        <v>21336009</v>
      </c>
      <c r="L33" s="1690">
        <f t="shared" si="1"/>
        <v>21453092</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546756</v>
      </c>
      <c r="D36" s="481">
        <v>104838</v>
      </c>
      <c r="E36" s="481"/>
      <c r="F36" s="481"/>
      <c r="G36" s="481"/>
      <c r="H36" s="481"/>
      <c r="I36" s="467"/>
      <c r="J36" s="467"/>
      <c r="K36" s="1691">
        <f t="shared" ref="K36:K41" si="2">SUM(C36:J36)</f>
        <v>651594</v>
      </c>
      <c r="L36" s="466">
        <v>724660</v>
      </c>
    </row>
    <row r="37" spans="1:14" x14ac:dyDescent="0.2">
      <c r="A37" s="1524" t="s">
        <v>1151</v>
      </c>
      <c r="B37" s="615">
        <v>2120</v>
      </c>
      <c r="C37" s="466"/>
      <c r="D37" s="466"/>
      <c r="E37" s="466"/>
      <c r="F37" s="466"/>
      <c r="G37" s="466"/>
      <c r="H37" s="466"/>
      <c r="I37" s="467"/>
      <c r="J37" s="467"/>
      <c r="K37" s="1691">
        <f t="shared" si="2"/>
        <v>0</v>
      </c>
      <c r="L37" s="466"/>
    </row>
    <row r="38" spans="1:14" x14ac:dyDescent="0.2">
      <c r="A38" s="1524" t="s">
        <v>207</v>
      </c>
      <c r="B38" s="615">
        <v>2130</v>
      </c>
      <c r="C38" s="466">
        <v>463463</v>
      </c>
      <c r="D38" s="466">
        <v>128821</v>
      </c>
      <c r="E38" s="466">
        <v>34598</v>
      </c>
      <c r="F38" s="466">
        <v>6036</v>
      </c>
      <c r="G38" s="466"/>
      <c r="H38" s="466"/>
      <c r="I38" s="467"/>
      <c r="J38" s="467"/>
      <c r="K38" s="1691">
        <f t="shared" si="2"/>
        <v>632918</v>
      </c>
      <c r="L38" s="466">
        <v>577435</v>
      </c>
    </row>
    <row r="39" spans="1:14" x14ac:dyDescent="0.2">
      <c r="A39" s="1524" t="s">
        <v>208</v>
      </c>
      <c r="B39" s="615">
        <v>2140</v>
      </c>
      <c r="C39" s="466">
        <v>207847</v>
      </c>
      <c r="D39" s="466">
        <v>53910</v>
      </c>
      <c r="E39" s="466">
        <v>952</v>
      </c>
      <c r="F39" s="466"/>
      <c r="G39" s="466"/>
      <c r="H39" s="466"/>
      <c r="I39" s="467"/>
      <c r="J39" s="467"/>
      <c r="K39" s="1691">
        <f t="shared" si="2"/>
        <v>262709</v>
      </c>
      <c r="L39" s="466">
        <v>263504</v>
      </c>
    </row>
    <row r="40" spans="1:14" x14ac:dyDescent="0.2">
      <c r="A40" s="1524" t="s">
        <v>209</v>
      </c>
      <c r="B40" s="615">
        <v>2150</v>
      </c>
      <c r="C40" s="466">
        <v>802479</v>
      </c>
      <c r="D40" s="466">
        <v>162807</v>
      </c>
      <c r="E40" s="466">
        <v>79</v>
      </c>
      <c r="F40" s="466"/>
      <c r="G40" s="466"/>
      <c r="H40" s="466"/>
      <c r="I40" s="467"/>
      <c r="J40" s="467"/>
      <c r="K40" s="1691">
        <f t="shared" si="2"/>
        <v>965365</v>
      </c>
      <c r="L40" s="466">
        <v>968936</v>
      </c>
    </row>
    <row r="41" spans="1:14" x14ac:dyDescent="0.2">
      <c r="A41" s="1524"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2020545</v>
      </c>
      <c r="D42" s="1690">
        <f t="shared" ref="D42:L42" si="3">SUM(D36:D41)</f>
        <v>450376</v>
      </c>
      <c r="E42" s="1690">
        <f t="shared" si="3"/>
        <v>35629</v>
      </c>
      <c r="F42" s="1690">
        <f t="shared" si="3"/>
        <v>6036</v>
      </c>
      <c r="G42" s="1690">
        <f t="shared" si="3"/>
        <v>0</v>
      </c>
      <c r="H42" s="1690">
        <f t="shared" si="3"/>
        <v>0</v>
      </c>
      <c r="I42" s="1690">
        <f t="shared" si="3"/>
        <v>0</v>
      </c>
      <c r="J42" s="1690">
        <f t="shared" si="3"/>
        <v>0</v>
      </c>
      <c r="K42" s="1690">
        <f t="shared" si="3"/>
        <v>2512586</v>
      </c>
      <c r="L42" s="1690">
        <f t="shared" si="3"/>
        <v>2534535</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320338</v>
      </c>
      <c r="D44" s="481">
        <v>67491</v>
      </c>
      <c r="E44" s="481">
        <v>133186</v>
      </c>
      <c r="F44" s="481">
        <v>11266</v>
      </c>
      <c r="G44" s="481"/>
      <c r="H44" s="481">
        <v>1680</v>
      </c>
      <c r="I44" s="467"/>
      <c r="J44" s="467"/>
      <c r="K44" s="1692">
        <f>SUM(C44:J44)</f>
        <v>533961</v>
      </c>
      <c r="L44" s="481">
        <v>699034</v>
      </c>
    </row>
    <row r="45" spans="1:14" x14ac:dyDescent="0.2">
      <c r="A45" s="1524" t="s">
        <v>869</v>
      </c>
      <c r="B45" s="615">
        <v>2220</v>
      </c>
      <c r="C45" s="466">
        <v>460619</v>
      </c>
      <c r="D45" s="466">
        <v>84285</v>
      </c>
      <c r="E45" s="466">
        <v>1640</v>
      </c>
      <c r="F45" s="466">
        <v>148640</v>
      </c>
      <c r="G45" s="466"/>
      <c r="H45" s="466"/>
      <c r="I45" s="467"/>
      <c r="J45" s="467"/>
      <c r="K45" s="1692">
        <f>SUM(C45:J45)</f>
        <v>695184</v>
      </c>
      <c r="L45" s="466">
        <v>712607</v>
      </c>
    </row>
    <row r="46" spans="1:14" x14ac:dyDescent="0.2">
      <c r="A46" s="1524" t="s">
        <v>870</v>
      </c>
      <c r="B46" s="615">
        <v>2230</v>
      </c>
      <c r="C46" s="466"/>
      <c r="D46" s="466"/>
      <c r="E46" s="466">
        <v>49550</v>
      </c>
      <c r="F46" s="466">
        <v>21129</v>
      </c>
      <c r="G46" s="466"/>
      <c r="H46" s="466"/>
      <c r="I46" s="467"/>
      <c r="J46" s="467"/>
      <c r="K46" s="1692">
        <f>SUM(C46:J46)</f>
        <v>70679</v>
      </c>
      <c r="L46" s="466">
        <v>81478</v>
      </c>
    </row>
    <row r="47" spans="1:14" ht="12.75" customHeight="1" thickBot="1" x14ac:dyDescent="0.25">
      <c r="A47" s="1688" t="s">
        <v>582</v>
      </c>
      <c r="B47" s="1689" t="s">
        <v>32</v>
      </c>
      <c r="C47" s="1690">
        <f>SUM(C44:C46)</f>
        <v>780957</v>
      </c>
      <c r="D47" s="1690">
        <f t="shared" ref="D47:K47" si="4">SUM(D44:D46)</f>
        <v>151776</v>
      </c>
      <c r="E47" s="1690">
        <f t="shared" si="4"/>
        <v>184376</v>
      </c>
      <c r="F47" s="1690">
        <f t="shared" si="4"/>
        <v>181035</v>
      </c>
      <c r="G47" s="1690">
        <f t="shared" si="4"/>
        <v>0</v>
      </c>
      <c r="H47" s="1690">
        <f t="shared" si="4"/>
        <v>1680</v>
      </c>
      <c r="I47" s="1690">
        <f t="shared" si="4"/>
        <v>0</v>
      </c>
      <c r="J47" s="1690">
        <f t="shared" si="4"/>
        <v>0</v>
      </c>
      <c r="K47" s="1690">
        <f t="shared" si="4"/>
        <v>1299824</v>
      </c>
      <c r="L47" s="1690">
        <f>SUM(L44:L46)</f>
        <v>1493119</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c r="D49" s="481">
        <v>45173</v>
      </c>
      <c r="E49" s="481">
        <v>204060</v>
      </c>
      <c r="F49" s="481">
        <v>36835</v>
      </c>
      <c r="G49" s="481"/>
      <c r="H49" s="481">
        <v>39587</v>
      </c>
      <c r="I49" s="467"/>
      <c r="J49" s="467"/>
      <c r="K49" s="1692">
        <f>SUM(C49:J49)</f>
        <v>325655</v>
      </c>
      <c r="L49" s="481">
        <v>402877</v>
      </c>
    </row>
    <row r="50" spans="1:14" x14ac:dyDescent="0.2">
      <c r="A50" s="1524" t="s">
        <v>872</v>
      </c>
      <c r="B50" s="615">
        <v>2320</v>
      </c>
      <c r="C50" s="466">
        <v>326129</v>
      </c>
      <c r="D50" s="466">
        <v>83254</v>
      </c>
      <c r="E50" s="466">
        <v>-200</v>
      </c>
      <c r="F50" s="466">
        <v>895</v>
      </c>
      <c r="G50" s="466"/>
      <c r="H50" s="466">
        <v>3415</v>
      </c>
      <c r="I50" s="467"/>
      <c r="J50" s="467"/>
      <c r="K50" s="1692">
        <f>SUM(C50:J50)</f>
        <v>413493</v>
      </c>
      <c r="L50" s="466">
        <v>412478</v>
      </c>
    </row>
    <row r="51" spans="1:14" x14ac:dyDescent="0.2">
      <c r="A51" s="1524" t="s">
        <v>44</v>
      </c>
      <c r="B51" s="615">
        <v>2330</v>
      </c>
      <c r="C51" s="466">
        <v>248262</v>
      </c>
      <c r="D51" s="466">
        <v>63661</v>
      </c>
      <c r="E51" s="466">
        <v>6635</v>
      </c>
      <c r="F51" s="466">
        <v>1546</v>
      </c>
      <c r="G51" s="466"/>
      <c r="H51" s="466">
        <v>89</v>
      </c>
      <c r="I51" s="467"/>
      <c r="J51" s="467"/>
      <c r="K51" s="1692">
        <f>SUM(C51:J51)</f>
        <v>320193</v>
      </c>
      <c r="L51" s="466">
        <v>303456</v>
      </c>
    </row>
    <row r="52" spans="1:14" ht="22.5" x14ac:dyDescent="0.2">
      <c r="A52" s="1525"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574391</v>
      </c>
      <c r="D53" s="1690">
        <f t="shared" ref="D53:L53" si="5">SUM(D49:D52)</f>
        <v>192088</v>
      </c>
      <c r="E53" s="1690">
        <f t="shared" si="5"/>
        <v>210495</v>
      </c>
      <c r="F53" s="1690">
        <f t="shared" si="5"/>
        <v>39276</v>
      </c>
      <c r="G53" s="1690">
        <f t="shared" si="5"/>
        <v>0</v>
      </c>
      <c r="H53" s="1690">
        <f t="shared" si="5"/>
        <v>43091</v>
      </c>
      <c r="I53" s="1690">
        <f t="shared" si="5"/>
        <v>0</v>
      </c>
      <c r="J53" s="1690">
        <f t="shared" si="5"/>
        <v>0</v>
      </c>
      <c r="K53" s="1690">
        <f t="shared" si="5"/>
        <v>1059341</v>
      </c>
      <c r="L53" s="1690">
        <f t="shared" si="5"/>
        <v>1118811</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1091273</v>
      </c>
      <c r="D55" s="481">
        <v>342860</v>
      </c>
      <c r="E55" s="481">
        <v>1115</v>
      </c>
      <c r="F55" s="481">
        <v>14829</v>
      </c>
      <c r="G55" s="481"/>
      <c r="H55" s="481">
        <v>4070</v>
      </c>
      <c r="I55" s="467"/>
      <c r="J55" s="467"/>
      <c r="K55" s="1692">
        <f>SUM(C55:J55)</f>
        <v>1454147</v>
      </c>
      <c r="L55" s="481">
        <v>1474586</v>
      </c>
    </row>
    <row r="56" spans="1:14" ht="12.75" customHeight="1" x14ac:dyDescent="0.2">
      <c r="A56" s="1528"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1091273</v>
      </c>
      <c r="D57" s="1694">
        <f t="shared" ref="D57:K57" si="6">SUM(D55:D56)</f>
        <v>342860</v>
      </c>
      <c r="E57" s="1694">
        <f t="shared" si="6"/>
        <v>1115</v>
      </c>
      <c r="F57" s="1694">
        <f t="shared" si="6"/>
        <v>14829</v>
      </c>
      <c r="G57" s="1694">
        <f t="shared" si="6"/>
        <v>0</v>
      </c>
      <c r="H57" s="1694">
        <f t="shared" si="6"/>
        <v>4070</v>
      </c>
      <c r="I57" s="1694">
        <f t="shared" si="6"/>
        <v>0</v>
      </c>
      <c r="J57" s="1694">
        <f t="shared" si="6"/>
        <v>0</v>
      </c>
      <c r="K57" s="1694">
        <f t="shared" si="6"/>
        <v>1454147</v>
      </c>
      <c r="L57" s="1690">
        <f>SUM(L55:L56)</f>
        <v>1474586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110229</v>
      </c>
      <c r="D59" s="481">
        <v>36019</v>
      </c>
      <c r="E59" s="481">
        <v>2327</v>
      </c>
      <c r="F59" s="481">
        <v>978</v>
      </c>
      <c r="G59" s="481"/>
      <c r="H59" s="481">
        <v>2617</v>
      </c>
      <c r="I59" s="467"/>
      <c r="J59" s="467"/>
      <c r="K59" s="1692">
        <f t="shared" ref="K59:K64" si="7">SUM(C59:J59)</f>
        <v>152170</v>
      </c>
      <c r="L59" s="481">
        <v>157182</v>
      </c>
      <c r="M59" s="610"/>
      <c r="N59" s="610"/>
    </row>
    <row r="60" spans="1:14" s="343" customFormat="1" x14ac:dyDescent="0.2">
      <c r="A60" s="1524" t="s">
        <v>483</v>
      </c>
      <c r="B60" s="615">
        <v>2520</v>
      </c>
      <c r="C60" s="466">
        <v>174245</v>
      </c>
      <c r="D60" s="466">
        <v>34175</v>
      </c>
      <c r="E60" s="466">
        <v>6051</v>
      </c>
      <c r="F60" s="466">
        <v>11368</v>
      </c>
      <c r="G60" s="466"/>
      <c r="H60" s="466"/>
      <c r="I60" s="467"/>
      <c r="J60" s="467"/>
      <c r="K60" s="1692">
        <f t="shared" si="7"/>
        <v>225839</v>
      </c>
      <c r="L60" s="466">
        <v>229494</v>
      </c>
      <c r="M60" s="610"/>
      <c r="N60" s="610"/>
    </row>
    <row r="61" spans="1:14" s="343" customFormat="1" x14ac:dyDescent="0.2">
      <c r="A61" s="1524" t="s">
        <v>206</v>
      </c>
      <c r="B61" s="615">
        <v>2540</v>
      </c>
      <c r="C61" s="466"/>
      <c r="D61" s="466"/>
      <c r="E61" s="466"/>
      <c r="F61" s="466"/>
      <c r="G61" s="466"/>
      <c r="H61" s="466"/>
      <c r="I61" s="467"/>
      <c r="J61" s="467"/>
      <c r="K61" s="1692">
        <f t="shared" si="7"/>
        <v>0</v>
      </c>
      <c r="L61" s="466"/>
      <c r="M61" s="610"/>
      <c r="N61" s="610"/>
    </row>
    <row r="62" spans="1:14" s="343" customFormat="1" x14ac:dyDescent="0.2">
      <c r="A62" s="1524" t="s">
        <v>1010</v>
      </c>
      <c r="B62" s="615">
        <v>2550</v>
      </c>
      <c r="C62" s="466"/>
      <c r="D62" s="466"/>
      <c r="E62" s="466">
        <v>30000</v>
      </c>
      <c r="F62" s="466"/>
      <c r="G62" s="466"/>
      <c r="H62" s="466"/>
      <c r="I62" s="467"/>
      <c r="J62" s="467"/>
      <c r="K62" s="1692">
        <f t="shared" si="7"/>
        <v>30000</v>
      </c>
      <c r="L62" s="466">
        <v>25000</v>
      </c>
      <c r="M62" s="610"/>
      <c r="N62" s="610"/>
    </row>
    <row r="63" spans="1:14" s="610" customFormat="1" x14ac:dyDescent="0.2">
      <c r="A63" s="1524" t="s">
        <v>102</v>
      </c>
      <c r="B63" s="615">
        <v>2560</v>
      </c>
      <c r="C63" s="466">
        <v>139876</v>
      </c>
      <c r="D63" s="466">
        <v>463</v>
      </c>
      <c r="E63" s="466"/>
      <c r="F63" s="466">
        <v>484284</v>
      </c>
      <c r="G63" s="466"/>
      <c r="H63" s="466"/>
      <c r="I63" s="467">
        <v>1624</v>
      </c>
      <c r="J63" s="467"/>
      <c r="K63" s="1692">
        <f t="shared" si="7"/>
        <v>626247</v>
      </c>
      <c r="L63" s="466">
        <v>740114</v>
      </c>
    </row>
    <row r="64" spans="1:14" s="610" customFormat="1" x14ac:dyDescent="0.2">
      <c r="A64" s="1529" t="s">
        <v>103</v>
      </c>
      <c r="B64" s="631">
        <v>2570</v>
      </c>
      <c r="C64" s="481"/>
      <c r="D64" s="481"/>
      <c r="E64" s="481"/>
      <c r="F64" s="481">
        <v>3795</v>
      </c>
      <c r="G64" s="481"/>
      <c r="H64" s="481"/>
      <c r="I64" s="467"/>
      <c r="J64" s="467"/>
      <c r="K64" s="1692">
        <f t="shared" si="7"/>
        <v>3795</v>
      </c>
      <c r="L64" s="481">
        <v>4000</v>
      </c>
    </row>
    <row r="65" spans="1:14" s="343" customFormat="1" ht="12.75" customHeight="1" thickBot="1" x14ac:dyDescent="0.25">
      <c r="A65" s="1688" t="s">
        <v>743</v>
      </c>
      <c r="B65" s="1689" t="s">
        <v>35</v>
      </c>
      <c r="C65" s="1690">
        <f>SUM(C59:C64)</f>
        <v>424350</v>
      </c>
      <c r="D65" s="1690">
        <f t="shared" ref="D65:L65" si="8">SUM(D59:D64)</f>
        <v>70657</v>
      </c>
      <c r="E65" s="1690">
        <f t="shared" si="8"/>
        <v>38378</v>
      </c>
      <c r="F65" s="1690">
        <f t="shared" si="8"/>
        <v>500425</v>
      </c>
      <c r="G65" s="1690">
        <f t="shared" si="8"/>
        <v>0</v>
      </c>
      <c r="H65" s="1690">
        <f t="shared" si="8"/>
        <v>2617</v>
      </c>
      <c r="I65" s="1690">
        <f t="shared" si="8"/>
        <v>1624</v>
      </c>
      <c r="J65" s="1690">
        <f t="shared" si="8"/>
        <v>0</v>
      </c>
      <c r="K65" s="1690">
        <f t="shared" si="8"/>
        <v>1038051</v>
      </c>
      <c r="L65" s="1690">
        <f t="shared" si="8"/>
        <v>1155790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66"/>
      <c r="D67" s="466"/>
      <c r="E67" s="466"/>
      <c r="F67" s="466"/>
      <c r="G67" s="466"/>
      <c r="H67" s="466"/>
      <c r="I67" s="467"/>
      <c r="J67" s="467"/>
      <c r="K67" s="1692">
        <f>SUM(C67:J67)</f>
        <v>0</v>
      </c>
      <c r="L67" s="481"/>
      <c r="M67" s="610"/>
      <c r="N67" s="610"/>
    </row>
    <row r="68" spans="1:14" s="343" customFormat="1" x14ac:dyDescent="0.2">
      <c r="A68" s="1524" t="s">
        <v>628</v>
      </c>
      <c r="B68" s="615">
        <v>2620</v>
      </c>
      <c r="C68" s="466"/>
      <c r="D68" s="466"/>
      <c r="E68" s="466"/>
      <c r="F68" s="466"/>
      <c r="G68" s="466"/>
      <c r="H68" s="466"/>
      <c r="I68" s="467"/>
      <c r="J68" s="467"/>
      <c r="K68" s="1692">
        <f>SUM(C68:J68)</f>
        <v>0</v>
      </c>
      <c r="L68" s="466"/>
      <c r="M68" s="610"/>
      <c r="N68" s="610"/>
    </row>
    <row r="69" spans="1:14" s="343" customFormat="1" x14ac:dyDescent="0.2">
      <c r="A69" s="1524" t="s">
        <v>1121</v>
      </c>
      <c r="B69" s="615">
        <v>2630</v>
      </c>
      <c r="C69" s="466">
        <v>1277</v>
      </c>
      <c r="D69" s="466">
        <v>13</v>
      </c>
      <c r="E69" s="466"/>
      <c r="F69" s="466"/>
      <c r="G69" s="466"/>
      <c r="H69" s="466"/>
      <c r="I69" s="467"/>
      <c r="J69" s="467"/>
      <c r="K69" s="1692">
        <f>SUM(C69:J69)</f>
        <v>1290</v>
      </c>
      <c r="L69" s="466">
        <v>7050</v>
      </c>
      <c r="M69" s="610"/>
      <c r="N69" s="610"/>
    </row>
    <row r="70" spans="1:14" s="343" customFormat="1" x14ac:dyDescent="0.2">
      <c r="A70" s="1524" t="s">
        <v>423</v>
      </c>
      <c r="B70" s="615">
        <v>2640</v>
      </c>
      <c r="C70" s="466">
        <v>69840</v>
      </c>
      <c r="D70" s="466">
        <v>20788</v>
      </c>
      <c r="E70" s="466">
        <v>93649</v>
      </c>
      <c r="F70" s="466">
        <v>122</v>
      </c>
      <c r="G70" s="466"/>
      <c r="H70" s="466">
        <v>1808</v>
      </c>
      <c r="I70" s="467"/>
      <c r="J70" s="467"/>
      <c r="K70" s="1692">
        <f>SUM(C70:J70)</f>
        <v>186207</v>
      </c>
      <c r="L70" s="466">
        <v>179710</v>
      </c>
      <c r="M70" s="610"/>
      <c r="N70" s="610"/>
    </row>
    <row r="71" spans="1:14" s="343" customFormat="1" x14ac:dyDescent="0.2">
      <c r="A71" s="1524" t="s">
        <v>424</v>
      </c>
      <c r="B71" s="615">
        <v>2660</v>
      </c>
      <c r="C71" s="466"/>
      <c r="D71" s="466"/>
      <c r="E71" s="466"/>
      <c r="F71" s="466">
        <v>49742</v>
      </c>
      <c r="G71" s="466"/>
      <c r="H71" s="466"/>
      <c r="I71" s="467">
        <v>19354</v>
      </c>
      <c r="J71" s="467"/>
      <c r="K71" s="1692">
        <f>SUM(C71:J71)</f>
        <v>69096</v>
      </c>
      <c r="L71" s="466">
        <v>68100</v>
      </c>
      <c r="M71" s="610"/>
      <c r="N71" s="610"/>
    </row>
    <row r="72" spans="1:14" s="343" customFormat="1" ht="12.75" customHeight="1" thickBot="1" x14ac:dyDescent="0.25">
      <c r="A72" s="1688" t="s">
        <v>37</v>
      </c>
      <c r="B72" s="1695" t="s">
        <v>36</v>
      </c>
      <c r="C72" s="1690">
        <f>SUM(C67:C71)</f>
        <v>71117</v>
      </c>
      <c r="D72" s="1690">
        <f t="shared" ref="D72:K72" si="9">SUM(D67:D71)</f>
        <v>20801</v>
      </c>
      <c r="E72" s="1690">
        <f t="shared" si="9"/>
        <v>93649</v>
      </c>
      <c r="F72" s="1690">
        <f t="shared" si="9"/>
        <v>49864</v>
      </c>
      <c r="G72" s="1690">
        <f t="shared" si="9"/>
        <v>0</v>
      </c>
      <c r="H72" s="1690">
        <f t="shared" si="9"/>
        <v>1808</v>
      </c>
      <c r="I72" s="1690">
        <f t="shared" si="9"/>
        <v>19354</v>
      </c>
      <c r="J72" s="1690">
        <f t="shared" si="9"/>
        <v>0</v>
      </c>
      <c r="K72" s="1690">
        <f t="shared" si="9"/>
        <v>256593</v>
      </c>
      <c r="L72" s="1690">
        <f>SUM(L67:L71)</f>
        <v>254860</v>
      </c>
      <c r="M72" s="610"/>
      <c r="N72" s="610"/>
    </row>
    <row r="73" spans="1:14" s="343" customFormat="1" ht="14.25" thickTop="1" thickBot="1" x14ac:dyDescent="0.25">
      <c r="A73" s="1530" t="s">
        <v>1037</v>
      </c>
      <c r="B73" s="633" t="s">
        <v>595</v>
      </c>
      <c r="C73" s="573"/>
      <c r="D73" s="573"/>
      <c r="E73" s="573"/>
      <c r="F73" s="573">
        <v>249</v>
      </c>
      <c r="G73" s="573"/>
      <c r="H73" s="573"/>
      <c r="I73" s="531"/>
      <c r="J73" s="531"/>
      <c r="K73" s="1690">
        <f>SUM(C73:J73)</f>
        <v>249</v>
      </c>
      <c r="L73" s="576">
        <v>800</v>
      </c>
      <c r="M73" s="610"/>
      <c r="N73" s="610"/>
    </row>
    <row r="74" spans="1:14" ht="12.75" customHeight="1" thickTop="1" thickBot="1" x14ac:dyDescent="0.25">
      <c r="A74" s="1688" t="s">
        <v>865</v>
      </c>
      <c r="B74" s="1696">
        <v>2000</v>
      </c>
      <c r="C74" s="1697">
        <f>SUM(C42,C47,C53,C57,C65,C72,C73)</f>
        <v>4962633</v>
      </c>
      <c r="D74" s="1697">
        <f t="shared" ref="D74:K74" si="10">SUM(D42,D47,D53,D57,D65,D72,D73)</f>
        <v>1228558</v>
      </c>
      <c r="E74" s="1697">
        <f t="shared" si="10"/>
        <v>563642</v>
      </c>
      <c r="F74" s="1697">
        <f t="shared" si="10"/>
        <v>791714</v>
      </c>
      <c r="G74" s="1697">
        <f t="shared" si="10"/>
        <v>0</v>
      </c>
      <c r="H74" s="1697">
        <f t="shared" si="10"/>
        <v>53266</v>
      </c>
      <c r="I74" s="1697">
        <f t="shared" si="10"/>
        <v>20978</v>
      </c>
      <c r="J74" s="1697">
        <f t="shared" si="10"/>
        <v>0</v>
      </c>
      <c r="K74" s="1697">
        <f t="shared" si="10"/>
        <v>7620791</v>
      </c>
      <c r="L74" s="1697">
        <f>SUM(L42,L47,L53,L57,L65,L72,L73)</f>
        <v>8032501</v>
      </c>
    </row>
    <row r="75" spans="1:14" s="259" customFormat="1" ht="15.75" customHeight="1" thickTop="1" thickBot="1" x14ac:dyDescent="0.25">
      <c r="A75" s="1630" t="s">
        <v>49</v>
      </c>
      <c r="B75" s="1631" t="s">
        <v>596</v>
      </c>
      <c r="C75" s="573">
        <v>166799</v>
      </c>
      <c r="D75" s="573">
        <v>20911</v>
      </c>
      <c r="E75" s="573">
        <v>6327</v>
      </c>
      <c r="F75" s="573">
        <v>32997</v>
      </c>
      <c r="G75" s="573"/>
      <c r="H75" s="573"/>
      <c r="I75" s="531"/>
      <c r="J75" s="531"/>
      <c r="K75" s="1690">
        <f>SUM(C75:J75)</f>
        <v>227034</v>
      </c>
      <c r="L75" s="576">
        <v>248887</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v>4220</v>
      </c>
      <c r="F78" s="617"/>
      <c r="G78" s="617"/>
      <c r="H78" s="635"/>
      <c r="I78" s="477"/>
      <c r="J78" s="477"/>
      <c r="K78" s="1691">
        <f t="shared" ref="K78:K83" si="11">SUM(C78:J78)</f>
        <v>4220</v>
      </c>
      <c r="L78" s="481"/>
    </row>
    <row r="79" spans="1:14" x14ac:dyDescent="0.2">
      <c r="A79" s="1524" t="s">
        <v>322</v>
      </c>
      <c r="B79" s="615">
        <v>4120</v>
      </c>
      <c r="C79" s="617"/>
      <c r="D79" s="617"/>
      <c r="E79" s="466"/>
      <c r="F79" s="617"/>
      <c r="G79" s="617"/>
      <c r="H79" s="466">
        <v>992413</v>
      </c>
      <c r="I79" s="477"/>
      <c r="J79" s="477"/>
      <c r="K79" s="1691">
        <f t="shared" si="11"/>
        <v>992413</v>
      </c>
      <c r="L79" s="466">
        <v>530000</v>
      </c>
    </row>
    <row r="80" spans="1:14" x14ac:dyDescent="0.2">
      <c r="A80" s="1524" t="s">
        <v>323</v>
      </c>
      <c r="B80" s="615">
        <v>4130</v>
      </c>
      <c r="C80" s="617"/>
      <c r="D80" s="617"/>
      <c r="E80" s="466"/>
      <c r="F80" s="617"/>
      <c r="G80" s="617"/>
      <c r="H80" s="466"/>
      <c r="I80" s="477"/>
      <c r="J80" s="477"/>
      <c r="K80" s="1691">
        <f t="shared" si="11"/>
        <v>0</v>
      </c>
      <c r="L80" s="466"/>
    </row>
    <row r="81" spans="1:12" x14ac:dyDescent="0.2">
      <c r="A81" s="1524" t="s">
        <v>721</v>
      </c>
      <c r="B81" s="615">
        <v>4140</v>
      </c>
      <c r="C81" s="617"/>
      <c r="D81" s="617"/>
      <c r="E81" s="466"/>
      <c r="F81" s="617"/>
      <c r="G81" s="617"/>
      <c r="H81" s="466"/>
      <c r="I81" s="477"/>
      <c r="J81" s="477"/>
      <c r="K81" s="1691">
        <f t="shared" si="11"/>
        <v>0</v>
      </c>
      <c r="L81" s="466"/>
    </row>
    <row r="82" spans="1:12" x14ac:dyDescent="0.2">
      <c r="A82" s="1524" t="s">
        <v>88</v>
      </c>
      <c r="B82" s="615">
        <v>4170</v>
      </c>
      <c r="C82" s="617"/>
      <c r="D82" s="617"/>
      <c r="E82" s="466"/>
      <c r="F82" s="617"/>
      <c r="G82" s="617"/>
      <c r="H82" s="466"/>
      <c r="I82" s="477"/>
      <c r="J82" s="477"/>
      <c r="K82" s="1691">
        <f t="shared" si="11"/>
        <v>0</v>
      </c>
      <c r="L82" s="466"/>
    </row>
    <row r="83" spans="1:12" x14ac:dyDescent="0.2">
      <c r="A83" s="1528"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4220</v>
      </c>
      <c r="F84" s="617"/>
      <c r="G84" s="617"/>
      <c r="H84" s="1690">
        <f>SUM(H78:H83)</f>
        <v>992413</v>
      </c>
      <c r="I84" s="477"/>
      <c r="J84" s="477"/>
      <c r="K84" s="1690">
        <f>SUM(K78:K83)</f>
        <v>996633</v>
      </c>
      <c r="L84" s="1690">
        <f>SUM(L78:L83)</f>
        <v>530000</v>
      </c>
    </row>
    <row r="85" spans="1:12" ht="12.75" customHeight="1" thickTop="1" thickBot="1" x14ac:dyDescent="0.25">
      <c r="A85" s="1531" t="s">
        <v>273</v>
      </c>
      <c r="B85" s="636">
        <v>4210</v>
      </c>
      <c r="C85" s="617"/>
      <c r="D85" s="617"/>
      <c r="E85" s="637"/>
      <c r="F85" s="617"/>
      <c r="G85" s="617"/>
      <c r="H85" s="535"/>
      <c r="I85" s="477"/>
      <c r="J85" s="477"/>
      <c r="K85" s="1697">
        <f>H85</f>
        <v>0</v>
      </c>
      <c r="L85" s="530"/>
    </row>
    <row r="86" spans="1:12" ht="12.75" customHeight="1" thickTop="1" thickBot="1" x14ac:dyDescent="0.25">
      <c r="A86" s="1532" t="s">
        <v>723</v>
      </c>
      <c r="B86" s="638">
        <v>4220</v>
      </c>
      <c r="C86" s="617"/>
      <c r="D86" s="617"/>
      <c r="E86" s="639"/>
      <c r="F86" s="617"/>
      <c r="G86" s="617"/>
      <c r="H86" s="467"/>
      <c r="I86" s="477"/>
      <c r="J86" s="477"/>
      <c r="K86" s="1697">
        <f t="shared" ref="K86:K98" si="12">H86</f>
        <v>0</v>
      </c>
      <c r="L86" s="530"/>
    </row>
    <row r="87" spans="1:12" ht="14.25" thickTop="1" thickBot="1" x14ac:dyDescent="0.25">
      <c r="A87" s="1533" t="s">
        <v>724</v>
      </c>
      <c r="B87" s="640">
        <v>4230</v>
      </c>
      <c r="C87" s="617"/>
      <c r="D87" s="617"/>
      <c r="E87" s="639"/>
      <c r="F87" s="617"/>
      <c r="G87" s="617"/>
      <c r="H87" s="467"/>
      <c r="I87" s="477"/>
      <c r="J87" s="477"/>
      <c r="K87" s="1697">
        <f t="shared" si="12"/>
        <v>0</v>
      </c>
      <c r="L87" s="530"/>
    </row>
    <row r="88" spans="1:12" ht="12.75" customHeight="1" thickTop="1" thickBot="1" x14ac:dyDescent="0.25">
      <c r="A88" s="1533" t="s">
        <v>789</v>
      </c>
      <c r="B88" s="640">
        <v>4240</v>
      </c>
      <c r="C88" s="617"/>
      <c r="D88" s="617"/>
      <c r="E88" s="639"/>
      <c r="F88" s="617"/>
      <c r="G88" s="617"/>
      <c r="H88" s="467"/>
      <c r="I88" s="477"/>
      <c r="J88" s="477"/>
      <c r="K88" s="1697">
        <f t="shared" si="12"/>
        <v>0</v>
      </c>
      <c r="L88" s="530"/>
    </row>
    <row r="89" spans="1:12" ht="12.75" customHeight="1" thickTop="1" thickBot="1" x14ac:dyDescent="0.25">
      <c r="A89" s="1533" t="s">
        <v>725</v>
      </c>
      <c r="B89" s="640">
        <v>4270</v>
      </c>
      <c r="C89" s="617"/>
      <c r="D89" s="617"/>
      <c r="E89" s="639"/>
      <c r="F89" s="617"/>
      <c r="G89" s="617"/>
      <c r="H89" s="467"/>
      <c r="I89" s="477"/>
      <c r="J89" s="477"/>
      <c r="K89" s="1697">
        <f t="shared" si="12"/>
        <v>0</v>
      </c>
      <c r="L89" s="530"/>
    </row>
    <row r="90" spans="1:12" ht="12.75" customHeight="1" thickTop="1" thickBot="1" x14ac:dyDescent="0.25">
      <c r="A90" s="1533" t="s">
        <v>710</v>
      </c>
      <c r="B90" s="640">
        <v>4280</v>
      </c>
      <c r="C90" s="617"/>
      <c r="D90" s="617"/>
      <c r="E90" s="639"/>
      <c r="F90" s="617"/>
      <c r="G90" s="617"/>
      <c r="H90" s="467"/>
      <c r="I90" s="477"/>
      <c r="J90" s="477"/>
      <c r="K90" s="1697">
        <f t="shared" si="12"/>
        <v>0</v>
      </c>
      <c r="L90" s="530"/>
    </row>
    <row r="91" spans="1:12" ht="12.75" customHeight="1" thickTop="1" thickBot="1" x14ac:dyDescent="0.25">
      <c r="A91" s="1533"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2" t="s">
        <v>712</v>
      </c>
      <c r="B93" s="641">
        <v>4310</v>
      </c>
      <c r="C93" s="617"/>
      <c r="D93" s="617"/>
      <c r="E93" s="639"/>
      <c r="F93" s="617"/>
      <c r="G93" s="617"/>
      <c r="H93" s="642"/>
      <c r="I93" s="477"/>
      <c r="J93" s="477"/>
      <c r="K93" s="1697">
        <f t="shared" si="12"/>
        <v>0</v>
      </c>
      <c r="L93" s="532"/>
    </row>
    <row r="94" spans="1:12" ht="12.75" customHeight="1" thickTop="1" thickBot="1" x14ac:dyDescent="0.25">
      <c r="A94" s="1533" t="s">
        <v>713</v>
      </c>
      <c r="B94" s="640">
        <v>4320</v>
      </c>
      <c r="C94" s="617"/>
      <c r="D94" s="617"/>
      <c r="E94" s="639"/>
      <c r="F94" s="617"/>
      <c r="G94" s="617"/>
      <c r="H94" s="467"/>
      <c r="I94" s="477"/>
      <c r="J94" s="477"/>
      <c r="K94" s="1697">
        <f t="shared" si="12"/>
        <v>0</v>
      </c>
      <c r="L94" s="530"/>
    </row>
    <row r="95" spans="1:12" ht="15" customHeight="1" thickTop="1" thickBot="1" x14ac:dyDescent="0.25">
      <c r="A95" s="1533" t="s">
        <v>1568</v>
      </c>
      <c r="B95" s="640">
        <v>4330</v>
      </c>
      <c r="C95" s="617"/>
      <c r="D95" s="617"/>
      <c r="E95" s="639"/>
      <c r="F95" s="617"/>
      <c r="G95" s="617"/>
      <c r="H95" s="467"/>
      <c r="I95" s="477"/>
      <c r="J95" s="477"/>
      <c r="K95" s="1697">
        <f t="shared" si="12"/>
        <v>0</v>
      </c>
      <c r="L95" s="530"/>
    </row>
    <row r="96" spans="1:12" ht="14.25" thickTop="1" thickBot="1" x14ac:dyDescent="0.25">
      <c r="A96" s="1533" t="s">
        <v>714</v>
      </c>
      <c r="B96" s="640">
        <v>4340</v>
      </c>
      <c r="C96" s="617"/>
      <c r="D96" s="617"/>
      <c r="E96" s="639"/>
      <c r="F96" s="617"/>
      <c r="G96" s="617"/>
      <c r="H96" s="467"/>
      <c r="I96" s="477"/>
      <c r="J96" s="477"/>
      <c r="K96" s="1697">
        <f t="shared" si="12"/>
        <v>0</v>
      </c>
      <c r="L96" s="530"/>
    </row>
    <row r="97" spans="1:14" ht="12.75" customHeight="1" thickTop="1" thickBot="1" x14ac:dyDescent="0.25">
      <c r="A97" s="1533" t="s">
        <v>787</v>
      </c>
      <c r="B97" s="640">
        <v>4370</v>
      </c>
      <c r="C97" s="617"/>
      <c r="D97" s="617"/>
      <c r="E97" s="639"/>
      <c r="F97" s="617"/>
      <c r="G97" s="617"/>
      <c r="H97" s="467"/>
      <c r="I97" s="477"/>
      <c r="J97" s="477"/>
      <c r="K97" s="1697">
        <f t="shared" si="12"/>
        <v>0</v>
      </c>
      <c r="L97" s="530"/>
    </row>
    <row r="98" spans="1:14" ht="14.25" thickTop="1" thickBot="1" x14ac:dyDescent="0.25">
      <c r="A98" s="1533" t="s">
        <v>788</v>
      </c>
      <c r="B98" s="640">
        <v>4380</v>
      </c>
      <c r="C98" s="617"/>
      <c r="D98" s="617"/>
      <c r="E98" s="643"/>
      <c r="F98" s="617"/>
      <c r="G98" s="617"/>
      <c r="H98" s="467"/>
      <c r="I98" s="477"/>
      <c r="J98" s="477"/>
      <c r="K98" s="1697">
        <f t="shared" si="12"/>
        <v>0</v>
      </c>
      <c r="L98" s="530"/>
    </row>
    <row r="99" spans="1:14" ht="14.25" thickTop="1" thickBot="1" x14ac:dyDescent="0.25">
      <c r="A99" s="1533"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0"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4220</v>
      </c>
      <c r="F102" s="617"/>
      <c r="G102" s="617"/>
      <c r="H102" s="1697">
        <f>SUM(H84,H92,H100,H101)</f>
        <v>992413</v>
      </c>
      <c r="I102" s="477"/>
      <c r="J102" s="477"/>
      <c r="K102" s="1697">
        <f>SUM(K84,K92,K100,K101)</f>
        <v>996633</v>
      </c>
      <c r="L102" s="1697">
        <f>SUM(L84,L92,L100,L101)</f>
        <v>530000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91">
        <f>H105</f>
        <v>0</v>
      </c>
      <c r="L105" s="481"/>
      <c r="M105" s="210"/>
      <c r="N105" s="210"/>
    </row>
    <row r="106" spans="1:14" s="598" customFormat="1" x14ac:dyDescent="0.2">
      <c r="A106" s="1524"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4" t="s">
        <v>1232</v>
      </c>
      <c r="B107" s="615">
        <v>5130</v>
      </c>
      <c r="C107" s="617"/>
      <c r="D107" s="617"/>
      <c r="E107" s="617"/>
      <c r="F107" s="617"/>
      <c r="G107" s="617"/>
      <c r="H107" s="466"/>
      <c r="I107" s="468"/>
      <c r="J107" s="468"/>
      <c r="K107" s="1691">
        <f>H107</f>
        <v>0</v>
      </c>
      <c r="L107" s="466"/>
      <c r="M107" s="210"/>
      <c r="N107" s="210"/>
    </row>
    <row r="108" spans="1:14" s="598" customFormat="1" x14ac:dyDescent="0.2">
      <c r="A108" s="1524" t="s">
        <v>91</v>
      </c>
      <c r="B108" s="615" t="s">
        <v>610</v>
      </c>
      <c r="C108" s="617"/>
      <c r="D108" s="617"/>
      <c r="E108" s="617"/>
      <c r="F108" s="617"/>
      <c r="G108" s="617"/>
      <c r="H108" s="466"/>
      <c r="I108" s="468"/>
      <c r="J108" s="468"/>
      <c r="K108" s="1691">
        <f>H108</f>
        <v>0</v>
      </c>
      <c r="L108" s="466"/>
      <c r="M108" s="210"/>
      <c r="N108" s="210"/>
    </row>
    <row r="109" spans="1:14" s="598" customFormat="1" x14ac:dyDescent="0.2">
      <c r="A109" s="1524"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4"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20571689</v>
      </c>
      <c r="D114" s="1690">
        <f t="shared" ref="D114:K114" si="13">SUM(D33,D74,D75,D102,D112,D113)</f>
        <v>4949558</v>
      </c>
      <c r="E114" s="1690">
        <f t="shared" si="13"/>
        <v>900743</v>
      </c>
      <c r="F114" s="1690">
        <f t="shared" si="13"/>
        <v>1796762</v>
      </c>
      <c r="G114" s="1690">
        <f t="shared" si="13"/>
        <v>120931</v>
      </c>
      <c r="H114" s="1690">
        <f>SUM(H33,H74,H75,H102,H112,H113)</f>
        <v>1358443</v>
      </c>
      <c r="I114" s="1690">
        <f t="shared" si="13"/>
        <v>482341</v>
      </c>
      <c r="J114" s="1690">
        <f t="shared" si="13"/>
        <v>0</v>
      </c>
      <c r="K114" s="1690">
        <f t="shared" si="13"/>
        <v>30180467</v>
      </c>
      <c r="L114" s="1690">
        <f>SUM(L33,L74,L75,L102,L112,L113)</f>
        <v>30264480</v>
      </c>
    </row>
    <row r="115" spans="1:14" ht="13.5" thickTop="1" x14ac:dyDescent="0.2">
      <c r="A115" s="2202" t="s">
        <v>1053</v>
      </c>
      <c r="B115" s="2203"/>
      <c r="C115" s="619"/>
      <c r="D115" s="619"/>
      <c r="E115" s="619"/>
      <c r="F115" s="619"/>
      <c r="G115" s="619"/>
      <c r="H115" s="619"/>
      <c r="I115" s="619"/>
      <c r="J115" s="619"/>
      <c r="K115" s="1704">
        <f>'Revenues 9-14'!C275-'Expenditures 15-22'!K114</f>
        <v>-1050280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7" t="s">
        <v>314</v>
      </c>
      <c r="B117" s="2208"/>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4" t="s">
        <v>1128</v>
      </c>
      <c r="B122" s="615">
        <v>2510</v>
      </c>
      <c r="C122" s="466">
        <v>25856</v>
      </c>
      <c r="D122" s="466">
        <v>8448</v>
      </c>
      <c r="E122" s="466"/>
      <c r="F122" s="466"/>
      <c r="G122" s="466"/>
      <c r="H122" s="466"/>
      <c r="I122" s="467"/>
      <c r="J122" s="467"/>
      <c r="K122" s="1690">
        <f>SUM(C122:J122)</f>
        <v>34304</v>
      </c>
      <c r="L122" s="466">
        <v>33819</v>
      </c>
    </row>
    <row r="123" spans="1:14" ht="14.25" thickTop="1" thickBot="1" x14ac:dyDescent="0.25">
      <c r="A123" s="1524" t="s">
        <v>4</v>
      </c>
      <c r="B123" s="615">
        <v>2530</v>
      </c>
      <c r="C123" s="466"/>
      <c r="D123" s="466"/>
      <c r="E123" s="466"/>
      <c r="F123" s="466"/>
      <c r="G123" s="466"/>
      <c r="H123" s="466"/>
      <c r="I123" s="467"/>
      <c r="J123" s="467"/>
      <c r="K123" s="1690">
        <f>SUM(C123:J123)</f>
        <v>0</v>
      </c>
      <c r="L123" s="466"/>
    </row>
    <row r="124" spans="1:14" ht="14.25" thickTop="1" thickBot="1" x14ac:dyDescent="0.25">
      <c r="A124" s="1524" t="s">
        <v>206</v>
      </c>
      <c r="B124" s="615">
        <v>2540</v>
      </c>
      <c r="C124" s="466">
        <v>1367868</v>
      </c>
      <c r="D124" s="466">
        <v>219804</v>
      </c>
      <c r="E124" s="466">
        <v>744664</v>
      </c>
      <c r="F124" s="466">
        <v>741418</v>
      </c>
      <c r="G124" s="466">
        <v>20770</v>
      </c>
      <c r="H124" s="466"/>
      <c r="I124" s="467">
        <v>104518</v>
      </c>
      <c r="J124" s="467"/>
      <c r="K124" s="1690">
        <f>SUM(C124:J124)</f>
        <v>3199042</v>
      </c>
      <c r="L124" s="466">
        <v>3621902</v>
      </c>
    </row>
    <row r="125" spans="1:14" ht="14.25" thickTop="1" thickBot="1" x14ac:dyDescent="0.25">
      <c r="A125" s="1524" t="s">
        <v>1010</v>
      </c>
      <c r="B125" s="615">
        <v>2550</v>
      </c>
      <c r="C125" s="466"/>
      <c r="D125" s="466"/>
      <c r="E125" s="466"/>
      <c r="F125" s="466"/>
      <c r="G125" s="466"/>
      <c r="H125" s="466"/>
      <c r="I125" s="467"/>
      <c r="J125" s="467"/>
      <c r="K125" s="1690">
        <f>SUM(C125:J125)</f>
        <v>0</v>
      </c>
      <c r="L125" s="466"/>
    </row>
    <row r="126" spans="1:14" ht="14.25" thickTop="1" thickBot="1" x14ac:dyDescent="0.25">
      <c r="A126" s="1524"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1393724</v>
      </c>
      <c r="D127" s="1690">
        <f t="shared" ref="D127:L127" si="14">SUM(D122:D126)</f>
        <v>228252</v>
      </c>
      <c r="E127" s="1690">
        <f t="shared" si="14"/>
        <v>744664</v>
      </c>
      <c r="F127" s="1690">
        <f t="shared" si="14"/>
        <v>741418</v>
      </c>
      <c r="G127" s="1690">
        <f t="shared" si="14"/>
        <v>20770</v>
      </c>
      <c r="H127" s="1690">
        <f t="shared" si="14"/>
        <v>0</v>
      </c>
      <c r="I127" s="1690">
        <f t="shared" si="14"/>
        <v>104518</v>
      </c>
      <c r="J127" s="1690">
        <f t="shared" si="14"/>
        <v>0</v>
      </c>
      <c r="K127" s="1690">
        <f t="shared" si="14"/>
        <v>3233346</v>
      </c>
      <c r="L127" s="1690">
        <f t="shared" si="14"/>
        <v>3655721</v>
      </c>
    </row>
    <row r="128" spans="1:14" ht="12.75" customHeight="1" thickTop="1" x14ac:dyDescent="0.2">
      <c r="A128" s="1531"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1393724</v>
      </c>
      <c r="D129" s="1697">
        <f t="shared" ref="D129:L129" si="15">SUM(D120,D127,D128)</f>
        <v>228252</v>
      </c>
      <c r="E129" s="1697">
        <f t="shared" si="15"/>
        <v>744664</v>
      </c>
      <c r="F129" s="1697">
        <f t="shared" si="15"/>
        <v>741418</v>
      </c>
      <c r="G129" s="1697">
        <f t="shared" si="15"/>
        <v>20770</v>
      </c>
      <c r="H129" s="1697">
        <f t="shared" si="15"/>
        <v>0</v>
      </c>
      <c r="I129" s="1697">
        <f t="shared" si="15"/>
        <v>104518</v>
      </c>
      <c r="J129" s="1697">
        <f t="shared" si="15"/>
        <v>0</v>
      </c>
      <c r="K129" s="1697">
        <f t="shared" si="15"/>
        <v>3233346</v>
      </c>
      <c r="L129" s="1697">
        <f t="shared" si="15"/>
        <v>3655721</v>
      </c>
    </row>
    <row r="130" spans="1:14" ht="15.75" customHeight="1" thickTop="1" thickBot="1" x14ac:dyDescent="0.25">
      <c r="A130" s="1630" t="s">
        <v>1096</v>
      </c>
      <c r="B130" s="1631" t="s">
        <v>596</v>
      </c>
      <c r="C130" s="576"/>
      <c r="D130" s="576"/>
      <c r="E130" s="576"/>
      <c r="F130" s="576"/>
      <c r="G130" s="576"/>
      <c r="H130" s="576"/>
      <c r="I130" s="531"/>
      <c r="J130" s="531"/>
      <c r="K130" s="1690">
        <f>SUM(C130:J130)</f>
        <v>0</v>
      </c>
      <c r="L130" s="576"/>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0" t="s">
        <v>517</v>
      </c>
      <c r="B133" s="1862" t="s">
        <v>1953</v>
      </c>
      <c r="C133" s="468"/>
      <c r="D133" s="468"/>
      <c r="E133" s="642"/>
      <c r="F133" s="468"/>
      <c r="G133" s="468"/>
      <c r="H133" s="642"/>
      <c r="I133" s="468"/>
      <c r="J133" s="468"/>
      <c r="K133" s="1842">
        <f>SUM(E133,H133)</f>
        <v>0</v>
      </c>
      <c r="L133" s="642"/>
      <c r="M133" s="206"/>
      <c r="N133" s="206"/>
    </row>
    <row r="134" spans="1:14" x14ac:dyDescent="0.2">
      <c r="A134" s="1524" t="s">
        <v>322</v>
      </c>
      <c r="B134" s="615">
        <v>4120</v>
      </c>
      <c r="C134" s="617"/>
      <c r="D134" s="617"/>
      <c r="E134" s="478"/>
      <c r="F134" s="617"/>
      <c r="G134" s="617"/>
      <c r="H134" s="481"/>
      <c r="I134" s="477"/>
      <c r="J134" s="617"/>
      <c r="K134" s="1692">
        <f>SUM(E134,H134)</f>
        <v>0</v>
      </c>
      <c r="L134" s="481"/>
    </row>
    <row r="135" spans="1:14" x14ac:dyDescent="0.2">
      <c r="A135" s="1524" t="s">
        <v>721</v>
      </c>
      <c r="B135" s="615">
        <v>4140</v>
      </c>
      <c r="C135" s="617"/>
      <c r="D135" s="617"/>
      <c r="E135" s="467"/>
      <c r="F135" s="617"/>
      <c r="G135" s="617"/>
      <c r="H135" s="466"/>
      <c r="I135" s="477"/>
      <c r="J135" s="617"/>
      <c r="K135" s="1692">
        <f>SUM(E135,H135)</f>
        <v>0</v>
      </c>
      <c r="L135" s="466"/>
    </row>
    <row r="136" spans="1:14" x14ac:dyDescent="0.2">
      <c r="A136" s="1528"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0"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2" t="s">
        <v>1097</v>
      </c>
      <c r="B140" s="1633"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2">
        <f>SUM(H142)</f>
        <v>0</v>
      </c>
      <c r="L142" s="481"/>
    </row>
    <row r="143" spans="1:14" x14ac:dyDescent="0.2">
      <c r="A143" s="1524" t="s">
        <v>90</v>
      </c>
      <c r="B143" s="615">
        <v>5120</v>
      </c>
      <c r="C143" s="617"/>
      <c r="D143" s="617"/>
      <c r="E143" s="617"/>
      <c r="F143" s="617"/>
      <c r="G143" s="617"/>
      <c r="H143" s="466"/>
      <c r="I143" s="468"/>
      <c r="J143" s="617"/>
      <c r="K143" s="1692">
        <f>SUM(H143)</f>
        <v>0</v>
      </c>
      <c r="L143" s="466"/>
    </row>
    <row r="144" spans="1:14" ht="12.75" customHeight="1" x14ac:dyDescent="0.2">
      <c r="A144" s="1524" t="s">
        <v>1232</v>
      </c>
      <c r="B144" s="629" t="s">
        <v>638</v>
      </c>
      <c r="C144" s="617"/>
      <c r="D144" s="617"/>
      <c r="E144" s="617"/>
      <c r="F144" s="617"/>
      <c r="G144" s="617"/>
      <c r="H144" s="466"/>
      <c r="I144" s="468"/>
      <c r="J144" s="617"/>
      <c r="K144" s="1692">
        <f>SUM(H144)</f>
        <v>0</v>
      </c>
      <c r="L144" s="466"/>
    </row>
    <row r="145" spans="1:14" x14ac:dyDescent="0.2">
      <c r="A145" s="1524" t="s">
        <v>91</v>
      </c>
      <c r="B145" s="615" t="s">
        <v>610</v>
      </c>
      <c r="C145" s="617"/>
      <c r="D145" s="617"/>
      <c r="E145" s="617"/>
      <c r="F145" s="617"/>
      <c r="G145" s="617"/>
      <c r="H145" s="466"/>
      <c r="I145" s="468"/>
      <c r="J145" s="617"/>
      <c r="K145" s="1692">
        <f>SUM(H145)</f>
        <v>0</v>
      </c>
      <c r="L145" s="466"/>
    </row>
    <row r="146" spans="1:14" ht="12.75" customHeight="1" x14ac:dyDescent="0.2">
      <c r="A146" s="1524" t="s">
        <v>640</v>
      </c>
      <c r="B146" s="615" t="s">
        <v>639</v>
      </c>
      <c r="C146" s="617"/>
      <c r="D146" s="617"/>
      <c r="E146" s="617"/>
      <c r="F146" s="617"/>
      <c r="G146" s="617"/>
      <c r="H146" s="466"/>
      <c r="I146" s="468"/>
      <c r="J146" s="617"/>
      <c r="K146" s="1692">
        <f>SUM(H146)</f>
        <v>0</v>
      </c>
      <c r="L146" s="466"/>
    </row>
    <row r="147" spans="1:14" ht="12.75" customHeight="1" thickBot="1" x14ac:dyDescent="0.25">
      <c r="A147" s="1535"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7"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6" t="s">
        <v>1098</v>
      </c>
      <c r="B150" s="1633" t="s">
        <v>916</v>
      </c>
      <c r="C150" s="617"/>
      <c r="D150" s="617"/>
      <c r="E150" s="617"/>
      <c r="F150" s="617"/>
      <c r="G150" s="617"/>
      <c r="H150" s="663"/>
      <c r="I150" s="521"/>
      <c r="J150" s="617"/>
      <c r="K150" s="624"/>
      <c r="L150" s="573"/>
    </row>
    <row r="151" spans="1:14" ht="12.75" customHeight="1" thickTop="1" thickBot="1" x14ac:dyDescent="0.25">
      <c r="A151" s="2219" t="s">
        <v>641</v>
      </c>
      <c r="B151" s="2199"/>
      <c r="C151" s="1690">
        <f>SUM(C129,C130,C139,C149,C150)</f>
        <v>1393724</v>
      </c>
      <c r="D151" s="1690">
        <f t="shared" ref="D151:K151" si="16">SUM(D129,D130,D139,D149,D150)</f>
        <v>228252</v>
      </c>
      <c r="E151" s="1690">
        <f t="shared" si="16"/>
        <v>744664</v>
      </c>
      <c r="F151" s="1690">
        <f t="shared" si="16"/>
        <v>741418</v>
      </c>
      <c r="G151" s="1690">
        <f t="shared" si="16"/>
        <v>20770</v>
      </c>
      <c r="H151" s="1690">
        <f t="shared" si="16"/>
        <v>0</v>
      </c>
      <c r="I151" s="1690">
        <f t="shared" si="16"/>
        <v>104518</v>
      </c>
      <c r="J151" s="1690">
        <f t="shared" si="16"/>
        <v>0</v>
      </c>
      <c r="K151" s="1690">
        <f t="shared" si="16"/>
        <v>3233346</v>
      </c>
      <c r="L151" s="1690">
        <f>SUM(L129,L130,L139,L149,L150)</f>
        <v>3655721</v>
      </c>
    </row>
    <row r="152" spans="1:14" ht="12.75" customHeight="1" thickTop="1" x14ac:dyDescent="0.2">
      <c r="A152" s="2222" t="s">
        <v>1240</v>
      </c>
      <c r="B152" s="2223"/>
      <c r="C152" s="619"/>
      <c r="D152" s="619"/>
      <c r="E152" s="619"/>
      <c r="F152" s="619"/>
      <c r="G152" s="619"/>
      <c r="H152" s="619"/>
      <c r="I152" s="619"/>
      <c r="J152" s="617"/>
      <c r="K152" s="1704">
        <f>'Revenues 9-14'!D275-'Expenditures 15-22'!K151</f>
        <v>-142603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7" t="s">
        <v>642</v>
      </c>
      <c r="B154" s="2209"/>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1954</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1953</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1955</v>
      </c>
      <c r="C158" s="617"/>
      <c r="D158" s="617"/>
      <c r="E158" s="617"/>
      <c r="F158" s="617"/>
      <c r="G158" s="617"/>
      <c r="H158" s="467"/>
      <c r="I158" s="617"/>
      <c r="J158" s="617"/>
      <c r="K158" s="1691">
        <f>H158</f>
        <v>0</v>
      </c>
      <c r="L158" s="467"/>
      <c r="M158" s="620"/>
      <c r="N158" s="620"/>
    </row>
    <row r="159" spans="1:14" s="621" customFormat="1" ht="12" x14ac:dyDescent="0.2">
      <c r="A159" s="1847" t="s">
        <v>1956</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1957</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91">
        <f>SUM(C163:J163)</f>
        <v>0</v>
      </c>
      <c r="L163" s="466"/>
    </row>
    <row r="164" spans="1:14" x14ac:dyDescent="0.2">
      <c r="A164" s="1524" t="s">
        <v>90</v>
      </c>
      <c r="B164" s="615">
        <v>5120</v>
      </c>
      <c r="C164" s="617"/>
      <c r="D164" s="617"/>
      <c r="E164" s="617"/>
      <c r="F164" s="617"/>
      <c r="G164" s="617"/>
      <c r="H164" s="466"/>
      <c r="I164" s="617"/>
      <c r="J164" s="617"/>
      <c r="K164" s="1691">
        <f>SUM(C164:J164)</f>
        <v>0</v>
      </c>
      <c r="L164" s="466"/>
    </row>
    <row r="165" spans="1:14" ht="12.75" customHeight="1" x14ac:dyDescent="0.2">
      <c r="A165" s="1524" t="s">
        <v>1232</v>
      </c>
      <c r="B165" s="615" t="s">
        <v>638</v>
      </c>
      <c r="C165" s="617"/>
      <c r="D165" s="617"/>
      <c r="E165" s="617"/>
      <c r="F165" s="617"/>
      <c r="G165" s="617"/>
      <c r="H165" s="466"/>
      <c r="I165" s="617"/>
      <c r="J165" s="617"/>
      <c r="K165" s="1691">
        <f>SUM(C165:J165)</f>
        <v>0</v>
      </c>
      <c r="L165" s="466"/>
    </row>
    <row r="166" spans="1:14" x14ac:dyDescent="0.2">
      <c r="A166" s="1524" t="s">
        <v>91</v>
      </c>
      <c r="B166" s="629" t="s">
        <v>610</v>
      </c>
      <c r="C166" s="617"/>
      <c r="D166" s="617"/>
      <c r="E166" s="617"/>
      <c r="F166" s="617"/>
      <c r="G166" s="617"/>
      <c r="H166" s="466">
        <v>646714</v>
      </c>
      <c r="I166" s="617"/>
      <c r="J166" s="617"/>
      <c r="K166" s="1691">
        <f>SUM(C166:J166)</f>
        <v>646714</v>
      </c>
      <c r="L166" s="466">
        <v>650214</v>
      </c>
    </row>
    <row r="167" spans="1:14" ht="12.75" customHeight="1" x14ac:dyDescent="0.2">
      <c r="A167" s="1524"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646714</v>
      </c>
      <c r="I168" s="617"/>
      <c r="J168" s="617"/>
      <c r="K168" s="1690">
        <f>SUM(K163:K167)</f>
        <v>646714</v>
      </c>
      <c r="L168" s="1690">
        <f>SUM(L163:L167)</f>
        <v>650214</v>
      </c>
    </row>
    <row r="169" spans="1:14" ht="15.75" customHeight="1" thickTop="1" x14ac:dyDescent="0.2">
      <c r="A169" s="670" t="s">
        <v>85</v>
      </c>
      <c r="B169" s="671" t="s">
        <v>38</v>
      </c>
      <c r="C169" s="617"/>
      <c r="D169" s="617"/>
      <c r="E169" s="617"/>
      <c r="F169" s="617"/>
      <c r="G169" s="617"/>
      <c r="H169" s="657"/>
      <c r="I169" s="617"/>
      <c r="J169" s="617"/>
      <c r="K169" s="1691">
        <f>SUM(C169:H169)</f>
        <v>0</v>
      </c>
      <c r="L169" s="657"/>
    </row>
    <row r="170" spans="1:14" ht="33.75" customHeight="1" x14ac:dyDescent="0.2">
      <c r="A170" s="670" t="s">
        <v>1769</v>
      </c>
      <c r="B170" s="672" t="s">
        <v>31</v>
      </c>
      <c r="C170" s="617"/>
      <c r="D170" s="617"/>
      <c r="E170" s="617"/>
      <c r="F170" s="617"/>
      <c r="G170" s="617"/>
      <c r="H170" s="569">
        <v>2275000</v>
      </c>
      <c r="I170" s="617"/>
      <c r="J170" s="617"/>
      <c r="K170" s="1691">
        <f>SUM(C170:J170)</f>
        <v>2275000</v>
      </c>
      <c r="L170" s="569">
        <v>2275000</v>
      </c>
    </row>
    <row r="171" spans="1:14" ht="15.75" customHeight="1" x14ac:dyDescent="0.2">
      <c r="A171" s="622" t="s">
        <v>790</v>
      </c>
      <c r="B171" s="673" t="s">
        <v>86</v>
      </c>
      <c r="C171" s="617"/>
      <c r="D171" s="617"/>
      <c r="E171" s="466"/>
      <c r="F171" s="617"/>
      <c r="G171" s="617"/>
      <c r="H171" s="569"/>
      <c r="I171" s="477"/>
      <c r="J171" s="617"/>
      <c r="K171" s="1691">
        <f>SUM(C171:J171)</f>
        <v>0</v>
      </c>
      <c r="L171" s="569"/>
    </row>
    <row r="172" spans="1:14" ht="12.75" customHeight="1" thickBot="1" x14ac:dyDescent="0.25">
      <c r="A172" s="1688" t="s">
        <v>659</v>
      </c>
      <c r="B172" s="1689" t="s">
        <v>513</v>
      </c>
      <c r="C172" s="617"/>
      <c r="D172" s="617"/>
      <c r="E172" s="1697">
        <f>SUM(E168,E169,E170,E171)</f>
        <v>0</v>
      </c>
      <c r="F172" s="617"/>
      <c r="G172" s="617"/>
      <c r="H172" s="1697">
        <f>SUM(H168,H169,H170,H171)</f>
        <v>2921714</v>
      </c>
      <c r="I172" s="639"/>
      <c r="J172" s="617"/>
      <c r="K172" s="1697">
        <f>SUM(K168,K169,K170,K171)</f>
        <v>2921714</v>
      </c>
      <c r="L172" s="1697">
        <f>SUM(L168,L169,L170,L171)</f>
        <v>2925214</v>
      </c>
    </row>
    <row r="173" spans="1:14" ht="15.75" customHeight="1" thickTop="1" thickBot="1" x14ac:dyDescent="0.25">
      <c r="A173" s="1639" t="s">
        <v>87</v>
      </c>
      <c r="B173" s="1631"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2921714</v>
      </c>
      <c r="I174" s="639"/>
      <c r="J174" s="617"/>
      <c r="K174" s="1697">
        <f>SUM(K160,K172,K173)</f>
        <v>2921714</v>
      </c>
      <c r="L174" s="1697">
        <f>SUM(L160,L172,L173)</f>
        <v>2925214</v>
      </c>
    </row>
    <row r="175" spans="1:14" ht="13.5" thickTop="1" x14ac:dyDescent="0.2">
      <c r="A175" s="2202" t="s">
        <v>1053</v>
      </c>
      <c r="B175" s="2203"/>
      <c r="C175" s="617"/>
      <c r="D175" s="617"/>
      <c r="E175" s="617"/>
      <c r="F175" s="617"/>
      <c r="G175" s="617"/>
      <c r="H175" s="619"/>
      <c r="I175" s="617"/>
      <c r="J175" s="617"/>
      <c r="K175" s="1704">
        <f>'Revenues 9-14'!E275-'Expenditures 15-22'!K174</f>
        <v>167733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995</v>
      </c>
      <c r="B178" s="1641"/>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4" t="s">
        <v>1010</v>
      </c>
      <c r="B182" s="615">
        <v>2550</v>
      </c>
      <c r="C182" s="466">
        <v>10455</v>
      </c>
      <c r="D182" s="466"/>
      <c r="E182" s="466">
        <v>1595579</v>
      </c>
      <c r="F182" s="466">
        <v>7710</v>
      </c>
      <c r="G182" s="466"/>
      <c r="H182" s="466"/>
      <c r="I182" s="467"/>
      <c r="J182" s="467"/>
      <c r="K182" s="1691">
        <f>SUM(C182:J182)</f>
        <v>1613744</v>
      </c>
      <c r="L182" s="466">
        <v>1570500</v>
      </c>
    </row>
    <row r="183" spans="1:14" ht="12.75" customHeight="1" thickBot="1" x14ac:dyDescent="0.25">
      <c r="A183" s="1529"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10455</v>
      </c>
      <c r="D184" s="1697">
        <f t="shared" ref="D184:J184" si="17">SUM(D180,D182,D183)</f>
        <v>0</v>
      </c>
      <c r="E184" s="1697">
        <f t="shared" si="17"/>
        <v>1595579</v>
      </c>
      <c r="F184" s="1697">
        <f t="shared" si="17"/>
        <v>7710</v>
      </c>
      <c r="G184" s="1697">
        <f t="shared" si="17"/>
        <v>0</v>
      </c>
      <c r="H184" s="1697">
        <f t="shared" si="17"/>
        <v>0</v>
      </c>
      <c r="I184" s="1697">
        <f t="shared" si="17"/>
        <v>0</v>
      </c>
      <c r="J184" s="1697">
        <f t="shared" si="17"/>
        <v>0</v>
      </c>
      <c r="K184" s="1697">
        <f>SUM(K180,K182,K183)</f>
        <v>1613744</v>
      </c>
      <c r="L184" s="1697">
        <f>SUM(L180, L182:L183)</f>
        <v>1570500</v>
      </c>
    </row>
    <row r="185" spans="1:14" ht="15.75" customHeight="1" thickTop="1" thickBot="1" x14ac:dyDescent="0.25">
      <c r="A185" s="1642" t="s">
        <v>996</v>
      </c>
      <c r="B185" s="1631">
        <v>3000</v>
      </c>
      <c r="C185" s="576"/>
      <c r="D185" s="576"/>
      <c r="E185" s="576"/>
      <c r="F185" s="576"/>
      <c r="G185" s="576"/>
      <c r="H185" s="576"/>
      <c r="I185" s="531"/>
      <c r="J185" s="531"/>
      <c r="K185" s="1690">
        <f>SUM(C185:J185)</f>
        <v>0</v>
      </c>
      <c r="L185" s="576"/>
    </row>
    <row r="186" spans="1:14" s="675" customFormat="1" ht="15.75" customHeight="1" thickTop="1" x14ac:dyDescent="0.2">
      <c r="A186" s="1626" t="s">
        <v>93</v>
      </c>
      <c r="B186" s="1629"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4" t="s">
        <v>517</v>
      </c>
      <c r="B188" s="615">
        <v>4110</v>
      </c>
      <c r="C188" s="617"/>
      <c r="D188" s="617"/>
      <c r="E188" s="466"/>
      <c r="F188" s="617"/>
      <c r="G188" s="617"/>
      <c r="H188" s="466"/>
      <c r="I188" s="477"/>
      <c r="J188" s="617"/>
      <c r="K188" s="1691">
        <f t="shared" ref="K188:K193" si="18">SUM(E188,H188)</f>
        <v>0</v>
      </c>
      <c r="L188" s="466"/>
    </row>
    <row r="189" spans="1:14" x14ac:dyDescent="0.2">
      <c r="A189" s="1524" t="s">
        <v>322</v>
      </c>
      <c r="B189" s="615">
        <v>4120</v>
      </c>
      <c r="C189" s="617"/>
      <c r="D189" s="617"/>
      <c r="E189" s="466"/>
      <c r="F189" s="617"/>
      <c r="G189" s="617"/>
      <c r="H189" s="466"/>
      <c r="I189" s="477"/>
      <c r="J189" s="617"/>
      <c r="K189" s="1691">
        <f t="shared" si="18"/>
        <v>0</v>
      </c>
      <c r="L189" s="466"/>
    </row>
    <row r="190" spans="1:14" x14ac:dyDescent="0.2">
      <c r="A190" s="1524" t="s">
        <v>323</v>
      </c>
      <c r="B190" s="629">
        <v>4130</v>
      </c>
      <c r="C190" s="617"/>
      <c r="D190" s="617"/>
      <c r="E190" s="466"/>
      <c r="F190" s="617"/>
      <c r="G190" s="617"/>
      <c r="H190" s="466"/>
      <c r="I190" s="477"/>
      <c r="J190" s="617"/>
      <c r="K190" s="1691">
        <f t="shared" si="18"/>
        <v>0</v>
      </c>
      <c r="L190" s="466"/>
    </row>
    <row r="191" spans="1:14" x14ac:dyDescent="0.2">
      <c r="A191" s="1524" t="s">
        <v>721</v>
      </c>
      <c r="B191" s="615">
        <v>4140</v>
      </c>
      <c r="C191" s="617"/>
      <c r="D191" s="617"/>
      <c r="E191" s="466"/>
      <c r="F191" s="617"/>
      <c r="G191" s="617"/>
      <c r="H191" s="466"/>
      <c r="I191" s="477"/>
      <c r="J191" s="617"/>
      <c r="K191" s="1691">
        <f t="shared" si="18"/>
        <v>0</v>
      </c>
      <c r="L191" s="466"/>
    </row>
    <row r="192" spans="1:14" x14ac:dyDescent="0.2">
      <c r="A192" s="1524" t="s">
        <v>88</v>
      </c>
      <c r="B192" s="615">
        <v>4170</v>
      </c>
      <c r="C192" s="617"/>
      <c r="D192" s="617"/>
      <c r="E192" s="466"/>
      <c r="F192" s="617"/>
      <c r="G192" s="617"/>
      <c r="H192" s="466"/>
      <c r="I192" s="477"/>
      <c r="J192" s="617"/>
      <c r="K192" s="1691">
        <f t="shared" si="18"/>
        <v>0</v>
      </c>
      <c r="L192" s="466"/>
    </row>
    <row r="193" spans="1:14" x14ac:dyDescent="0.2">
      <c r="A193" s="1528"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2" t="s">
        <v>997</v>
      </c>
      <c r="B197" s="1629"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91">
        <f>SUM(H199)</f>
        <v>0</v>
      </c>
      <c r="L199" s="466"/>
    </row>
    <row r="200" spans="1:14" x14ac:dyDescent="0.2">
      <c r="A200" s="1524" t="s">
        <v>90</v>
      </c>
      <c r="B200" s="615">
        <v>5120</v>
      </c>
      <c r="C200" s="617"/>
      <c r="D200" s="617"/>
      <c r="E200" s="617"/>
      <c r="F200" s="617"/>
      <c r="G200" s="617"/>
      <c r="H200" s="466"/>
      <c r="I200" s="617"/>
      <c r="J200" s="617"/>
      <c r="K200" s="1691">
        <f>SUM(H200)</f>
        <v>0</v>
      </c>
      <c r="L200" s="466"/>
    </row>
    <row r="201" spans="1:14" ht="12.75" customHeight="1" x14ac:dyDescent="0.2">
      <c r="A201" s="1524" t="s">
        <v>1232</v>
      </c>
      <c r="B201" s="629" t="s">
        <v>638</v>
      </c>
      <c r="C201" s="617"/>
      <c r="D201" s="617"/>
      <c r="E201" s="617"/>
      <c r="F201" s="617"/>
      <c r="G201" s="617"/>
      <c r="H201" s="466"/>
      <c r="I201" s="617"/>
      <c r="J201" s="617"/>
      <c r="K201" s="1691">
        <f>SUM(H201)</f>
        <v>0</v>
      </c>
      <c r="L201" s="466"/>
    </row>
    <row r="202" spans="1:14" x14ac:dyDescent="0.2">
      <c r="A202" s="1524" t="s">
        <v>91</v>
      </c>
      <c r="B202" s="615" t="s">
        <v>610</v>
      </c>
      <c r="C202" s="617"/>
      <c r="D202" s="617"/>
      <c r="E202" s="617"/>
      <c r="F202" s="617"/>
      <c r="G202" s="617"/>
      <c r="H202" s="466"/>
      <c r="I202" s="617"/>
      <c r="J202" s="617"/>
      <c r="K202" s="1691">
        <f>SUM(H202)</f>
        <v>0</v>
      </c>
      <c r="L202" s="466"/>
    </row>
    <row r="203" spans="1:14" x14ac:dyDescent="0.2">
      <c r="A203" s="1536"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10455</v>
      </c>
      <c r="D210" s="1690">
        <f>SUM(D184,D185)</f>
        <v>0</v>
      </c>
      <c r="E210" s="1690">
        <f>SUM(E184,E185,E196)</f>
        <v>1595579</v>
      </c>
      <c r="F210" s="1690">
        <f>SUM(F184,F185)</f>
        <v>7710</v>
      </c>
      <c r="G210" s="1690">
        <f>SUM(G184,G185)</f>
        <v>0</v>
      </c>
      <c r="H210" s="1690">
        <f>SUM(H184,H185,H196,H208,H209)</f>
        <v>0</v>
      </c>
      <c r="I210" s="1690">
        <f>SUM(I184,I185)</f>
        <v>0</v>
      </c>
      <c r="J210" s="1690">
        <f>SUM(J184,J185)</f>
        <v>0</v>
      </c>
      <c r="K210" s="1691">
        <f>SUM(K184,K185,K196,K208,K209)</f>
        <v>1613744</v>
      </c>
      <c r="L210" s="1690">
        <f>SUM(L184,L185,L196,L208,L209)</f>
        <v>1570500</v>
      </c>
    </row>
    <row r="211" spans="1:14" ht="13.5" thickTop="1" x14ac:dyDescent="0.2">
      <c r="A211" s="2202" t="s">
        <v>1053</v>
      </c>
      <c r="B211" s="2203"/>
      <c r="C211" s="619"/>
      <c r="D211" s="619"/>
      <c r="E211" s="619"/>
      <c r="F211" s="619"/>
      <c r="G211" s="619"/>
      <c r="H211" s="619"/>
      <c r="I211" s="617"/>
      <c r="J211" s="617"/>
      <c r="K211" s="1704">
        <f>'Revenues 9-14'!F275-'Expenditures 15-22'!K210</f>
        <v>1895983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4" t="s">
        <v>1022</v>
      </c>
      <c r="B213" s="2225"/>
      <c r="C213" s="1571"/>
      <c r="D213" s="1572"/>
      <c r="E213" s="1572"/>
      <c r="F213" s="1572"/>
      <c r="G213" s="1572"/>
      <c r="H213" s="1572"/>
      <c r="I213" s="1572"/>
      <c r="J213" s="1572"/>
      <c r="K213" s="1572"/>
      <c r="L213" s="1573"/>
      <c r="M213" s="610"/>
      <c r="N213" s="610"/>
    </row>
    <row r="214" spans="1:14" s="675" customFormat="1" ht="15.75" customHeight="1" x14ac:dyDescent="0.2">
      <c r="A214" s="1643" t="s">
        <v>928</v>
      </c>
      <c r="B214" s="1635" t="s">
        <v>591</v>
      </c>
      <c r="C214" s="617"/>
      <c r="D214" s="624"/>
      <c r="E214" s="617"/>
      <c r="F214" s="617"/>
      <c r="G214" s="617"/>
      <c r="H214" s="617"/>
      <c r="I214" s="617"/>
      <c r="J214" s="617"/>
      <c r="K214" s="624"/>
      <c r="L214" s="624"/>
      <c r="M214" s="666"/>
      <c r="N214" s="666"/>
    </row>
    <row r="215" spans="1:14" x14ac:dyDescent="0.2">
      <c r="A215" s="1524" t="s">
        <v>1018</v>
      </c>
      <c r="B215" s="615">
        <v>1100</v>
      </c>
      <c r="C215" s="617"/>
      <c r="D215" s="466">
        <f>53829+164974</f>
        <v>218803</v>
      </c>
      <c r="E215" s="617"/>
      <c r="F215" s="617"/>
      <c r="G215" s="617"/>
      <c r="H215" s="617"/>
      <c r="I215" s="617"/>
      <c r="J215" s="617"/>
      <c r="K215" s="1691">
        <f>D215</f>
        <v>218803</v>
      </c>
      <c r="L215" s="466">
        <v>220400</v>
      </c>
    </row>
    <row r="216" spans="1:14" x14ac:dyDescent="0.2">
      <c r="A216" s="1524" t="s">
        <v>165</v>
      </c>
      <c r="B216" s="615" t="s">
        <v>1024</v>
      </c>
      <c r="C216" s="617"/>
      <c r="D216" s="467"/>
      <c r="E216" s="617"/>
      <c r="F216" s="617"/>
      <c r="G216" s="617"/>
      <c r="H216" s="617"/>
      <c r="I216" s="617"/>
      <c r="J216" s="617"/>
      <c r="K216" s="1691">
        <f t="shared" ref="K216:K228" si="19">D216</f>
        <v>0</v>
      </c>
      <c r="L216" s="466"/>
    </row>
    <row r="217" spans="1:14" x14ac:dyDescent="0.2">
      <c r="A217" s="1524" t="s">
        <v>166</v>
      </c>
      <c r="B217" s="615">
        <v>1200</v>
      </c>
      <c r="C217" s="617"/>
      <c r="D217" s="466">
        <f>134320+124545</f>
        <v>258865</v>
      </c>
      <c r="E217" s="617"/>
      <c r="F217" s="617"/>
      <c r="G217" s="617"/>
      <c r="H217" s="617"/>
      <c r="I217" s="617"/>
      <c r="J217" s="617"/>
      <c r="K217" s="1691">
        <f t="shared" si="19"/>
        <v>258865</v>
      </c>
      <c r="L217" s="466">
        <v>228900</v>
      </c>
    </row>
    <row r="218" spans="1:14" x14ac:dyDescent="0.2">
      <c r="A218" s="1524" t="s">
        <v>296</v>
      </c>
      <c r="B218" s="615" t="s">
        <v>1025</v>
      </c>
      <c r="C218" s="617"/>
      <c r="D218" s="467">
        <f>16517+17569</f>
        <v>34086</v>
      </c>
      <c r="E218" s="617"/>
      <c r="F218" s="617"/>
      <c r="G218" s="617"/>
      <c r="H218" s="617"/>
      <c r="I218" s="617"/>
      <c r="J218" s="617"/>
      <c r="K218" s="1691">
        <f t="shared" si="19"/>
        <v>34086</v>
      </c>
      <c r="L218" s="466">
        <v>34100</v>
      </c>
    </row>
    <row r="219" spans="1:14" x14ac:dyDescent="0.2">
      <c r="A219" s="1524" t="s">
        <v>297</v>
      </c>
      <c r="B219" s="615">
        <v>1250</v>
      </c>
      <c r="C219" s="617"/>
      <c r="D219" s="466">
        <v>3292</v>
      </c>
      <c r="E219" s="617"/>
      <c r="F219" s="617"/>
      <c r="G219" s="617"/>
      <c r="H219" s="617"/>
      <c r="I219" s="617"/>
      <c r="J219" s="617"/>
      <c r="K219" s="1691">
        <f t="shared" si="19"/>
        <v>3292</v>
      </c>
      <c r="L219" s="466">
        <v>4300</v>
      </c>
    </row>
    <row r="220" spans="1:14" x14ac:dyDescent="0.2">
      <c r="A220" s="1524" t="s">
        <v>298</v>
      </c>
      <c r="B220" s="615" t="s">
        <v>163</v>
      </c>
      <c r="C220" s="617"/>
      <c r="D220" s="467"/>
      <c r="E220" s="617"/>
      <c r="F220" s="617"/>
      <c r="G220" s="617"/>
      <c r="H220" s="617"/>
      <c r="I220" s="617"/>
      <c r="J220" s="617"/>
      <c r="K220" s="1691">
        <f t="shared" si="19"/>
        <v>0</v>
      </c>
      <c r="L220" s="466"/>
    </row>
    <row r="221" spans="1:14" x14ac:dyDescent="0.2">
      <c r="A221" s="1524" t="s">
        <v>1019</v>
      </c>
      <c r="B221" s="615">
        <v>1300</v>
      </c>
      <c r="C221" s="617"/>
      <c r="D221" s="466"/>
      <c r="E221" s="617"/>
      <c r="F221" s="617"/>
      <c r="G221" s="617"/>
      <c r="H221" s="617"/>
      <c r="I221" s="617"/>
      <c r="J221" s="617"/>
      <c r="K221" s="1691">
        <f t="shared" si="19"/>
        <v>0</v>
      </c>
      <c r="L221" s="466"/>
    </row>
    <row r="222" spans="1:14" x14ac:dyDescent="0.2">
      <c r="A222" s="1524" t="s">
        <v>747</v>
      </c>
      <c r="B222" s="615">
        <v>1400</v>
      </c>
      <c r="C222" s="617"/>
      <c r="D222" s="466"/>
      <c r="E222" s="617"/>
      <c r="F222" s="617"/>
      <c r="G222" s="617"/>
      <c r="H222" s="617"/>
      <c r="I222" s="617"/>
      <c r="J222" s="617"/>
      <c r="K222" s="1691">
        <f t="shared" si="19"/>
        <v>0</v>
      </c>
      <c r="L222" s="466"/>
    </row>
    <row r="223" spans="1:14" x14ac:dyDescent="0.2">
      <c r="A223" s="1524" t="s">
        <v>1020</v>
      </c>
      <c r="B223" s="615">
        <v>1500</v>
      </c>
      <c r="C223" s="617"/>
      <c r="D223" s="466">
        <f>851+4221</f>
        <v>5072</v>
      </c>
      <c r="E223" s="617"/>
      <c r="F223" s="617"/>
      <c r="G223" s="617"/>
      <c r="H223" s="617"/>
      <c r="I223" s="617"/>
      <c r="J223" s="617"/>
      <c r="K223" s="1691">
        <f t="shared" si="19"/>
        <v>5072</v>
      </c>
      <c r="L223" s="466">
        <v>4700</v>
      </c>
    </row>
    <row r="224" spans="1:14" x14ac:dyDescent="0.2">
      <c r="A224" s="1524" t="s">
        <v>1021</v>
      </c>
      <c r="B224" s="615">
        <v>1600</v>
      </c>
      <c r="C224" s="617"/>
      <c r="D224" s="466">
        <f>4381+5133</f>
        <v>9514</v>
      </c>
      <c r="E224" s="617"/>
      <c r="F224" s="617"/>
      <c r="G224" s="617"/>
      <c r="H224" s="617"/>
      <c r="I224" s="617"/>
      <c r="J224" s="617"/>
      <c r="K224" s="1691">
        <f t="shared" si="19"/>
        <v>9514</v>
      </c>
      <c r="L224" s="466">
        <v>9700</v>
      </c>
    </row>
    <row r="225" spans="1:12" x14ac:dyDescent="0.2">
      <c r="A225" s="1524" t="s">
        <v>1044</v>
      </c>
      <c r="B225" s="615">
        <v>1650</v>
      </c>
      <c r="C225" s="617"/>
      <c r="D225" s="466">
        <v>3741</v>
      </c>
      <c r="E225" s="617"/>
      <c r="F225" s="617"/>
      <c r="G225" s="617"/>
      <c r="H225" s="617"/>
      <c r="I225" s="617"/>
      <c r="J225" s="617"/>
      <c r="K225" s="1691">
        <f t="shared" si="19"/>
        <v>3741</v>
      </c>
      <c r="L225" s="466">
        <v>3800</v>
      </c>
    </row>
    <row r="226" spans="1:12" x14ac:dyDescent="0.2">
      <c r="A226" s="1524" t="s">
        <v>748</v>
      </c>
      <c r="B226" s="615" t="s">
        <v>164</v>
      </c>
      <c r="C226" s="617"/>
      <c r="D226" s="467"/>
      <c r="E226" s="617"/>
      <c r="F226" s="617"/>
      <c r="G226" s="617"/>
      <c r="H226" s="617"/>
      <c r="I226" s="617"/>
      <c r="J226" s="617"/>
      <c r="K226" s="1691">
        <f t="shared" si="19"/>
        <v>0</v>
      </c>
      <c r="L226" s="466"/>
    </row>
    <row r="227" spans="1:12" x14ac:dyDescent="0.2">
      <c r="A227" s="1524" t="s">
        <v>1148</v>
      </c>
      <c r="B227" s="615">
        <v>1800</v>
      </c>
      <c r="C227" s="617"/>
      <c r="D227" s="466">
        <f>4808+15034</f>
        <v>19842</v>
      </c>
      <c r="E227" s="617"/>
      <c r="F227" s="617"/>
      <c r="G227" s="617"/>
      <c r="H227" s="617"/>
      <c r="I227" s="617"/>
      <c r="J227" s="617"/>
      <c r="K227" s="1691">
        <f t="shared" si="19"/>
        <v>19842</v>
      </c>
      <c r="L227" s="466">
        <v>19800</v>
      </c>
    </row>
    <row r="228" spans="1:12" x14ac:dyDescent="0.2">
      <c r="A228" s="1524" t="s">
        <v>1149</v>
      </c>
      <c r="B228" s="615">
        <v>1900</v>
      </c>
      <c r="C228" s="617"/>
      <c r="D228" s="466">
        <v>51</v>
      </c>
      <c r="E228" s="617"/>
      <c r="F228" s="617"/>
      <c r="G228" s="617"/>
      <c r="H228" s="617"/>
      <c r="I228" s="617"/>
      <c r="J228" s="617"/>
      <c r="K228" s="1691">
        <f t="shared" si="19"/>
        <v>51</v>
      </c>
      <c r="L228" s="466">
        <v>100</v>
      </c>
    </row>
    <row r="229" spans="1:12" ht="12.75" customHeight="1" thickBot="1" x14ac:dyDescent="0.25">
      <c r="A229" s="1688" t="s">
        <v>739</v>
      </c>
      <c r="B229" s="1695" t="s">
        <v>591</v>
      </c>
      <c r="C229" s="617"/>
      <c r="D229" s="1690">
        <f>SUM(D215:D228)</f>
        <v>553266</v>
      </c>
      <c r="E229" s="617"/>
      <c r="F229" s="617"/>
      <c r="G229" s="617"/>
      <c r="H229" s="617"/>
      <c r="I229" s="617"/>
      <c r="J229" s="617"/>
      <c r="K229" s="1690">
        <f>SUM(K215:K228)</f>
        <v>553266</v>
      </c>
      <c r="L229" s="1690">
        <f>SUM(L215:L228)</f>
        <v>525800</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4" t="s">
        <v>1150</v>
      </c>
      <c r="B232" s="615">
        <v>2110</v>
      </c>
      <c r="C232" s="617"/>
      <c r="D232" s="466">
        <v>7889</v>
      </c>
      <c r="E232" s="617"/>
      <c r="F232" s="617"/>
      <c r="G232" s="617"/>
      <c r="H232" s="617"/>
      <c r="I232" s="617"/>
      <c r="J232" s="617"/>
      <c r="K232" s="1691">
        <f t="shared" ref="K232:K237" si="20">D232</f>
        <v>7889</v>
      </c>
      <c r="L232" s="466">
        <v>8400</v>
      </c>
    </row>
    <row r="233" spans="1:12" x14ac:dyDescent="0.2">
      <c r="A233" s="1524" t="s">
        <v>1151</v>
      </c>
      <c r="B233" s="615">
        <v>2120</v>
      </c>
      <c r="C233" s="617"/>
      <c r="D233" s="466"/>
      <c r="E233" s="617"/>
      <c r="F233" s="617"/>
      <c r="G233" s="617"/>
      <c r="H233" s="617"/>
      <c r="I233" s="617"/>
      <c r="J233" s="617"/>
      <c r="K233" s="1691">
        <f t="shared" si="20"/>
        <v>0</v>
      </c>
      <c r="L233" s="466"/>
    </row>
    <row r="234" spans="1:12" x14ac:dyDescent="0.2">
      <c r="A234" s="1524" t="s">
        <v>207</v>
      </c>
      <c r="B234" s="615">
        <v>2130</v>
      </c>
      <c r="C234" s="617"/>
      <c r="D234" s="466">
        <f>40765+30001</f>
        <v>70766</v>
      </c>
      <c r="E234" s="617"/>
      <c r="F234" s="617"/>
      <c r="G234" s="617"/>
      <c r="H234" s="617"/>
      <c r="I234" s="617"/>
      <c r="J234" s="617"/>
      <c r="K234" s="1691">
        <f t="shared" si="20"/>
        <v>70766</v>
      </c>
      <c r="L234" s="466">
        <v>66800</v>
      </c>
    </row>
    <row r="235" spans="1:12" x14ac:dyDescent="0.2">
      <c r="A235" s="1524" t="s">
        <v>208</v>
      </c>
      <c r="B235" s="615">
        <v>2140</v>
      </c>
      <c r="C235" s="617"/>
      <c r="D235" s="466">
        <v>2876</v>
      </c>
      <c r="E235" s="617"/>
      <c r="F235" s="617"/>
      <c r="G235" s="617"/>
      <c r="H235" s="617"/>
      <c r="I235" s="617"/>
      <c r="J235" s="617"/>
      <c r="K235" s="1691">
        <f t="shared" si="20"/>
        <v>2876</v>
      </c>
      <c r="L235" s="466">
        <v>2900</v>
      </c>
    </row>
    <row r="236" spans="1:12" x14ac:dyDescent="0.2">
      <c r="A236" s="1524" t="s">
        <v>209</v>
      </c>
      <c r="B236" s="615">
        <v>2150</v>
      </c>
      <c r="C236" s="617"/>
      <c r="D236" s="466">
        <v>11657</v>
      </c>
      <c r="E236" s="617"/>
      <c r="F236" s="617"/>
      <c r="G236" s="617"/>
      <c r="H236" s="617"/>
      <c r="I236" s="617"/>
      <c r="J236" s="617"/>
      <c r="K236" s="1691">
        <f t="shared" si="20"/>
        <v>11657</v>
      </c>
      <c r="L236" s="466">
        <v>11900</v>
      </c>
    </row>
    <row r="237" spans="1:12" x14ac:dyDescent="0.2">
      <c r="A237" s="1524"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93188</v>
      </c>
      <c r="E238" s="617"/>
      <c r="F238" s="617"/>
      <c r="G238" s="617"/>
      <c r="H238" s="617"/>
      <c r="I238" s="617"/>
      <c r="J238" s="617"/>
      <c r="K238" s="1690">
        <f>SUM(K232:K237)</f>
        <v>93188</v>
      </c>
      <c r="L238" s="1690">
        <f>SUM(L232:L237)</f>
        <v>90000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f>6451+7878</f>
        <v>14329</v>
      </c>
      <c r="E240" s="617"/>
      <c r="F240" s="617"/>
      <c r="G240" s="617"/>
      <c r="H240" s="617"/>
      <c r="I240" s="617"/>
      <c r="J240" s="617"/>
      <c r="K240" s="1692">
        <f>D240</f>
        <v>14329</v>
      </c>
      <c r="L240" s="481">
        <v>15000</v>
      </c>
    </row>
    <row r="241" spans="1:12" x14ac:dyDescent="0.2">
      <c r="A241" s="1524" t="s">
        <v>869</v>
      </c>
      <c r="B241" s="615">
        <v>2220</v>
      </c>
      <c r="C241" s="617"/>
      <c r="D241" s="466">
        <f>17833+11788</f>
        <v>29621</v>
      </c>
      <c r="E241" s="617"/>
      <c r="F241" s="617"/>
      <c r="G241" s="617"/>
      <c r="H241" s="617"/>
      <c r="I241" s="617"/>
      <c r="J241" s="617"/>
      <c r="K241" s="1692">
        <f>D241</f>
        <v>29621</v>
      </c>
      <c r="L241" s="466">
        <v>22500</v>
      </c>
    </row>
    <row r="242" spans="1:12" x14ac:dyDescent="0.2">
      <c r="A242" s="1524" t="s">
        <v>870</v>
      </c>
      <c r="B242" s="615">
        <v>2230</v>
      </c>
      <c r="C242" s="617"/>
      <c r="D242" s="466"/>
      <c r="E242" s="617"/>
      <c r="F242" s="617"/>
      <c r="G242" s="617"/>
      <c r="H242" s="617"/>
      <c r="I242" s="617"/>
      <c r="J242" s="617"/>
      <c r="K242" s="1692">
        <f>D242</f>
        <v>0</v>
      </c>
      <c r="L242" s="466">
        <v>2900</v>
      </c>
    </row>
    <row r="243" spans="1:12" ht="12.75" customHeight="1" thickBot="1" x14ac:dyDescent="0.25">
      <c r="A243" s="1714" t="s">
        <v>582</v>
      </c>
      <c r="B243" s="1715">
        <v>2200</v>
      </c>
      <c r="C243" s="617"/>
      <c r="D243" s="1690">
        <f>SUM(D240:D242)</f>
        <v>43950</v>
      </c>
      <c r="E243" s="617"/>
      <c r="F243" s="617"/>
      <c r="G243" s="617"/>
      <c r="H243" s="617"/>
      <c r="I243" s="617"/>
      <c r="J243" s="617"/>
      <c r="K243" s="1690">
        <f>SUM(K240:K242)</f>
        <v>43950</v>
      </c>
      <c r="L243" s="1690">
        <f>SUM(L240:L242)</f>
        <v>40400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4" t="s">
        <v>871</v>
      </c>
      <c r="B245" s="615">
        <v>2310</v>
      </c>
      <c r="C245" s="617"/>
      <c r="D245" s="481">
        <v>136</v>
      </c>
      <c r="E245" s="617"/>
      <c r="F245" s="617"/>
      <c r="G245" s="617"/>
      <c r="H245" s="617"/>
      <c r="I245" s="617"/>
      <c r="J245" s="617"/>
      <c r="K245" s="1692">
        <f>D245</f>
        <v>136</v>
      </c>
      <c r="L245" s="481">
        <v>200</v>
      </c>
    </row>
    <row r="246" spans="1:12" x14ac:dyDescent="0.2">
      <c r="A246" s="1524" t="s">
        <v>872</v>
      </c>
      <c r="B246" s="615">
        <v>2320</v>
      </c>
      <c r="C246" s="617"/>
      <c r="D246" s="466">
        <v>28743</v>
      </c>
      <c r="E246" s="617"/>
      <c r="F246" s="617"/>
      <c r="G246" s="617"/>
      <c r="H246" s="617"/>
      <c r="I246" s="617"/>
      <c r="J246" s="617"/>
      <c r="K246" s="1692">
        <f t="shared" ref="K246:K256" si="21">D246</f>
        <v>28743</v>
      </c>
      <c r="L246" s="466">
        <v>28400</v>
      </c>
    </row>
    <row r="247" spans="1:12" x14ac:dyDescent="0.2">
      <c r="A247" s="1524" t="s">
        <v>873</v>
      </c>
      <c r="B247" s="615">
        <v>2330</v>
      </c>
      <c r="C247" s="617"/>
      <c r="D247" s="466">
        <f>5270+6387</f>
        <v>11657</v>
      </c>
      <c r="E247" s="617"/>
      <c r="F247" s="617"/>
      <c r="G247" s="617"/>
      <c r="H247" s="617"/>
      <c r="I247" s="617"/>
      <c r="J247" s="617"/>
      <c r="K247" s="1692">
        <f t="shared" si="21"/>
        <v>11657</v>
      </c>
      <c r="L247" s="466">
        <v>10700</v>
      </c>
    </row>
    <row r="248" spans="1:12" x14ac:dyDescent="0.2">
      <c r="A248" s="1525" t="s">
        <v>317</v>
      </c>
      <c r="B248" s="603" t="s">
        <v>299</v>
      </c>
      <c r="C248" s="617"/>
      <c r="D248" s="474"/>
      <c r="E248" s="617"/>
      <c r="F248" s="617"/>
      <c r="G248" s="617"/>
      <c r="H248" s="617"/>
      <c r="I248" s="617"/>
      <c r="J248" s="617"/>
      <c r="K248" s="1692">
        <f t="shared" si="21"/>
        <v>0</v>
      </c>
      <c r="L248" s="466"/>
    </row>
    <row r="249" spans="1:12" x14ac:dyDescent="0.2">
      <c r="A249" s="1526" t="s">
        <v>1904</v>
      </c>
      <c r="B249" s="684" t="s">
        <v>300</v>
      </c>
      <c r="C249" s="617"/>
      <c r="D249" s="474"/>
      <c r="E249" s="617"/>
      <c r="F249" s="617"/>
      <c r="G249" s="617"/>
      <c r="H249" s="617"/>
      <c r="I249" s="617"/>
      <c r="J249" s="617"/>
      <c r="K249" s="1692">
        <f t="shared" si="21"/>
        <v>0</v>
      </c>
      <c r="L249" s="466"/>
    </row>
    <row r="250" spans="1:12" x14ac:dyDescent="0.2">
      <c r="A250" s="1525" t="s">
        <v>1905</v>
      </c>
      <c r="B250" s="603" t="s">
        <v>301</v>
      </c>
      <c r="C250" s="617"/>
      <c r="D250" s="474"/>
      <c r="E250" s="617"/>
      <c r="F250" s="617"/>
      <c r="G250" s="617"/>
      <c r="H250" s="617"/>
      <c r="I250" s="617"/>
      <c r="J250" s="617"/>
      <c r="K250" s="1692">
        <f t="shared" si="21"/>
        <v>0</v>
      </c>
      <c r="L250" s="466"/>
    </row>
    <row r="251" spans="1:12" x14ac:dyDescent="0.2">
      <c r="A251" s="1525" t="s">
        <v>256</v>
      </c>
      <c r="B251" s="603" t="s">
        <v>302</v>
      </c>
      <c r="C251" s="617"/>
      <c r="D251" s="474"/>
      <c r="E251" s="617"/>
      <c r="F251" s="617"/>
      <c r="G251" s="617"/>
      <c r="H251" s="617"/>
      <c r="I251" s="617"/>
      <c r="J251" s="617"/>
      <c r="K251" s="1692">
        <f t="shared" si="21"/>
        <v>0</v>
      </c>
      <c r="L251" s="466"/>
    </row>
    <row r="252" spans="1:12" x14ac:dyDescent="0.2">
      <c r="A252" s="1525" t="s">
        <v>726</v>
      </c>
      <c r="B252" s="603" t="s">
        <v>303</v>
      </c>
      <c r="C252" s="617"/>
      <c r="D252" s="474"/>
      <c r="E252" s="617"/>
      <c r="F252" s="617"/>
      <c r="G252" s="617"/>
      <c r="H252" s="617"/>
      <c r="I252" s="617"/>
      <c r="J252" s="617"/>
      <c r="K252" s="1692">
        <f t="shared" si="21"/>
        <v>0</v>
      </c>
      <c r="L252" s="466"/>
    </row>
    <row r="253" spans="1:12" x14ac:dyDescent="0.2">
      <c r="A253" s="1525" t="s">
        <v>257</v>
      </c>
      <c r="B253" s="603" t="s">
        <v>304</v>
      </c>
      <c r="C253" s="617"/>
      <c r="D253" s="474"/>
      <c r="E253" s="617"/>
      <c r="F253" s="617"/>
      <c r="G253" s="617"/>
      <c r="H253" s="617"/>
      <c r="I253" s="617"/>
      <c r="J253" s="617"/>
      <c r="K253" s="1692">
        <f t="shared" si="21"/>
        <v>0</v>
      </c>
      <c r="L253" s="466"/>
    </row>
    <row r="254" spans="1:12" ht="22.5" x14ac:dyDescent="0.2">
      <c r="A254" s="1525" t="s">
        <v>1087</v>
      </c>
      <c r="B254" s="684" t="s">
        <v>305</v>
      </c>
      <c r="C254" s="617"/>
      <c r="D254" s="474"/>
      <c r="E254" s="617"/>
      <c r="F254" s="617"/>
      <c r="G254" s="617"/>
      <c r="H254" s="617"/>
      <c r="I254" s="617"/>
      <c r="J254" s="617"/>
      <c r="K254" s="1692">
        <f t="shared" si="21"/>
        <v>0</v>
      </c>
      <c r="L254" s="466"/>
    </row>
    <row r="255" spans="1:12" x14ac:dyDescent="0.2">
      <c r="A255" s="1525" t="s">
        <v>1088</v>
      </c>
      <c r="B255" s="603" t="s">
        <v>306</v>
      </c>
      <c r="C255" s="617"/>
      <c r="D255" s="474"/>
      <c r="E255" s="617"/>
      <c r="F255" s="617"/>
      <c r="G255" s="617"/>
      <c r="H255" s="617"/>
      <c r="I255" s="617"/>
      <c r="J255" s="617"/>
      <c r="K255" s="1692">
        <f t="shared" si="21"/>
        <v>0</v>
      </c>
      <c r="L255" s="466"/>
    </row>
    <row r="256" spans="1:12" x14ac:dyDescent="0.2">
      <c r="A256" s="1525"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40536</v>
      </c>
      <c r="E257" s="617"/>
      <c r="F257" s="617"/>
      <c r="G257" s="617"/>
      <c r="H257" s="617"/>
      <c r="I257" s="617"/>
      <c r="J257" s="617"/>
      <c r="K257" s="1690">
        <f>SUM(K245:K256)</f>
        <v>40536</v>
      </c>
      <c r="L257" s="1690">
        <f>SUM(L245:L256)</f>
        <v>39300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4" t="s">
        <v>1127</v>
      </c>
      <c r="B259" s="686">
        <v>2410</v>
      </c>
      <c r="C259" s="617"/>
      <c r="D259" s="481">
        <f>29542+32116</f>
        <v>61658</v>
      </c>
      <c r="E259" s="617"/>
      <c r="F259" s="617"/>
      <c r="G259" s="617"/>
      <c r="H259" s="617"/>
      <c r="I259" s="617"/>
      <c r="J259" s="617"/>
      <c r="K259" s="1692">
        <f>D259</f>
        <v>61658</v>
      </c>
      <c r="L259" s="481">
        <v>62900</v>
      </c>
    </row>
    <row r="260" spans="1:14" s="598" customFormat="1" x14ac:dyDescent="0.2">
      <c r="A260" s="1542" t="s">
        <v>1903</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61658</v>
      </c>
      <c r="E261" s="617"/>
      <c r="F261" s="617"/>
      <c r="G261" s="617"/>
      <c r="H261" s="617"/>
      <c r="I261" s="617"/>
      <c r="J261" s="617"/>
      <c r="K261" s="1690">
        <f>SUM(K259:K260)</f>
        <v>61658</v>
      </c>
      <c r="L261" s="1690">
        <f>SUM(L259:L260)</f>
        <v>62900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4" t="s">
        <v>1128</v>
      </c>
      <c r="B263" s="686">
        <v>2510</v>
      </c>
      <c r="C263" s="617"/>
      <c r="D263" s="466">
        <v>1964</v>
      </c>
      <c r="E263" s="617"/>
      <c r="F263" s="617"/>
      <c r="G263" s="617"/>
      <c r="H263" s="617"/>
      <c r="I263" s="617"/>
      <c r="J263" s="617"/>
      <c r="K263" s="1692">
        <f>D263</f>
        <v>1964</v>
      </c>
      <c r="L263" s="481">
        <v>2000</v>
      </c>
    </row>
    <row r="264" spans="1:14" x14ac:dyDescent="0.2">
      <c r="A264" s="1524" t="s">
        <v>483</v>
      </c>
      <c r="B264" s="686">
        <v>2520</v>
      </c>
      <c r="C264" s="617"/>
      <c r="D264" s="466">
        <f>19716+12567</f>
        <v>32283</v>
      </c>
      <c r="E264" s="617"/>
      <c r="F264" s="617"/>
      <c r="G264" s="617"/>
      <c r="H264" s="617"/>
      <c r="I264" s="617"/>
      <c r="J264" s="617"/>
      <c r="K264" s="1692">
        <f t="shared" ref="K264:K269" si="22">D264</f>
        <v>32283</v>
      </c>
      <c r="L264" s="466">
        <v>32700</v>
      </c>
    </row>
    <row r="265" spans="1:14" x14ac:dyDescent="0.2">
      <c r="A265" s="1524" t="s">
        <v>4</v>
      </c>
      <c r="B265" s="615">
        <v>2530</v>
      </c>
      <c r="C265" s="617"/>
      <c r="D265" s="466"/>
      <c r="E265" s="617"/>
      <c r="F265" s="617"/>
      <c r="G265" s="617"/>
      <c r="H265" s="617"/>
      <c r="I265" s="617"/>
      <c r="J265" s="617"/>
      <c r="K265" s="1692">
        <f t="shared" si="22"/>
        <v>0</v>
      </c>
      <c r="L265" s="466"/>
    </row>
    <row r="266" spans="1:14" x14ac:dyDescent="0.2">
      <c r="A266" s="1524" t="s">
        <v>206</v>
      </c>
      <c r="B266" s="615">
        <v>2540</v>
      </c>
      <c r="C266" s="617"/>
      <c r="D266" s="466">
        <f>131822+96406</f>
        <v>228228</v>
      </c>
      <c r="E266" s="617"/>
      <c r="F266" s="617"/>
      <c r="G266" s="617"/>
      <c r="H266" s="617"/>
      <c r="I266" s="617"/>
      <c r="J266" s="617"/>
      <c r="K266" s="1692">
        <f t="shared" si="22"/>
        <v>228228</v>
      </c>
      <c r="L266" s="466">
        <v>244300</v>
      </c>
    </row>
    <row r="267" spans="1:14" x14ac:dyDescent="0.2">
      <c r="A267" s="1524" t="s">
        <v>1010</v>
      </c>
      <c r="B267" s="615">
        <v>2550</v>
      </c>
      <c r="C267" s="617"/>
      <c r="D267" s="466"/>
      <c r="E267" s="617"/>
      <c r="F267" s="617"/>
      <c r="G267" s="617"/>
      <c r="H267" s="617"/>
      <c r="I267" s="617"/>
      <c r="J267" s="617"/>
      <c r="K267" s="1692">
        <f t="shared" si="22"/>
        <v>0</v>
      </c>
      <c r="L267" s="466"/>
    </row>
    <row r="268" spans="1:14" x14ac:dyDescent="0.2">
      <c r="A268" s="1524" t="s">
        <v>102</v>
      </c>
      <c r="B268" s="615">
        <v>2560</v>
      </c>
      <c r="C268" s="617"/>
      <c r="D268" s="466">
        <f>15099+10709</f>
        <v>25808</v>
      </c>
      <c r="E268" s="617"/>
      <c r="F268" s="617"/>
      <c r="G268" s="617"/>
      <c r="H268" s="617"/>
      <c r="I268" s="617"/>
      <c r="J268" s="617"/>
      <c r="K268" s="1692">
        <f t="shared" si="22"/>
        <v>25808</v>
      </c>
      <c r="L268" s="466">
        <v>27300</v>
      </c>
    </row>
    <row r="269" spans="1:14" x14ac:dyDescent="0.2">
      <c r="A269" s="1524"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288283</v>
      </c>
      <c r="E270" s="617"/>
      <c r="F270" s="617"/>
      <c r="G270" s="617"/>
      <c r="H270" s="617"/>
      <c r="I270" s="617"/>
      <c r="J270" s="617"/>
      <c r="K270" s="1690">
        <f>SUM(K263:K269)</f>
        <v>288283</v>
      </c>
      <c r="L270" s="1690">
        <f>SUM(L263:L269)</f>
        <v>306300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4" t="s">
        <v>1120</v>
      </c>
      <c r="B272" s="615">
        <v>2610</v>
      </c>
      <c r="C272" s="617"/>
      <c r="D272" s="481"/>
      <c r="E272" s="617"/>
      <c r="F272" s="617"/>
      <c r="G272" s="617"/>
      <c r="H272" s="617"/>
      <c r="I272" s="617"/>
      <c r="J272" s="617"/>
      <c r="K272" s="1692">
        <f>D272</f>
        <v>0</v>
      </c>
      <c r="L272" s="481"/>
    </row>
    <row r="273" spans="1:12" x14ac:dyDescent="0.2">
      <c r="A273" s="1524" t="s">
        <v>628</v>
      </c>
      <c r="B273" s="629">
        <v>2620</v>
      </c>
      <c r="C273" s="617"/>
      <c r="D273" s="466"/>
      <c r="E273" s="617"/>
      <c r="F273" s="617"/>
      <c r="G273" s="617"/>
      <c r="H273" s="617"/>
      <c r="I273" s="617"/>
      <c r="J273" s="617"/>
      <c r="K273" s="1692">
        <f>D273</f>
        <v>0</v>
      </c>
      <c r="L273" s="466"/>
    </row>
    <row r="274" spans="1:12" ht="12" customHeight="1" x14ac:dyDescent="0.2">
      <c r="A274" s="1524" t="s">
        <v>1121</v>
      </c>
      <c r="B274" s="615">
        <v>2630</v>
      </c>
      <c r="C274" s="617"/>
      <c r="D274" s="466">
        <v>40</v>
      </c>
      <c r="E274" s="617"/>
      <c r="F274" s="617"/>
      <c r="G274" s="617"/>
      <c r="H274" s="617"/>
      <c r="I274" s="617"/>
      <c r="J274" s="617"/>
      <c r="K274" s="1692">
        <f>D274</f>
        <v>40</v>
      </c>
      <c r="L274" s="466">
        <v>300</v>
      </c>
    </row>
    <row r="275" spans="1:12" x14ac:dyDescent="0.2">
      <c r="A275" s="1524" t="s">
        <v>423</v>
      </c>
      <c r="B275" s="615">
        <v>2640</v>
      </c>
      <c r="C275" s="617"/>
      <c r="D275" s="466">
        <f>7536+4640</f>
        <v>12176</v>
      </c>
      <c r="E275" s="617"/>
      <c r="F275" s="617"/>
      <c r="G275" s="617"/>
      <c r="H275" s="617"/>
      <c r="I275" s="617"/>
      <c r="J275" s="617"/>
      <c r="K275" s="1692">
        <f>D275</f>
        <v>12176</v>
      </c>
      <c r="L275" s="466">
        <v>12400</v>
      </c>
    </row>
    <row r="276" spans="1:12" x14ac:dyDescent="0.2">
      <c r="A276" s="1524"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12216</v>
      </c>
      <c r="E277" s="617"/>
      <c r="F277" s="617"/>
      <c r="G277" s="617"/>
      <c r="H277" s="617"/>
      <c r="I277" s="617"/>
      <c r="J277" s="617"/>
      <c r="K277" s="1690">
        <f>SUM(K272:K276)</f>
        <v>12216</v>
      </c>
      <c r="L277" s="1690">
        <f>SUM(L272:L276)</f>
        <v>12700</v>
      </c>
    </row>
    <row r="278" spans="1:12" ht="13.5" customHeight="1" thickTop="1" x14ac:dyDescent="0.2">
      <c r="A278" s="1530"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539831</v>
      </c>
      <c r="E279" s="617"/>
      <c r="F279" s="617"/>
      <c r="G279" s="617"/>
      <c r="H279" s="617"/>
      <c r="I279" s="617"/>
      <c r="J279" s="617"/>
      <c r="K279" s="1697">
        <f>SUM(K238,K243,K257,K261,K270,K277,K278)</f>
        <v>539831</v>
      </c>
      <c r="L279" s="1697">
        <f>SUM(L238,L243,L257,L261,L270,L277,L278)</f>
        <v>551600</v>
      </c>
    </row>
    <row r="280" spans="1:12" ht="15.75" customHeight="1" thickTop="1" thickBot="1" x14ac:dyDescent="0.25">
      <c r="A280" s="1644" t="s">
        <v>930</v>
      </c>
      <c r="B280" s="1633">
        <v>3000</v>
      </c>
      <c r="C280" s="617"/>
      <c r="D280" s="576"/>
      <c r="E280" s="617"/>
      <c r="F280" s="617"/>
      <c r="G280" s="617"/>
      <c r="H280" s="617"/>
      <c r="I280" s="617"/>
      <c r="J280" s="617"/>
      <c r="K280" s="1699">
        <f>D280</f>
        <v>0</v>
      </c>
      <c r="L280" s="576"/>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51" t="s">
        <v>517</v>
      </c>
      <c r="B282" s="691" t="s">
        <v>1953</v>
      </c>
      <c r="C282" s="617"/>
      <c r="D282" s="467"/>
      <c r="E282" s="617"/>
      <c r="F282" s="617"/>
      <c r="G282" s="617"/>
      <c r="H282" s="617"/>
      <c r="I282" s="617"/>
      <c r="J282" s="617"/>
      <c r="K282" s="1691">
        <f>D282</f>
        <v>0</v>
      </c>
      <c r="L282" s="467"/>
    </row>
    <row r="283" spans="1:12" x14ac:dyDescent="0.2">
      <c r="A283" s="1524" t="s">
        <v>322</v>
      </c>
      <c r="B283" s="615">
        <v>4120</v>
      </c>
      <c r="C283" s="617"/>
      <c r="D283" s="466"/>
      <c r="E283" s="617"/>
      <c r="F283" s="617"/>
      <c r="G283" s="617"/>
      <c r="H283" s="617"/>
      <c r="I283" s="617"/>
      <c r="J283" s="617"/>
      <c r="K283" s="1691">
        <f>D283</f>
        <v>0</v>
      </c>
      <c r="L283" s="466"/>
    </row>
    <row r="284" spans="1:12" x14ac:dyDescent="0.2">
      <c r="A284" s="1524"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91">
        <f>H288</f>
        <v>0</v>
      </c>
      <c r="L288" s="466"/>
    </row>
    <row r="289" spans="1:14" x14ac:dyDescent="0.2">
      <c r="A289" s="1524" t="s">
        <v>90</v>
      </c>
      <c r="B289" s="615">
        <v>5120</v>
      </c>
      <c r="C289" s="617"/>
      <c r="D289" s="617"/>
      <c r="E289" s="617"/>
      <c r="F289" s="617"/>
      <c r="G289" s="617"/>
      <c r="H289" s="466"/>
      <c r="I289" s="617"/>
      <c r="J289" s="617"/>
      <c r="K289" s="1691">
        <f>H289</f>
        <v>0</v>
      </c>
      <c r="L289" s="466"/>
    </row>
    <row r="290" spans="1:14" ht="12.75" customHeight="1" x14ac:dyDescent="0.2">
      <c r="A290" s="1524" t="s">
        <v>1232</v>
      </c>
      <c r="B290" s="629" t="s">
        <v>638</v>
      </c>
      <c r="C290" s="617"/>
      <c r="D290" s="617"/>
      <c r="E290" s="617"/>
      <c r="F290" s="617"/>
      <c r="G290" s="617"/>
      <c r="H290" s="466"/>
      <c r="I290" s="617"/>
      <c r="J290" s="617"/>
      <c r="K290" s="1691">
        <f>H290</f>
        <v>0</v>
      </c>
      <c r="L290" s="466"/>
    </row>
    <row r="291" spans="1:14" x14ac:dyDescent="0.2">
      <c r="A291" s="1524" t="s">
        <v>91</v>
      </c>
      <c r="B291" s="615" t="s">
        <v>610</v>
      </c>
      <c r="C291" s="617"/>
      <c r="D291" s="617"/>
      <c r="E291" s="617"/>
      <c r="F291" s="617"/>
      <c r="G291" s="617"/>
      <c r="H291" s="466"/>
      <c r="I291" s="617"/>
      <c r="J291" s="617"/>
      <c r="K291" s="1691">
        <f>H291</f>
        <v>0</v>
      </c>
      <c r="L291" s="466"/>
    </row>
    <row r="292" spans="1:14" x14ac:dyDescent="0.2">
      <c r="A292" s="1524"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5" t="s">
        <v>932</v>
      </c>
      <c r="B294" s="1633" t="s">
        <v>916</v>
      </c>
      <c r="C294" s="617"/>
      <c r="D294" s="624"/>
      <c r="E294" s="617"/>
      <c r="F294" s="617"/>
      <c r="G294" s="617"/>
      <c r="H294" s="687"/>
      <c r="I294" s="617"/>
      <c r="J294" s="617"/>
      <c r="K294" s="687"/>
      <c r="L294" s="578"/>
    </row>
    <row r="295" spans="1:14" ht="12.75" customHeight="1" thickTop="1" thickBot="1" x14ac:dyDescent="0.25">
      <c r="A295" s="2220" t="s">
        <v>526</v>
      </c>
      <c r="B295" s="2221"/>
      <c r="C295" s="617"/>
      <c r="D295" s="1690">
        <f>SUM(D229,D279,D280,D285)</f>
        <v>1093097</v>
      </c>
      <c r="E295" s="617"/>
      <c r="F295" s="617"/>
      <c r="G295" s="617"/>
      <c r="H295" s="1690">
        <f>H293</f>
        <v>0</v>
      </c>
      <c r="I295" s="617"/>
      <c r="J295" s="617"/>
      <c r="K295" s="1690">
        <f>SUM(K229,K279,K280,K285,K293,K294)</f>
        <v>1093097</v>
      </c>
      <c r="L295" s="1690">
        <f>SUM(L229,L279,L280,L285,L293,L294)</f>
        <v>1077400</v>
      </c>
    </row>
    <row r="296" spans="1:14" ht="13.5" thickTop="1" x14ac:dyDescent="0.2">
      <c r="A296" s="2202" t="s">
        <v>1053</v>
      </c>
      <c r="B296" s="2203"/>
      <c r="C296" s="617"/>
      <c r="D296" s="619"/>
      <c r="E296" s="617"/>
      <c r="F296" s="617"/>
      <c r="G296" s="617"/>
      <c r="H296" s="688"/>
      <c r="I296" s="617"/>
      <c r="J296" s="617"/>
      <c r="K296" s="1704">
        <f>'Revenues 9-14'!G275-'Expenditures 15-22'!K295</f>
        <v>-6560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2" t="s">
        <v>145</v>
      </c>
      <c r="B298" s="2206"/>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7" t="s">
        <v>629</v>
      </c>
      <c r="B301" s="690">
        <v>2530</v>
      </c>
      <c r="C301" s="466"/>
      <c r="D301" s="466"/>
      <c r="E301" s="466">
        <v>69606</v>
      </c>
      <c r="F301" s="466"/>
      <c r="G301" s="466">
        <v>1421147</v>
      </c>
      <c r="H301" s="466"/>
      <c r="I301" s="467"/>
      <c r="J301" s="467"/>
      <c r="K301" s="1691">
        <f>SUM(C301:J301)</f>
        <v>1490753</v>
      </c>
      <c r="L301" s="467">
        <v>6100000</v>
      </c>
    </row>
    <row r="302" spans="1:14" ht="13.5" customHeight="1" x14ac:dyDescent="0.2">
      <c r="A302" s="1537"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69606</v>
      </c>
      <c r="F303" s="1697">
        <f t="shared" si="23"/>
        <v>0</v>
      </c>
      <c r="G303" s="1697">
        <f t="shared" si="23"/>
        <v>1421147</v>
      </c>
      <c r="H303" s="1697">
        <f t="shared" si="23"/>
        <v>0</v>
      </c>
      <c r="I303" s="1697">
        <f t="shared" si="23"/>
        <v>0</v>
      </c>
      <c r="J303" s="1697">
        <f t="shared" si="23"/>
        <v>0</v>
      </c>
      <c r="K303" s="1697">
        <f t="shared" si="23"/>
        <v>1490753</v>
      </c>
      <c r="L303" s="1697">
        <f t="shared" si="23"/>
        <v>6100000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8" t="s">
        <v>1958</v>
      </c>
      <c r="B306" s="691" t="s">
        <v>1953</v>
      </c>
      <c r="C306" s="617"/>
      <c r="D306" s="617"/>
      <c r="E306" s="467"/>
      <c r="F306" s="617"/>
      <c r="G306" s="617"/>
      <c r="H306" s="467"/>
      <c r="I306" s="617"/>
      <c r="J306" s="617"/>
      <c r="K306" s="1691">
        <f>SUM(E306,H306)</f>
        <v>0</v>
      </c>
      <c r="L306" s="467"/>
    </row>
    <row r="307" spans="1:14" x14ac:dyDescent="0.2">
      <c r="A307" s="1524" t="s">
        <v>322</v>
      </c>
      <c r="B307" s="615">
        <v>4120</v>
      </c>
      <c r="C307" s="617"/>
      <c r="D307" s="617"/>
      <c r="E307" s="467"/>
      <c r="F307" s="617"/>
      <c r="G307" s="617"/>
      <c r="H307" s="467"/>
      <c r="I307" s="477"/>
      <c r="J307" s="617"/>
      <c r="K307" s="1691">
        <f>SUM(E307,H307)</f>
        <v>0</v>
      </c>
      <c r="L307" s="466"/>
    </row>
    <row r="308" spans="1:14" x14ac:dyDescent="0.2">
      <c r="A308" s="1524" t="s">
        <v>721</v>
      </c>
      <c r="B308" s="615">
        <v>4140</v>
      </c>
      <c r="C308" s="617"/>
      <c r="D308" s="617"/>
      <c r="E308" s="467"/>
      <c r="F308" s="617"/>
      <c r="G308" s="617"/>
      <c r="H308" s="467"/>
      <c r="I308" s="477"/>
      <c r="J308" s="617"/>
      <c r="K308" s="1691">
        <f>SUM(E308,H308)</f>
        <v>0</v>
      </c>
      <c r="L308" s="466"/>
    </row>
    <row r="309" spans="1:14" ht="12.75" customHeight="1" x14ac:dyDescent="0.2">
      <c r="A309" s="1528"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row>
    <row r="312" spans="1:14" s="675" customFormat="1" ht="12.75" customHeight="1" thickTop="1" thickBot="1" x14ac:dyDescent="0.25">
      <c r="A312" s="2217" t="s">
        <v>295</v>
      </c>
      <c r="B312" s="2218"/>
      <c r="C312" s="1690">
        <f>SUM(C303)</f>
        <v>0</v>
      </c>
      <c r="D312" s="1690">
        <f>SUM(D303)</f>
        <v>0</v>
      </c>
      <c r="E312" s="1690">
        <f>SUM(E303,E310)</f>
        <v>69606</v>
      </c>
      <c r="F312" s="1690">
        <f>SUM(F303)</f>
        <v>0</v>
      </c>
      <c r="G312" s="1690">
        <f>SUM(G303)</f>
        <v>1421147</v>
      </c>
      <c r="H312" s="1690">
        <f>SUM(H303,H310)</f>
        <v>0</v>
      </c>
      <c r="I312" s="1690">
        <f>SUM(I303)</f>
        <v>0</v>
      </c>
      <c r="J312" s="1690">
        <f>SUM(J303)</f>
        <v>0</v>
      </c>
      <c r="K312" s="1690">
        <f>SUM(K303,K310,K311)</f>
        <v>1490753</v>
      </c>
      <c r="L312" s="1690">
        <f>SUM(L303,L310,L311)</f>
        <v>6100000</v>
      </c>
      <c r="M312" s="666"/>
      <c r="N312" s="666"/>
    </row>
    <row r="313" spans="1:14" ht="13.5" thickTop="1" x14ac:dyDescent="0.2">
      <c r="A313" s="2213" t="s">
        <v>1053</v>
      </c>
      <c r="B313" s="2214"/>
      <c r="C313" s="627"/>
      <c r="D313" s="627"/>
      <c r="E313" s="627"/>
      <c r="F313" s="627"/>
      <c r="G313" s="627"/>
      <c r="H313" s="627"/>
      <c r="I313" s="627"/>
      <c r="J313" s="627"/>
      <c r="K313" s="1705">
        <f>'Revenues 9-14'!H275-'Expenditures 15-22'!K312</f>
        <v>-1449741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6" t="s">
        <v>151</v>
      </c>
      <c r="B315" s="2227"/>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8" t="s">
        <v>954</v>
      </c>
      <c r="B317" s="2227"/>
      <c r="C317" s="1576"/>
      <c r="D317" s="1577"/>
      <c r="E317" s="1577"/>
      <c r="F317" s="1577"/>
      <c r="G317" s="1577"/>
      <c r="H317" s="1577"/>
      <c r="I317" s="1577"/>
      <c r="J317" s="1577"/>
      <c r="K317" s="1577"/>
      <c r="L317" s="1578"/>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9"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3" t="s">
        <v>1904</v>
      </c>
      <c r="B320" s="699" t="s">
        <v>300</v>
      </c>
      <c r="C320" s="467"/>
      <c r="D320" s="467"/>
      <c r="E320" s="467">
        <v>99635</v>
      </c>
      <c r="F320" s="467"/>
      <c r="G320" s="467"/>
      <c r="H320" s="467"/>
      <c r="I320" s="467"/>
      <c r="J320" s="467"/>
      <c r="K320" s="1691">
        <f t="shared" ref="K320:K327" si="24">SUM(C320:J320)</f>
        <v>99635</v>
      </c>
      <c r="L320" s="467">
        <v>100000</v>
      </c>
      <c r="M320" s="666"/>
      <c r="N320" s="666"/>
    </row>
    <row r="321" spans="1:14" s="675" customFormat="1" x14ac:dyDescent="0.2">
      <c r="A321" s="1539" t="s">
        <v>318</v>
      </c>
      <c r="B321" s="698" t="s">
        <v>301</v>
      </c>
      <c r="C321" s="467"/>
      <c r="D321" s="467"/>
      <c r="E321" s="467">
        <v>16764</v>
      </c>
      <c r="F321" s="467"/>
      <c r="G321" s="467"/>
      <c r="H321" s="467"/>
      <c r="I321" s="467"/>
      <c r="J321" s="467"/>
      <c r="K321" s="1691">
        <f t="shared" si="24"/>
        <v>16764</v>
      </c>
      <c r="L321" s="467">
        <v>20000</v>
      </c>
      <c r="M321" s="666"/>
      <c r="N321" s="666"/>
    </row>
    <row r="322" spans="1:14" s="675" customFormat="1" x14ac:dyDescent="0.2">
      <c r="A322" s="1539" t="s">
        <v>256</v>
      </c>
      <c r="B322" s="698" t="s">
        <v>302</v>
      </c>
      <c r="C322" s="467"/>
      <c r="D322" s="467"/>
      <c r="E322" s="467">
        <v>125200</v>
      </c>
      <c r="F322" s="467"/>
      <c r="G322" s="467"/>
      <c r="H322" s="467"/>
      <c r="I322" s="467"/>
      <c r="J322" s="467"/>
      <c r="K322" s="1691">
        <f t="shared" si="24"/>
        <v>125200</v>
      </c>
      <c r="L322" s="467">
        <v>135000</v>
      </c>
      <c r="M322" s="666"/>
      <c r="N322" s="666"/>
    </row>
    <row r="323" spans="1:14" s="675" customFormat="1" x14ac:dyDescent="0.2">
      <c r="A323" s="1539" t="s">
        <v>726</v>
      </c>
      <c r="B323" s="698" t="s">
        <v>303</v>
      </c>
      <c r="C323" s="467"/>
      <c r="D323" s="467"/>
      <c r="E323" s="467">
        <v>445</v>
      </c>
      <c r="F323" s="467"/>
      <c r="G323" s="467"/>
      <c r="H323" s="467"/>
      <c r="I323" s="467"/>
      <c r="J323" s="467"/>
      <c r="K323" s="1691">
        <f t="shared" si="24"/>
        <v>445</v>
      </c>
      <c r="L323" s="467">
        <v>1000</v>
      </c>
      <c r="M323" s="666"/>
      <c r="N323" s="666"/>
    </row>
    <row r="324" spans="1:14" s="675" customFormat="1" x14ac:dyDescent="0.2">
      <c r="A324" s="1539"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39" t="s">
        <v>1087</v>
      </c>
      <c r="B325" s="699" t="s">
        <v>305</v>
      </c>
      <c r="C325" s="467"/>
      <c r="D325" s="467"/>
      <c r="E325" s="467">
        <v>16647</v>
      </c>
      <c r="F325" s="467"/>
      <c r="G325" s="467"/>
      <c r="H325" s="467"/>
      <c r="I325" s="467"/>
      <c r="J325" s="467"/>
      <c r="K325" s="1691">
        <f t="shared" si="24"/>
        <v>16647</v>
      </c>
      <c r="L325" s="467">
        <v>5000</v>
      </c>
      <c r="M325" s="666"/>
      <c r="N325" s="666"/>
    </row>
    <row r="326" spans="1:14" s="675" customFormat="1" x14ac:dyDescent="0.2">
      <c r="A326" s="1539"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39" t="s">
        <v>1028</v>
      </c>
      <c r="B327" s="698" t="s">
        <v>307</v>
      </c>
      <c r="C327" s="467"/>
      <c r="D327" s="467"/>
      <c r="E327" s="467"/>
      <c r="F327" s="467"/>
      <c r="G327" s="467"/>
      <c r="H327" s="467"/>
      <c r="I327" s="467"/>
      <c r="J327" s="467"/>
      <c r="K327" s="1691">
        <f t="shared" si="24"/>
        <v>0</v>
      </c>
      <c r="L327" s="467"/>
      <c r="M327" s="666"/>
      <c r="N327" s="666"/>
    </row>
    <row r="328" spans="1:14" s="675" customFormat="1" x14ac:dyDescent="0.2">
      <c r="A328" s="1540"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0"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258691</v>
      </c>
      <c r="F330" s="1690">
        <f t="shared" si="25"/>
        <v>0</v>
      </c>
      <c r="G330" s="1690">
        <f t="shared" si="25"/>
        <v>0</v>
      </c>
      <c r="H330" s="1690">
        <f t="shared" si="25"/>
        <v>0</v>
      </c>
      <c r="I330" s="1690">
        <f t="shared" si="25"/>
        <v>0</v>
      </c>
      <c r="J330" s="1690">
        <f t="shared" si="25"/>
        <v>0</v>
      </c>
      <c r="K330" s="1690">
        <f>SUM(K319:K329)</f>
        <v>258691</v>
      </c>
      <c r="L330" s="1690">
        <f>SUM(L319:L329)</f>
        <v>261000</v>
      </c>
      <c r="M330" s="666"/>
      <c r="N330" s="666"/>
    </row>
    <row r="331" spans="1:14" s="675" customFormat="1" ht="12.75" customHeight="1" thickTop="1" x14ac:dyDescent="0.2">
      <c r="A331" s="1852" t="s">
        <v>1959</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1953</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1955</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1960</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8" t="s">
        <v>89</v>
      </c>
      <c r="B337" s="691" t="s">
        <v>956</v>
      </c>
      <c r="C337" s="639"/>
      <c r="D337" s="639"/>
      <c r="E337" s="639"/>
      <c r="F337" s="639"/>
      <c r="G337" s="639"/>
      <c r="H337" s="478"/>
      <c r="I337" s="639"/>
      <c r="J337" s="639"/>
      <c r="K337" s="1691">
        <f>H337</f>
        <v>0</v>
      </c>
      <c r="L337" s="478"/>
    </row>
    <row r="338" spans="1:14" ht="12.75" customHeight="1" x14ac:dyDescent="0.2">
      <c r="A338" s="1538" t="s">
        <v>1232</v>
      </c>
      <c r="B338" s="691" t="s">
        <v>638</v>
      </c>
      <c r="C338" s="639"/>
      <c r="D338" s="639"/>
      <c r="E338" s="639"/>
      <c r="F338" s="639"/>
      <c r="G338" s="639"/>
      <c r="H338" s="478"/>
      <c r="I338" s="639"/>
      <c r="J338" s="639"/>
      <c r="K338" s="1691">
        <f>H338</f>
        <v>0</v>
      </c>
      <c r="L338" s="478"/>
    </row>
    <row r="339" spans="1:14" x14ac:dyDescent="0.2">
      <c r="A339" s="1524"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0</v>
      </c>
      <c r="D342" s="1690">
        <f>SUM(D330)</f>
        <v>0</v>
      </c>
      <c r="E342" s="1690">
        <f>SUM(E330)</f>
        <v>258691</v>
      </c>
      <c r="F342" s="1690">
        <f>SUM(F330)</f>
        <v>0</v>
      </c>
      <c r="G342" s="1690">
        <f>SUM(G330)</f>
        <v>0</v>
      </c>
      <c r="H342" s="1690">
        <f>SUM(H330,H334,H340)</f>
        <v>0</v>
      </c>
      <c r="I342" s="1690">
        <f>SUM(I330)</f>
        <v>0</v>
      </c>
      <c r="J342" s="1690">
        <f>SUM(J330)</f>
        <v>0</v>
      </c>
      <c r="K342" s="1690">
        <f>SUM(K330,K334,K340)</f>
        <v>258691</v>
      </c>
      <c r="L342" s="1697">
        <f>SUM(L330,L340,L341)</f>
        <v>261000</v>
      </c>
    </row>
    <row r="343" spans="1:14" ht="12.75" customHeight="1" thickTop="1" x14ac:dyDescent="0.2">
      <c r="A343" s="2215" t="s">
        <v>1053</v>
      </c>
      <c r="B343" s="2216"/>
      <c r="C343" s="617"/>
      <c r="D343" s="617"/>
      <c r="E343" s="617"/>
      <c r="F343" s="617"/>
      <c r="G343" s="617"/>
      <c r="H343" s="617"/>
      <c r="I343" s="617"/>
      <c r="J343" s="617"/>
      <c r="K343" s="1704">
        <f>'Revenues 9-14'!J275-'Expenditures 15-22'!K342</f>
        <v>47671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5" t="s">
        <v>1023</v>
      </c>
      <c r="B345" s="2206"/>
      <c r="C345" s="1571"/>
      <c r="D345" s="1572"/>
      <c r="E345" s="1572"/>
      <c r="F345" s="1572"/>
      <c r="G345" s="1572"/>
      <c r="H345" s="1572"/>
      <c r="I345" s="1572"/>
      <c r="J345" s="1572"/>
      <c r="K345" s="1572"/>
      <c r="L345" s="1573"/>
      <c r="M345" s="668"/>
      <c r="N345" s="668"/>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91">
        <f>SUM(C348:J348)</f>
        <v>0</v>
      </c>
      <c r="L348" s="466">
        <v>5000</v>
      </c>
    </row>
    <row r="349" spans="1:14" x14ac:dyDescent="0.2">
      <c r="A349" s="1524"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5000</v>
      </c>
    </row>
    <row r="351" spans="1:14" ht="12.75" customHeight="1" thickTop="1" x14ac:dyDescent="0.2">
      <c r="A351" s="1530"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5000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5" t="s">
        <v>1961</v>
      </c>
      <c r="B354" s="684" t="s">
        <v>1953</v>
      </c>
      <c r="C354" s="617"/>
      <c r="D354" s="617"/>
      <c r="E354" s="617"/>
      <c r="F354" s="617"/>
      <c r="G354" s="617"/>
      <c r="H354" s="474"/>
      <c r="I354" s="702"/>
      <c r="J354" s="617"/>
      <c r="K354" s="1719">
        <f>H354</f>
        <v>0</v>
      </c>
      <c r="L354" s="471"/>
    </row>
    <row r="355" spans="1:14" ht="12.75" customHeight="1" x14ac:dyDescent="0.2">
      <c r="A355" s="1533" t="s">
        <v>1962</v>
      </c>
      <c r="B355" s="691" t="s">
        <v>1955</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91">
        <f>SUM(C360:J360)</f>
        <v>0</v>
      </c>
      <c r="L360" s="466"/>
    </row>
    <row r="361" spans="1:14" ht="12.75" customHeight="1" x14ac:dyDescent="0.2">
      <c r="A361" s="1525"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1"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5000</v>
      </c>
    </row>
    <row r="368" spans="1:14" ht="13.5" thickTop="1" x14ac:dyDescent="0.2">
      <c r="A368" s="2202" t="s">
        <v>1053</v>
      </c>
      <c r="B368" s="2203"/>
      <c r="C368" s="655"/>
      <c r="D368" s="655"/>
      <c r="E368" s="627"/>
      <c r="F368" s="627"/>
      <c r="G368" s="627"/>
      <c r="H368" s="627"/>
      <c r="I368" s="627"/>
      <c r="J368" s="624"/>
      <c r="K368" s="1691">
        <f>'Revenues 9-14'!K275-'Expenditures 15-22'!K367</f>
        <v>10133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3" sqref="C1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29" t="s">
        <v>1901</v>
      </c>
      <c r="B2" s="1548" t="s">
        <v>2033</v>
      </c>
      <c r="C2" s="715" t="s">
        <v>1906</v>
      </c>
      <c r="D2" s="715" t="s">
        <v>1907</v>
      </c>
      <c r="E2" s="715" t="s">
        <v>1908</v>
      </c>
      <c r="F2" s="715" t="s">
        <v>1909</v>
      </c>
    </row>
    <row r="3" spans="1:6" ht="12" customHeight="1" x14ac:dyDescent="0.2">
      <c r="A3" s="2230"/>
      <c r="B3" s="1545"/>
      <c r="C3" s="1546"/>
      <c r="D3" s="1547" t="s">
        <v>274</v>
      </c>
      <c r="E3" s="1546"/>
      <c r="F3" s="1547" t="s">
        <v>275</v>
      </c>
    </row>
    <row r="4" spans="1:6" ht="13.7" customHeight="1" x14ac:dyDescent="0.2">
      <c r="A4" s="716" t="s">
        <v>1217</v>
      </c>
      <c r="B4" s="1769">
        <v>21917298</v>
      </c>
      <c r="C4" s="1544">
        <v>13378801</v>
      </c>
      <c r="D4" s="1772">
        <f>B4-C4</f>
        <v>8538497</v>
      </c>
      <c r="E4" s="1544">
        <v>25228699</v>
      </c>
      <c r="F4" s="1772">
        <f>E4-C4</f>
        <v>11849898</v>
      </c>
    </row>
    <row r="5" spans="1:6" ht="13.7" customHeight="1" x14ac:dyDescent="0.2">
      <c r="A5" s="716" t="s">
        <v>925</v>
      </c>
      <c r="B5" s="1770">
        <v>3026424</v>
      </c>
      <c r="C5" s="585">
        <v>1684752</v>
      </c>
      <c r="D5" s="1773">
        <f t="shared" ref="D5:D18" si="0">B5-C5</f>
        <v>1341672</v>
      </c>
      <c r="E5" s="585">
        <v>3177263</v>
      </c>
      <c r="F5" s="1773">
        <f>E5-C5</f>
        <v>1492511</v>
      </c>
    </row>
    <row r="6" spans="1:6" ht="13.7" customHeight="1" x14ac:dyDescent="0.2">
      <c r="A6" s="716" t="s">
        <v>431</v>
      </c>
      <c r="B6" s="1770">
        <v>3046153</v>
      </c>
      <c r="C6" s="585">
        <v>1667505</v>
      </c>
      <c r="D6" s="1773">
        <f t="shared" si="0"/>
        <v>1378648</v>
      </c>
      <c r="E6" s="585">
        <v>3146898</v>
      </c>
      <c r="F6" s="1773">
        <f t="shared" ref="F6:F18" si="1">E6-C6</f>
        <v>1479393</v>
      </c>
    </row>
    <row r="7" spans="1:6" ht="13.7" customHeight="1" x14ac:dyDescent="0.2">
      <c r="A7" s="716" t="s">
        <v>157</v>
      </c>
      <c r="B7" s="1770">
        <v>2704869</v>
      </c>
      <c r="C7" s="585">
        <v>871397</v>
      </c>
      <c r="D7" s="1773">
        <f t="shared" si="0"/>
        <v>1833472</v>
      </c>
      <c r="E7" s="585">
        <v>1648000</v>
      </c>
      <c r="F7" s="1773">
        <f t="shared" si="1"/>
        <v>776603</v>
      </c>
    </row>
    <row r="8" spans="1:6" ht="13.7" customHeight="1" x14ac:dyDescent="0.2">
      <c r="A8" s="716" t="s">
        <v>1241</v>
      </c>
      <c r="B8" s="1770">
        <v>495578</v>
      </c>
      <c r="C8" s="585">
        <v>294669</v>
      </c>
      <c r="D8" s="1773">
        <f t="shared" si="0"/>
        <v>200909</v>
      </c>
      <c r="E8" s="585">
        <v>556200</v>
      </c>
      <c r="F8" s="1773">
        <f t="shared" si="1"/>
        <v>261531</v>
      </c>
    </row>
    <row r="9" spans="1:6" ht="13.7" customHeight="1" x14ac:dyDescent="0.2">
      <c r="A9" s="716" t="s">
        <v>428</v>
      </c>
      <c r="B9" s="1770">
        <v>0</v>
      </c>
      <c r="C9" s="585"/>
      <c r="D9" s="1773">
        <f t="shared" si="0"/>
        <v>0</v>
      </c>
      <c r="E9" s="585"/>
      <c r="F9" s="1773">
        <f t="shared" si="1"/>
        <v>0</v>
      </c>
    </row>
    <row r="10" spans="1:6" ht="13.7" customHeight="1" x14ac:dyDescent="0.2">
      <c r="A10" s="716" t="s">
        <v>427</v>
      </c>
      <c r="B10" s="1770">
        <v>275088</v>
      </c>
      <c r="C10" s="585">
        <v>153177</v>
      </c>
      <c r="D10" s="1773">
        <f t="shared" si="0"/>
        <v>121911</v>
      </c>
      <c r="E10" s="585">
        <v>288842</v>
      </c>
      <c r="F10" s="1773">
        <f t="shared" si="1"/>
        <v>135665</v>
      </c>
    </row>
    <row r="11" spans="1:6" x14ac:dyDescent="0.2">
      <c r="A11" s="716" t="s">
        <v>429</v>
      </c>
      <c r="B11" s="1770">
        <v>297250</v>
      </c>
      <c r="C11" s="585">
        <v>163746</v>
      </c>
      <c r="D11" s="1773">
        <f t="shared" si="0"/>
        <v>133504</v>
      </c>
      <c r="E11" s="585">
        <v>309000</v>
      </c>
      <c r="F11" s="1773">
        <f t="shared" si="1"/>
        <v>145254</v>
      </c>
    </row>
    <row r="12" spans="1:6" ht="13.7" customHeight="1" x14ac:dyDescent="0.2">
      <c r="A12" s="716" t="s">
        <v>159</v>
      </c>
      <c r="B12" s="1770">
        <v>5035</v>
      </c>
      <c r="C12" s="585">
        <v>2394</v>
      </c>
      <c r="D12" s="1773">
        <f t="shared" si="0"/>
        <v>2641</v>
      </c>
      <c r="E12" s="585">
        <v>5150</v>
      </c>
      <c r="F12" s="1773">
        <f t="shared" si="1"/>
        <v>2756</v>
      </c>
    </row>
    <row r="13" spans="1:6" ht="13.7" customHeight="1" x14ac:dyDescent="0.2">
      <c r="A13" s="716" t="s">
        <v>993</v>
      </c>
      <c r="B13" s="1770">
        <v>246795</v>
      </c>
      <c r="C13" s="585">
        <v>2780</v>
      </c>
      <c r="D13" s="1773">
        <f t="shared" si="0"/>
        <v>244015</v>
      </c>
      <c r="E13" s="585">
        <v>5150</v>
      </c>
      <c r="F13" s="1773">
        <f t="shared" si="1"/>
        <v>2370</v>
      </c>
    </row>
    <row r="14" spans="1:6" ht="13.7" customHeight="1" x14ac:dyDescent="0.2">
      <c r="A14" s="716" t="s">
        <v>430</v>
      </c>
      <c r="B14" s="1770">
        <v>978521</v>
      </c>
      <c r="C14" s="585">
        <v>2782</v>
      </c>
      <c r="D14" s="1773">
        <f t="shared" si="0"/>
        <v>975739</v>
      </c>
      <c r="E14" s="585">
        <v>5150</v>
      </c>
      <c r="F14" s="1773">
        <f t="shared" si="1"/>
        <v>2368</v>
      </c>
    </row>
    <row r="15" spans="1:6" ht="13.7" customHeight="1" x14ac:dyDescent="0.2">
      <c r="A15" s="716" t="s">
        <v>1220</v>
      </c>
      <c r="B15" s="1770">
        <v>0</v>
      </c>
      <c r="C15" s="585"/>
      <c r="D15" s="1773">
        <f t="shared" si="0"/>
        <v>0</v>
      </c>
      <c r="E15" s="585"/>
      <c r="F15" s="1773">
        <f t="shared" si="1"/>
        <v>0</v>
      </c>
    </row>
    <row r="16" spans="1:6" ht="13.7" customHeight="1" x14ac:dyDescent="0.2">
      <c r="A16" s="716" t="s">
        <v>1221</v>
      </c>
      <c r="B16" s="1770">
        <v>582551</v>
      </c>
      <c r="C16" s="585">
        <v>321929</v>
      </c>
      <c r="D16" s="1773">
        <f t="shared" si="0"/>
        <v>260622</v>
      </c>
      <c r="E16" s="585">
        <v>607700</v>
      </c>
      <c r="F16" s="1773">
        <f t="shared" si="1"/>
        <v>285771</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33575562</v>
      </c>
      <c r="C19" s="1771">
        <f>SUM(C4:C18)</f>
        <v>18543932</v>
      </c>
      <c r="D19" s="1771">
        <f>SUM(D4:D18)</f>
        <v>15031630</v>
      </c>
      <c r="E19" s="1771">
        <f>SUM(E4:E18)</f>
        <v>34978052</v>
      </c>
      <c r="F19" s="1771">
        <f>SUM(F4:F18)</f>
        <v>16434120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D41" sqref="D4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1" t="s">
        <v>650</v>
      </c>
      <c r="B1" s="2249"/>
      <c r="C1" s="722"/>
    </row>
    <row r="2" spans="1:7" ht="33.75" x14ac:dyDescent="0.2">
      <c r="A2" s="2256" t="s">
        <v>1901</v>
      </c>
      <c r="B2" s="2257"/>
      <c r="C2" s="1906" t="s">
        <v>2034</v>
      </c>
      <c r="D2" s="724" t="s">
        <v>2041</v>
      </c>
      <c r="E2" s="724" t="s">
        <v>2042</v>
      </c>
      <c r="F2" s="1906" t="s">
        <v>2035</v>
      </c>
    </row>
    <row r="3" spans="1:7" ht="15.75" customHeight="1" x14ac:dyDescent="0.2">
      <c r="A3" s="2258" t="s">
        <v>1176</v>
      </c>
      <c r="B3" s="2259"/>
      <c r="C3" s="2252"/>
      <c r="D3" s="2253"/>
      <c r="E3" s="2253"/>
      <c r="F3" s="2254"/>
    </row>
    <row r="4" spans="1:7" ht="12.75" customHeight="1" thickBot="1" x14ac:dyDescent="0.25">
      <c r="A4" s="2246" t="s">
        <v>651</v>
      </c>
      <c r="B4" s="2247"/>
      <c r="C4" s="581"/>
      <c r="D4" s="581"/>
      <c r="E4" s="581"/>
      <c r="F4" s="1775">
        <f>SUM(C4+D4)-E4</f>
        <v>0</v>
      </c>
    </row>
    <row r="5" spans="1:7" ht="15.75" customHeight="1" thickTop="1" x14ac:dyDescent="0.2">
      <c r="A5" s="2250" t="s">
        <v>1172</v>
      </c>
      <c r="B5" s="2245"/>
      <c r="C5" s="2239"/>
      <c r="D5" s="2240"/>
      <c r="E5" s="2240"/>
      <c r="F5" s="2241"/>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42" t="s">
        <v>652</v>
      </c>
      <c r="B15" s="2243"/>
      <c r="C15" s="1775">
        <f>SUM(C6:C14)</f>
        <v>0</v>
      </c>
      <c r="D15" s="1775">
        <f>SUM(D6:D14)</f>
        <v>0</v>
      </c>
      <c r="E15" s="1775">
        <f>SUM(E6:E14)</f>
        <v>0</v>
      </c>
      <c r="F15" s="1775">
        <f>SUM(F6:F14)</f>
        <v>0</v>
      </c>
      <c r="G15" s="552"/>
    </row>
    <row r="16" spans="1:7" s="202" customFormat="1" ht="15.75" customHeight="1" thickTop="1" x14ac:dyDescent="0.2">
      <c r="A16" s="2255" t="s">
        <v>1173</v>
      </c>
      <c r="B16" s="2245"/>
      <c r="C16" s="2239"/>
      <c r="D16" s="2240"/>
      <c r="E16" s="2240"/>
      <c r="F16" s="2241"/>
    </row>
    <row r="17" spans="1:11" ht="12.75" customHeight="1" thickBot="1" x14ac:dyDescent="0.25">
      <c r="A17" s="2237" t="s">
        <v>66</v>
      </c>
      <c r="B17" s="2238"/>
      <c r="C17" s="727"/>
      <c r="D17" s="585"/>
      <c r="E17" s="727"/>
      <c r="F17" s="1775">
        <f>SUM(C17+D17)-E17</f>
        <v>0</v>
      </c>
    </row>
    <row r="18" spans="1:11" ht="12.75" customHeight="1" thickTop="1" thickBot="1" x14ac:dyDescent="0.25">
      <c r="A18" s="2237" t="s">
        <v>6</v>
      </c>
      <c r="B18" s="2238"/>
      <c r="C18" s="727"/>
      <c r="D18" s="585"/>
      <c r="E18" s="727"/>
      <c r="F18" s="1775">
        <f>SUM(C18+D18)-E18</f>
        <v>0</v>
      </c>
    </row>
    <row r="19" spans="1:11" ht="12.75" customHeight="1" thickTop="1" thickBot="1" x14ac:dyDescent="0.25">
      <c r="A19" s="2237" t="s">
        <v>406</v>
      </c>
      <c r="B19" s="2238"/>
      <c r="C19" s="727"/>
      <c r="D19" s="585"/>
      <c r="E19" s="727"/>
      <c r="F19" s="1775">
        <f>SUM(C19+D19)-E19</f>
        <v>0</v>
      </c>
    </row>
    <row r="20" spans="1:11" ht="12.75" customHeight="1" thickTop="1" thickBot="1" x14ac:dyDescent="0.25">
      <c r="A20" s="2237" t="s">
        <v>468</v>
      </c>
      <c r="B20" s="2238"/>
      <c r="C20" s="727"/>
      <c r="D20" s="585"/>
      <c r="E20" s="727"/>
      <c r="F20" s="1775">
        <f>SUM(C20+D20)-E20</f>
        <v>0</v>
      </c>
    </row>
    <row r="21" spans="1:11" ht="14.25" thickTop="1" thickBot="1" x14ac:dyDescent="0.25">
      <c r="A21" s="2242" t="s">
        <v>653</v>
      </c>
      <c r="B21" s="2243"/>
      <c r="C21" s="1775">
        <f>SUM(C17:C20)</f>
        <v>0</v>
      </c>
      <c r="D21" s="1775">
        <f>SUM(D17:D20)</f>
        <v>0</v>
      </c>
      <c r="E21" s="1775">
        <f>SUM(E17:E20)</f>
        <v>0</v>
      </c>
      <c r="F21" s="1775">
        <f>SUM(F17:F20)</f>
        <v>0</v>
      </c>
      <c r="G21" s="552"/>
    </row>
    <row r="22" spans="1:11" ht="15.75" customHeight="1" thickTop="1" x14ac:dyDescent="0.2">
      <c r="A22" s="2244" t="s">
        <v>1174</v>
      </c>
      <c r="B22" s="2245"/>
      <c r="C22" s="2239"/>
      <c r="D22" s="2240"/>
      <c r="E22" s="2240"/>
      <c r="F22" s="2241"/>
    </row>
    <row r="23" spans="1:11" ht="13.5" thickBot="1" x14ac:dyDescent="0.25">
      <c r="A23" s="2246" t="s">
        <v>654</v>
      </c>
      <c r="B23" s="2247"/>
      <c r="C23" s="581"/>
      <c r="D23" s="581"/>
      <c r="E23" s="581"/>
      <c r="F23" s="1775">
        <f>SUM(C23+D23)-E23</f>
        <v>0</v>
      </c>
      <c r="G23" s="552"/>
    </row>
    <row r="24" spans="1:11" ht="15.75" customHeight="1" thickTop="1" x14ac:dyDescent="0.2">
      <c r="A24" s="2244" t="s">
        <v>1175</v>
      </c>
      <c r="B24" s="2245"/>
      <c r="C24" s="2239"/>
      <c r="D24" s="2240"/>
      <c r="E24" s="2240"/>
      <c r="F24" s="2241"/>
    </row>
    <row r="25" spans="1:11" ht="13.5" thickBot="1" x14ac:dyDescent="0.25">
      <c r="A25" s="2246" t="s">
        <v>655</v>
      </c>
      <c r="B25" s="2247"/>
      <c r="C25" s="581"/>
      <c r="D25" s="581"/>
      <c r="E25" s="581"/>
      <c r="F25" s="1775">
        <f>SUM(C25+D25)-E25</f>
        <v>0</v>
      </c>
      <c r="G25" s="552"/>
    </row>
    <row r="26" spans="1:11" ht="15.75" customHeight="1" thickTop="1" x14ac:dyDescent="0.2">
      <c r="A26" s="2250" t="s">
        <v>678</v>
      </c>
      <c r="B26" s="2245"/>
      <c r="C26" s="728"/>
      <c r="D26" s="728"/>
      <c r="E26" s="728"/>
      <c r="F26" s="729"/>
    </row>
    <row r="27" spans="1:11" ht="13.5" thickBot="1" x14ac:dyDescent="0.25">
      <c r="A27" s="2242" t="s">
        <v>1130</v>
      </c>
      <c r="B27" s="2243"/>
      <c r="C27" s="585"/>
      <c r="D27" s="585"/>
      <c r="E27" s="585"/>
      <c r="F27" s="1775">
        <f>SUM(C27+D27)-E27</f>
        <v>0</v>
      </c>
      <c r="G27" s="552"/>
    </row>
    <row r="28" spans="1:11" ht="7.5" customHeight="1" thickTop="1" x14ac:dyDescent="0.2">
      <c r="A28" s="594"/>
    </row>
    <row r="29" spans="1:11" ht="23.25" customHeight="1" x14ac:dyDescent="0.2">
      <c r="A29" s="2248" t="s">
        <v>603</v>
      </c>
      <c r="B29" s="2249"/>
      <c r="C29" s="730"/>
      <c r="D29" s="730"/>
      <c r="E29" s="730"/>
      <c r="F29" s="730"/>
      <c r="G29" s="730"/>
      <c r="H29" s="730"/>
      <c r="I29" s="730"/>
      <c r="J29" s="730"/>
    </row>
    <row r="30" spans="1:11" ht="33.75" x14ac:dyDescent="0.2">
      <c r="A30" s="1549" t="s">
        <v>1131</v>
      </c>
      <c r="B30" s="731" t="s">
        <v>1186</v>
      </c>
      <c r="C30" s="1907" t="s">
        <v>604</v>
      </c>
      <c r="D30" s="1907" t="s">
        <v>1772</v>
      </c>
      <c r="E30" s="1907" t="s">
        <v>2036</v>
      </c>
      <c r="F30" s="1907" t="s">
        <v>2037</v>
      </c>
      <c r="G30" s="1907" t="s">
        <v>2040</v>
      </c>
      <c r="H30" s="1907" t="s">
        <v>2038</v>
      </c>
      <c r="I30" s="1907" t="s">
        <v>2039</v>
      </c>
      <c r="J30" s="1908" t="s">
        <v>2</v>
      </c>
      <c r="K30" s="732"/>
    </row>
    <row r="31" spans="1:11" ht="12" customHeight="1" x14ac:dyDescent="0.2">
      <c r="A31" s="733" t="s">
        <v>2168</v>
      </c>
      <c r="B31" s="734">
        <v>36161</v>
      </c>
      <c r="C31" s="735">
        <v>12780000</v>
      </c>
      <c r="D31" s="736">
        <v>6</v>
      </c>
      <c r="E31" s="735">
        <v>1435000</v>
      </c>
      <c r="F31" s="735"/>
      <c r="G31" s="735"/>
      <c r="H31" s="735">
        <v>1435000</v>
      </c>
      <c r="I31" s="1776">
        <f>((E31+F31)-H31)+G31</f>
        <v>0</v>
      </c>
      <c r="J31" s="735">
        <v>0</v>
      </c>
      <c r="K31" s="737"/>
    </row>
    <row r="32" spans="1:11" ht="12" customHeight="1" x14ac:dyDescent="0.2">
      <c r="A32" s="733" t="s">
        <v>2168</v>
      </c>
      <c r="B32" s="734">
        <v>38018</v>
      </c>
      <c r="C32" s="735">
        <v>6650000</v>
      </c>
      <c r="D32" s="736" t="s">
        <v>2186</v>
      </c>
      <c r="E32" s="735">
        <v>5630000</v>
      </c>
      <c r="F32" s="735"/>
      <c r="G32" s="735"/>
      <c r="H32" s="735"/>
      <c r="I32" s="1776">
        <f>((E32+F32)-H32)+G32</f>
        <v>5630000</v>
      </c>
      <c r="J32" s="735">
        <v>5630000</v>
      </c>
      <c r="K32" s="737"/>
    </row>
    <row r="33" spans="1:11" ht="12" customHeight="1" x14ac:dyDescent="0.2">
      <c r="A33" s="733" t="s">
        <v>2168</v>
      </c>
      <c r="B33" s="734">
        <v>38456</v>
      </c>
      <c r="C33" s="735">
        <v>3975000</v>
      </c>
      <c r="D33" s="736">
        <v>3</v>
      </c>
      <c r="E33" s="735">
        <v>1225000</v>
      </c>
      <c r="F33" s="735"/>
      <c r="G33" s="735"/>
      <c r="H33" s="735">
        <v>225000</v>
      </c>
      <c r="I33" s="1776">
        <f t="shared" ref="I33:I48" si="1">((E33+F33)-H33)+G33</f>
        <v>1000000</v>
      </c>
      <c r="J33" s="735">
        <v>1000000</v>
      </c>
      <c r="K33" s="737"/>
    </row>
    <row r="34" spans="1:11" ht="12" customHeight="1" x14ac:dyDescent="0.2">
      <c r="A34" s="733" t="s">
        <v>2168</v>
      </c>
      <c r="B34" s="734">
        <v>39601</v>
      </c>
      <c r="C34" s="735">
        <v>14395000</v>
      </c>
      <c r="D34" s="736">
        <v>6</v>
      </c>
      <c r="E34" s="735">
        <v>8345000</v>
      </c>
      <c r="F34" s="735"/>
      <c r="G34" s="735"/>
      <c r="H34" s="735">
        <v>615000</v>
      </c>
      <c r="I34" s="1776">
        <f t="shared" si="1"/>
        <v>7730000</v>
      </c>
      <c r="J34" s="735">
        <f>7730000-3187430</f>
        <v>4542570</v>
      </c>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37800000</v>
      </c>
      <c r="D49" s="746"/>
      <c r="E49" s="1776">
        <f t="shared" ref="E49:J49" si="2">SUM(E31:E48)</f>
        <v>16635000</v>
      </c>
      <c r="F49" s="1776">
        <f t="shared" si="2"/>
        <v>0</v>
      </c>
      <c r="G49" s="1776">
        <f t="shared" si="2"/>
        <v>0</v>
      </c>
      <c r="H49" s="1776">
        <f t="shared" si="2"/>
        <v>2275000</v>
      </c>
      <c r="I49" s="1776">
        <f t="shared" si="2"/>
        <v>14360000</v>
      </c>
      <c r="J49" s="1776">
        <f t="shared" si="2"/>
        <v>11172570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31" t="s">
        <v>605</v>
      </c>
      <c r="C52" s="2232"/>
      <c r="D52" s="2232"/>
      <c r="E52" s="750" t="s">
        <v>900</v>
      </c>
      <c r="F52" s="2233"/>
      <c r="G52" s="2234"/>
      <c r="H52" s="737"/>
      <c r="I52" s="737"/>
      <c r="J52" s="747"/>
    </row>
    <row r="53" spans="1:11" ht="11.25" customHeight="1" x14ac:dyDescent="0.2">
      <c r="A53" s="751" t="s">
        <v>969</v>
      </c>
      <c r="B53" s="752" t="s">
        <v>1008</v>
      </c>
      <c r="C53" s="747"/>
      <c r="D53" s="738"/>
      <c r="E53" s="750" t="s">
        <v>518</v>
      </c>
      <c r="F53" s="2235"/>
      <c r="G53" s="2236"/>
      <c r="H53" s="737"/>
      <c r="I53" s="737"/>
      <c r="J53" s="747"/>
    </row>
    <row r="54" spans="1:11" ht="11.25" customHeight="1" x14ac:dyDescent="0.2">
      <c r="A54" s="753" t="s">
        <v>970</v>
      </c>
      <c r="B54" s="748" t="s">
        <v>1009</v>
      </c>
      <c r="C54" s="747"/>
      <c r="D54" s="738"/>
      <c r="E54" s="750" t="s">
        <v>519</v>
      </c>
      <c r="F54" s="2235"/>
      <c r="G54" s="223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E37" sqref="E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50"/>
      <c r="I1" s="761"/>
      <c r="J1" s="433"/>
    </row>
    <row r="2" spans="1:11" ht="26.25" x14ac:dyDescent="0.2">
      <c r="A2" s="2279" t="s">
        <v>1776</v>
      </c>
      <c r="B2" s="2280"/>
      <c r="C2" s="2280"/>
      <c r="D2" s="2280"/>
      <c r="E2" s="2281"/>
      <c r="F2" s="762" t="s">
        <v>960</v>
      </c>
      <c r="G2" s="763" t="s">
        <v>1773</v>
      </c>
      <c r="H2" s="763" t="s">
        <v>430</v>
      </c>
      <c r="I2" s="763" t="s">
        <v>1220</v>
      </c>
      <c r="J2" s="763" t="s">
        <v>1915</v>
      </c>
      <c r="K2" s="763" t="s">
        <v>140</v>
      </c>
    </row>
    <row r="3" spans="1:11" x14ac:dyDescent="0.2">
      <c r="A3" s="2282" t="s">
        <v>1698</v>
      </c>
      <c r="B3" s="2283"/>
      <c r="C3" s="2283"/>
      <c r="D3" s="2283"/>
      <c r="E3" s="2284"/>
      <c r="F3" s="764"/>
      <c r="G3" s="765"/>
      <c r="H3" s="765"/>
      <c r="I3" s="765"/>
      <c r="J3" s="766"/>
      <c r="K3" s="766"/>
    </row>
    <row r="4" spans="1:11" x14ac:dyDescent="0.2">
      <c r="A4" s="2285" t="s">
        <v>387</v>
      </c>
      <c r="B4" s="2286"/>
      <c r="C4" s="2286"/>
      <c r="D4" s="2286"/>
      <c r="E4" s="2232"/>
      <c r="F4" s="767"/>
      <c r="G4" s="768"/>
      <c r="H4" s="769"/>
      <c r="I4" s="768"/>
      <c r="J4" s="770"/>
      <c r="K4" s="770"/>
    </row>
    <row r="5" spans="1:11" x14ac:dyDescent="0.2">
      <c r="A5" s="2263" t="s">
        <v>1129</v>
      </c>
      <c r="B5" s="2264"/>
      <c r="C5" s="2264"/>
      <c r="D5" s="2264"/>
      <c r="E5" s="2265"/>
      <c r="F5" s="771" t="s">
        <v>903</v>
      </c>
      <c r="G5" s="772"/>
      <c r="H5" s="765">
        <v>978521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3" t="s">
        <v>1916</v>
      </c>
      <c r="B10" s="2264"/>
      <c r="C10" s="2264"/>
      <c r="D10" s="2264"/>
      <c r="E10" s="2266"/>
      <c r="F10" s="784" t="s">
        <v>917</v>
      </c>
      <c r="G10" s="783"/>
      <c r="H10" s="785"/>
      <c r="I10" s="765"/>
      <c r="J10" s="766"/>
      <c r="K10" s="766"/>
    </row>
    <row r="11" spans="1:11" x14ac:dyDescent="0.2">
      <c r="A11" s="2263" t="s">
        <v>162</v>
      </c>
      <c r="B11" s="2264"/>
      <c r="C11" s="2264"/>
      <c r="D11" s="2264"/>
      <c r="E11" s="2265"/>
      <c r="F11" s="771" t="s">
        <v>907</v>
      </c>
      <c r="G11" s="772"/>
      <c r="H11" s="765"/>
      <c r="I11" s="765"/>
      <c r="J11" s="766"/>
      <c r="K11" s="774"/>
    </row>
    <row r="12" spans="1:11" ht="13.5" thickBot="1" x14ac:dyDescent="0.25">
      <c r="A12" s="2290" t="s">
        <v>961</v>
      </c>
      <c r="B12" s="2291"/>
      <c r="C12" s="2291"/>
      <c r="D12" s="2291"/>
      <c r="E12" s="2292"/>
      <c r="F12" s="1777"/>
      <c r="G12" s="1778">
        <f>SUM(G5:G11)</f>
        <v>0</v>
      </c>
      <c r="H12" s="1778">
        <f>SUM(H5:H11)</f>
        <v>978521</v>
      </c>
      <c r="I12" s="1778">
        <f>SUM(I5:I11)</f>
        <v>0</v>
      </c>
      <c r="J12" s="1778">
        <f>SUM(J5:J11)</f>
        <v>0</v>
      </c>
      <c r="K12" s="1778">
        <f>SUM(K5:K11)</f>
        <v>0</v>
      </c>
    </row>
    <row r="13" spans="1:11" ht="13.5" thickTop="1" x14ac:dyDescent="0.2">
      <c r="A13" s="2287" t="s">
        <v>388</v>
      </c>
      <c r="B13" s="2288"/>
      <c r="C13" s="2288"/>
      <c r="D13" s="2288"/>
      <c r="E13" s="2289"/>
      <c r="F13" s="786"/>
      <c r="G13" s="787"/>
      <c r="H13" s="788"/>
      <c r="I13" s="789"/>
      <c r="J13" s="789"/>
      <c r="K13" s="789"/>
    </row>
    <row r="14" spans="1:11" x14ac:dyDescent="0.2">
      <c r="A14" s="2270" t="s">
        <v>476</v>
      </c>
      <c r="B14" s="2270"/>
      <c r="C14" s="2270"/>
      <c r="D14" s="2270"/>
      <c r="E14" s="2271"/>
      <c r="F14" s="790" t="s">
        <v>909</v>
      </c>
      <c r="G14" s="783"/>
      <c r="H14" s="765">
        <v>978521</v>
      </c>
      <c r="I14" s="772"/>
      <c r="J14" s="774"/>
      <c r="K14" s="766"/>
    </row>
    <row r="15" spans="1:11" x14ac:dyDescent="0.2">
      <c r="A15" s="2264" t="s">
        <v>4</v>
      </c>
      <c r="B15" s="2264"/>
      <c r="C15" s="2264"/>
      <c r="D15" s="2264"/>
      <c r="E15" s="2265"/>
      <c r="F15" s="790" t="s">
        <v>910</v>
      </c>
      <c r="G15" s="772"/>
      <c r="H15" s="765"/>
      <c r="I15" s="765"/>
      <c r="J15" s="766"/>
      <c r="K15" s="766"/>
    </row>
    <row r="16" spans="1:11" x14ac:dyDescent="0.2">
      <c r="A16" s="2264" t="s">
        <v>316</v>
      </c>
      <c r="B16" s="2264"/>
      <c r="C16" s="2264"/>
      <c r="D16" s="2264"/>
      <c r="E16" s="2265"/>
      <c r="F16" s="790" t="s">
        <v>980</v>
      </c>
      <c r="G16" s="773"/>
      <c r="H16" s="768"/>
      <c r="I16" s="768"/>
      <c r="J16" s="770"/>
      <c r="K16" s="770"/>
    </row>
    <row r="17" spans="1:11" x14ac:dyDescent="0.2">
      <c r="A17" s="2295" t="s">
        <v>992</v>
      </c>
      <c r="B17" s="2295"/>
      <c r="C17" s="2295"/>
      <c r="D17" s="2295"/>
      <c r="E17" s="2296"/>
      <c r="F17" s="791"/>
      <c r="G17" s="792"/>
      <c r="H17" s="793"/>
      <c r="I17" s="793"/>
      <c r="J17" s="794"/>
      <c r="K17" s="795"/>
    </row>
    <row r="18" spans="1:11" x14ac:dyDescent="0.2">
      <c r="A18" s="2274" t="s">
        <v>386</v>
      </c>
      <c r="B18" s="2275"/>
      <c r="C18" s="2275"/>
      <c r="D18" s="2275"/>
      <c r="E18" s="2276"/>
      <c r="F18" s="790" t="s">
        <v>989</v>
      </c>
      <c r="G18" s="783"/>
      <c r="H18" s="783"/>
      <c r="I18" s="783"/>
      <c r="J18" s="766"/>
      <c r="K18" s="796"/>
    </row>
    <row r="19" spans="1:11" ht="21.75" customHeight="1" x14ac:dyDescent="0.2">
      <c r="A19" s="2272" t="s">
        <v>1912</v>
      </c>
      <c r="B19" s="2272"/>
      <c r="C19" s="2272"/>
      <c r="D19" s="2272"/>
      <c r="E19" s="2273"/>
      <c r="F19" s="790" t="s">
        <v>990</v>
      </c>
      <c r="G19" s="783"/>
      <c r="H19" s="783"/>
      <c r="I19" s="783"/>
      <c r="J19" s="766"/>
      <c r="K19" s="796"/>
    </row>
    <row r="20" spans="1:11" x14ac:dyDescent="0.2">
      <c r="A20" s="2274" t="s">
        <v>1917</v>
      </c>
      <c r="B20" s="2275"/>
      <c r="C20" s="2275"/>
      <c r="D20" s="2275"/>
      <c r="E20" s="2276"/>
      <c r="F20" s="790" t="s">
        <v>991</v>
      </c>
      <c r="G20" s="783"/>
      <c r="H20" s="783"/>
      <c r="I20" s="783"/>
      <c r="J20" s="766"/>
      <c r="K20" s="796"/>
    </row>
    <row r="21" spans="1:11" ht="13.5" thickBot="1" x14ac:dyDescent="0.25">
      <c r="A21" s="2293" t="s">
        <v>659</v>
      </c>
      <c r="B21" s="2293"/>
      <c r="C21" s="2293"/>
      <c r="D21" s="2293"/>
      <c r="E21" s="2293"/>
      <c r="F21" s="1779"/>
      <c r="G21" s="793"/>
      <c r="H21" s="797"/>
      <c r="I21" s="797"/>
      <c r="J21" s="1780">
        <f>SUM(J18:J20)</f>
        <v>0</v>
      </c>
      <c r="K21" s="794"/>
    </row>
    <row r="22" spans="1:11" ht="13.5" thickTop="1" x14ac:dyDescent="0.2">
      <c r="A22" s="2264" t="s">
        <v>1918</v>
      </c>
      <c r="B22" s="2264"/>
      <c r="C22" s="2264"/>
      <c r="D22" s="2264"/>
      <c r="E22" s="2265"/>
      <c r="F22" s="790" t="s">
        <v>917</v>
      </c>
      <c r="G22" s="783"/>
      <c r="H22" s="765"/>
      <c r="I22" s="765"/>
      <c r="J22" s="798"/>
      <c r="K22" s="766"/>
    </row>
    <row r="23" spans="1:11" ht="13.5" thickBot="1" x14ac:dyDescent="0.25">
      <c r="A23" s="2294" t="s">
        <v>962</v>
      </c>
      <c r="B23" s="2293"/>
      <c r="C23" s="2293"/>
      <c r="D23" s="2293"/>
      <c r="E23" s="2293"/>
      <c r="F23" s="1781"/>
      <c r="G23" s="1778">
        <f>SUM(G14:G16,G21,G22)</f>
        <v>0</v>
      </c>
      <c r="H23" s="1778">
        <f>SUM(H14:H16,H21,H22)</f>
        <v>978521</v>
      </c>
      <c r="I23" s="1778">
        <f>SUM(I14:I16,I21,I22)</f>
        <v>0</v>
      </c>
      <c r="J23" s="1778">
        <f>SUM(J14:J16,J21,J22)</f>
        <v>0</v>
      </c>
      <c r="K23" s="1778">
        <f>SUM(K14:K16,K21,K22)</f>
        <v>0</v>
      </c>
    </row>
    <row r="24" spans="1:11" ht="14.25" thickTop="1" thickBot="1" x14ac:dyDescent="0.25">
      <c r="A24" s="2294" t="s">
        <v>2022</v>
      </c>
      <c r="B24" s="2293"/>
      <c r="C24" s="2293"/>
      <c r="D24" s="2293"/>
      <c r="E24" s="2293"/>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2032</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7"/>
      <c r="I31" s="2268"/>
      <c r="J31" s="2268"/>
      <c r="K31" s="2268"/>
    </row>
    <row r="32" spans="1:11" x14ac:dyDescent="0.2">
      <c r="A32" s="810"/>
      <c r="B32" s="237"/>
      <c r="C32" s="237"/>
      <c r="D32" s="237"/>
      <c r="E32" s="806"/>
      <c r="F32" s="812" t="s">
        <v>561</v>
      </c>
      <c r="G32" s="765"/>
      <c r="H32" s="2269"/>
      <c r="I32" s="2268"/>
      <c r="J32" s="2268"/>
      <c r="K32" s="2268"/>
    </row>
    <row r="33" spans="1:11" ht="1.5" customHeight="1" x14ac:dyDescent="0.2">
      <c r="A33" s="813" t="s">
        <v>1231</v>
      </c>
      <c r="B33" s="364"/>
      <c r="C33" s="364"/>
      <c r="D33" s="364"/>
      <c r="E33" s="364"/>
      <c r="F33" s="364"/>
      <c r="G33" s="814"/>
      <c r="H33" s="2269"/>
      <c r="I33" s="2268"/>
      <c r="J33" s="2268"/>
      <c r="K33" s="2268"/>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64" t="s">
        <v>562</v>
      </c>
      <c r="B41" s="2277"/>
      <c r="C41" s="2277"/>
      <c r="D41" s="2277"/>
      <c r="E41" s="2277"/>
      <c r="F41" s="227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1" t="s">
        <v>1913</v>
      </c>
      <c r="B46" s="408" t="s">
        <v>1774</v>
      </c>
    </row>
    <row r="47" spans="1:11" s="824" customFormat="1" ht="12.75" customHeight="1" x14ac:dyDescent="0.2">
      <c r="A47" s="822"/>
      <c r="B47" s="823" t="s">
        <v>1775</v>
      </c>
      <c r="E47" s="823"/>
      <c r="K47" s="825"/>
    </row>
    <row r="48" spans="1:11" ht="12.75" customHeight="1" x14ac:dyDescent="0.2">
      <c r="A48" s="1552"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9" t="s">
        <v>2031</v>
      </c>
      <c r="B1" s="2300"/>
      <c r="C1" s="2301"/>
      <c r="D1" s="827"/>
      <c r="E1" s="828"/>
      <c r="F1" s="828"/>
      <c r="G1" s="829"/>
      <c r="H1" s="830"/>
      <c r="I1" s="831"/>
      <c r="J1" s="2297"/>
      <c r="K1" s="2298"/>
      <c r="L1" s="2298"/>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49" t="s">
        <v>948</v>
      </c>
      <c r="B3" s="1650">
        <v>210</v>
      </c>
      <c r="C3" s="836"/>
      <c r="D3" s="836"/>
      <c r="E3" s="836"/>
      <c r="F3" s="1780">
        <f>(C3+D3)-E3</f>
        <v>0</v>
      </c>
      <c r="G3" s="837"/>
      <c r="H3" s="836"/>
      <c r="I3" s="836"/>
      <c r="J3" s="836"/>
      <c r="K3" s="1789">
        <f>(H3+I3)-J3</f>
        <v>0</v>
      </c>
      <c r="L3" s="1789">
        <f>F3-K3</f>
        <v>0</v>
      </c>
      <c r="M3" s="835"/>
      <c r="N3" s="835"/>
    </row>
    <row r="4" spans="1:14" ht="15" customHeight="1" thickTop="1" x14ac:dyDescent="0.2">
      <c r="A4" s="1651" t="s">
        <v>160</v>
      </c>
      <c r="B4" s="1650">
        <v>220</v>
      </c>
      <c r="C4" s="782"/>
      <c r="D4" s="782"/>
      <c r="E4" s="782"/>
      <c r="F4" s="774"/>
      <c r="G4" s="838"/>
      <c r="H4" s="839"/>
      <c r="I4" s="839"/>
      <c r="J4" s="839"/>
      <c r="K4" s="840"/>
      <c r="L4" s="774"/>
    </row>
    <row r="5" spans="1:14" ht="13.5" thickBot="1" x14ac:dyDescent="0.25">
      <c r="A5" s="779" t="s">
        <v>949</v>
      </c>
      <c r="B5" s="841">
        <v>221</v>
      </c>
      <c r="C5" s="842">
        <v>5311469</v>
      </c>
      <c r="D5" s="842"/>
      <c r="E5" s="842"/>
      <c r="F5" s="1780">
        <f>(C5+D5)-E5</f>
        <v>5311469</v>
      </c>
      <c r="G5" s="838"/>
      <c r="H5" s="843"/>
      <c r="I5" s="843"/>
      <c r="J5" s="843"/>
      <c r="K5" s="794"/>
      <c r="L5" s="1789">
        <f>F5-K5</f>
        <v>5311469</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1" t="s">
        <v>161</v>
      </c>
      <c r="B7" s="1650">
        <v>230</v>
      </c>
      <c r="C7" s="782"/>
      <c r="D7" s="782"/>
      <c r="E7" s="782"/>
      <c r="F7" s="774"/>
      <c r="G7" s="844"/>
      <c r="H7" s="782"/>
      <c r="I7" s="782"/>
      <c r="J7" s="782"/>
      <c r="K7" s="774"/>
      <c r="L7" s="774"/>
    </row>
    <row r="8" spans="1:14" ht="13.5" thickBot="1" x14ac:dyDescent="0.25">
      <c r="A8" s="779" t="s">
        <v>1180</v>
      </c>
      <c r="B8" s="841">
        <v>231</v>
      </c>
      <c r="C8" s="845">
        <v>45754550</v>
      </c>
      <c r="D8" s="845"/>
      <c r="E8" s="845"/>
      <c r="F8" s="1780">
        <f>(C8+D8)-E8</f>
        <v>45754550</v>
      </c>
      <c r="G8" s="844">
        <v>50</v>
      </c>
      <c r="H8" s="766">
        <v>14259066</v>
      </c>
      <c r="I8" s="766">
        <v>941738</v>
      </c>
      <c r="J8" s="766"/>
      <c r="K8" s="1789">
        <f>(H8+I8)-J8</f>
        <v>15200804</v>
      </c>
      <c r="L8" s="1789">
        <f>F8-K8</f>
        <v>30553746</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8251004</v>
      </c>
      <c r="D10" s="847"/>
      <c r="E10" s="847"/>
      <c r="F10" s="1784">
        <f>(C10+D10)-E10</f>
        <v>8251004</v>
      </c>
      <c r="G10" s="844">
        <v>20</v>
      </c>
      <c r="H10" s="848">
        <v>2748809</v>
      </c>
      <c r="I10" s="848">
        <v>299035</v>
      </c>
      <c r="J10" s="848"/>
      <c r="K10" s="1789">
        <f>(H10+I10)-J10</f>
        <v>3047844</v>
      </c>
      <c r="L10" s="1789">
        <f>F10-K10</f>
        <v>5203160</v>
      </c>
    </row>
    <row r="11" spans="1:14" ht="13.5" thickTop="1" x14ac:dyDescent="0.2">
      <c r="A11" s="1652" t="s">
        <v>1198</v>
      </c>
      <c r="B11" s="1650">
        <v>250</v>
      </c>
      <c r="C11" s="782"/>
      <c r="D11" s="782"/>
      <c r="E11" s="782"/>
      <c r="F11" s="774"/>
      <c r="G11" s="844"/>
      <c r="H11" s="782"/>
      <c r="I11" s="782"/>
      <c r="J11" s="782"/>
      <c r="K11" s="774"/>
      <c r="L11" s="774"/>
    </row>
    <row r="12" spans="1:14" ht="13.5" thickBot="1" x14ac:dyDescent="0.25">
      <c r="A12" s="849" t="s">
        <v>1183</v>
      </c>
      <c r="B12" s="841">
        <v>251</v>
      </c>
      <c r="C12" s="845">
        <v>14074027</v>
      </c>
      <c r="D12" s="845">
        <f>120931+20770</f>
        <v>141701</v>
      </c>
      <c r="E12" s="845"/>
      <c r="F12" s="1780">
        <f>(C12+D12)-E12</f>
        <v>14215728</v>
      </c>
      <c r="G12" s="844">
        <v>10</v>
      </c>
      <c r="H12" s="766">
        <v>13085996</v>
      </c>
      <c r="I12" s="766">
        <v>183242</v>
      </c>
      <c r="J12" s="766"/>
      <c r="K12" s="1789">
        <f>(H12+I12)-J12</f>
        <v>13269238</v>
      </c>
      <c r="L12" s="1789">
        <f>F12-K12</f>
        <v>946490</v>
      </c>
    </row>
    <row r="13" spans="1:14" ht="14.25" thickTop="1" thickBot="1" x14ac:dyDescent="0.25">
      <c r="A13" s="849" t="s">
        <v>1184</v>
      </c>
      <c r="B13" s="841">
        <v>252</v>
      </c>
      <c r="C13" s="845"/>
      <c r="D13" s="845"/>
      <c r="E13" s="845"/>
      <c r="F13" s="1780">
        <f>(C13+D13)-E13</f>
        <v>0</v>
      </c>
      <c r="G13" s="844">
        <v>5</v>
      </c>
      <c r="H13" s="766"/>
      <c r="I13" s="766"/>
      <c r="J13" s="766"/>
      <c r="K13" s="1789">
        <f>(H13+I13)-J13</f>
        <v>0</v>
      </c>
      <c r="L13" s="1789">
        <f>F13-K13</f>
        <v>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1" t="s">
        <v>549</v>
      </c>
      <c r="B15" s="1650">
        <v>260</v>
      </c>
      <c r="C15" s="845"/>
      <c r="D15" s="845">
        <v>1421147</v>
      </c>
      <c r="E15" s="845"/>
      <c r="F15" s="1780">
        <f>(C15+D15)-E15</f>
        <v>1421147</v>
      </c>
      <c r="G15" s="850" t="s">
        <v>917</v>
      </c>
      <c r="H15" s="782"/>
      <c r="I15" s="782"/>
      <c r="J15" s="782"/>
      <c r="K15" s="782"/>
      <c r="L15" s="1789">
        <f>F15-K15</f>
        <v>1421147</v>
      </c>
    </row>
    <row r="16" spans="1:14" ht="15" customHeight="1" thickTop="1" thickBot="1" x14ac:dyDescent="0.25">
      <c r="A16" s="1785" t="s">
        <v>664</v>
      </c>
      <c r="B16" s="1786">
        <v>200</v>
      </c>
      <c r="C16" s="1780">
        <f>SUM(C3,C5:C6,C8:C10,C12:C15)</f>
        <v>73391050</v>
      </c>
      <c r="D16" s="1780">
        <f>SUM(D3,D5:D6,D8:D10,D12:D15)</f>
        <v>1562848</v>
      </c>
      <c r="E16" s="1780">
        <f>SUM(E3,E5:E6,E8:E10,E12:E15)</f>
        <v>0</v>
      </c>
      <c r="F16" s="1780">
        <f>SUM(F3,F5:F6,F8:F10,F12:F15)</f>
        <v>74953898</v>
      </c>
      <c r="G16" s="844"/>
      <c r="H16" s="1780">
        <f>SUM(H3,H6,H8:H10,H12:H14,)</f>
        <v>30093871</v>
      </c>
      <c r="I16" s="1780">
        <f>SUM(I3,I6,I8:I10,I12:I14,)</f>
        <v>1424015</v>
      </c>
      <c r="J16" s="1780">
        <f>SUM(J3,J6,J8:J10,J12:J14,)</f>
        <v>0</v>
      </c>
      <c r="K16" s="1780">
        <f>(H16+I16)-J16</f>
        <v>31517886</v>
      </c>
      <c r="L16" s="1780">
        <f>F16-K16</f>
        <v>43436012</v>
      </c>
    </row>
    <row r="17" spans="1:12" ht="15" customHeight="1" thickTop="1" thickBot="1" x14ac:dyDescent="0.25">
      <c r="A17" s="1653" t="s">
        <v>309</v>
      </c>
      <c r="B17" s="1650">
        <v>700</v>
      </c>
      <c r="C17" s="770"/>
      <c r="D17" s="770"/>
      <c r="E17" s="770"/>
      <c r="F17" s="1780">
        <f>SUM('Expenditures 15-22'!I114,'Expenditures 15-22'!I151,'Expenditures 15-22'!I210,'Expenditures 15-22'!I312,'Expenditures 15-22'!I342,'Expenditures 15-22'!I367)</f>
        <v>586859</v>
      </c>
      <c r="G17" s="838">
        <v>10</v>
      </c>
      <c r="H17" s="770"/>
      <c r="I17" s="1789">
        <f>F17/G17</f>
        <v>58685.9</v>
      </c>
      <c r="J17" s="770"/>
      <c r="K17" s="796"/>
      <c r="L17" s="796"/>
    </row>
    <row r="18" spans="1:12" ht="14.25" thickTop="1" thickBot="1" x14ac:dyDescent="0.25">
      <c r="A18" s="1787" t="s">
        <v>706</v>
      </c>
      <c r="B18" s="1788"/>
      <c r="C18" s="772"/>
      <c r="D18" s="772"/>
      <c r="E18" s="772"/>
      <c r="F18" s="851"/>
      <c r="G18" s="852"/>
      <c r="H18" s="774"/>
      <c r="I18" s="1780">
        <f>SUM(I16,I17)</f>
        <v>1482700.9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7" activePane="bottomLeft" state="frozen"/>
      <selection activeCell="A47" sqref="A47"/>
      <selection pane="bottomLeft" activeCell="F78" sqref="F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5" t="s">
        <v>1699</v>
      </c>
      <c r="B1" s="2306"/>
      <c r="C1" s="2306"/>
      <c r="D1" s="2306"/>
      <c r="E1" s="2306"/>
      <c r="F1" s="2307"/>
      <c r="G1" s="856"/>
    </row>
    <row r="2" spans="1:7" ht="15" customHeight="1" thickBot="1" x14ac:dyDescent="0.25">
      <c r="A2" s="2308" t="s">
        <v>498</v>
      </c>
      <c r="B2" s="2309"/>
      <c r="C2" s="2309"/>
      <c r="D2" s="2309"/>
      <c r="E2" s="2309"/>
      <c r="F2" s="231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11"/>
      <c r="B5" s="2312"/>
      <c r="C5" s="2312"/>
      <c r="D5" s="2312"/>
      <c r="E5" s="2312"/>
      <c r="F5" s="2312"/>
    </row>
    <row r="6" spans="1:7" ht="13.5" customHeight="1" thickBot="1" x14ac:dyDescent="0.25">
      <c r="A6" s="2302" t="s">
        <v>1166</v>
      </c>
      <c r="B6" s="2303"/>
      <c r="C6" s="2303"/>
      <c r="D6" s="2303"/>
      <c r="E6" s="2303"/>
      <c r="F6" s="230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30180467</v>
      </c>
      <c r="G8" s="866"/>
    </row>
    <row r="9" spans="1:7" x14ac:dyDescent="0.2">
      <c r="A9" s="870" t="s">
        <v>480</v>
      </c>
      <c r="B9" s="871" t="s">
        <v>1985</v>
      </c>
      <c r="C9" s="872"/>
      <c r="D9" s="870" t="s">
        <v>522</v>
      </c>
      <c r="E9" s="869"/>
      <c r="F9" s="1932">
        <f>'Expenditures 15-22'!K151</f>
        <v>3233346</v>
      </c>
      <c r="G9" s="873"/>
    </row>
    <row r="10" spans="1:7" x14ac:dyDescent="0.2">
      <c r="A10" s="870" t="s">
        <v>520</v>
      </c>
      <c r="B10" s="871" t="s">
        <v>1986</v>
      </c>
      <c r="C10" s="872"/>
      <c r="D10" s="870" t="s">
        <v>522</v>
      </c>
      <c r="E10" s="869"/>
      <c r="F10" s="1932">
        <f>'Expenditures 15-22'!K174</f>
        <v>2921714</v>
      </c>
      <c r="G10" s="873"/>
    </row>
    <row r="11" spans="1:7" x14ac:dyDescent="0.2">
      <c r="A11" s="870" t="s">
        <v>481</v>
      </c>
      <c r="B11" s="871" t="s">
        <v>1987</v>
      </c>
      <c r="C11" s="872"/>
      <c r="D11" s="870" t="s">
        <v>522</v>
      </c>
      <c r="E11" s="869"/>
      <c r="F11" s="1932">
        <f>'Expenditures 15-22'!K210</f>
        <v>1613744</v>
      </c>
      <c r="G11" s="873"/>
    </row>
    <row r="12" spans="1:7" x14ac:dyDescent="0.2">
      <c r="A12" s="870" t="s">
        <v>482</v>
      </c>
      <c r="B12" s="871" t="s">
        <v>1988</v>
      </c>
      <c r="C12" s="872"/>
      <c r="D12" s="870" t="s">
        <v>522</v>
      </c>
      <c r="E12" s="869"/>
      <c r="F12" s="1932">
        <f>'Expenditures 15-22'!K295</f>
        <v>1093097</v>
      </c>
      <c r="G12" s="873"/>
    </row>
    <row r="13" spans="1:7" x14ac:dyDescent="0.2">
      <c r="A13" s="870" t="s">
        <v>108</v>
      </c>
      <c r="B13" s="871" t="s">
        <v>1989</v>
      </c>
      <c r="C13" s="872"/>
      <c r="D13" s="870" t="s">
        <v>522</v>
      </c>
      <c r="E13" s="869"/>
      <c r="F13" s="1932">
        <f>'Expenditures 15-22'!K342</f>
        <v>258691</v>
      </c>
      <c r="G13" s="874"/>
    </row>
    <row r="14" spans="1:7" ht="12" customHeight="1" thickBot="1" x14ac:dyDescent="0.25">
      <c r="A14" s="1790"/>
      <c r="B14" s="1791"/>
      <c r="C14" s="1792"/>
      <c r="D14" s="1793" t="s">
        <v>522</v>
      </c>
      <c r="E14" s="1794" t="s">
        <v>1015</v>
      </c>
      <c r="F14" s="1795">
        <f>SUM(F8:F13)</f>
        <v>39301059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322839</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337265</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173963</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312764</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227034</v>
      </c>
      <c r="G52" s="866"/>
    </row>
    <row r="53" spans="1:7" x14ac:dyDescent="0.2">
      <c r="A53" s="870" t="s">
        <v>479</v>
      </c>
      <c r="B53" s="870" t="s">
        <v>1551</v>
      </c>
      <c r="C53" s="890">
        <f>'Expenditures 15-22'!B102</f>
        <v>4000</v>
      </c>
      <c r="D53" s="889" t="str">
        <f>'Expenditures 15-22'!A102</f>
        <v>Total Payments to Other Govt Units</v>
      </c>
      <c r="E53" s="869"/>
      <c r="F53" s="1936">
        <f>'Expenditures 15-22'!K102</f>
        <v>996633</v>
      </c>
      <c r="G53" s="866"/>
    </row>
    <row r="54" spans="1:7" x14ac:dyDescent="0.2">
      <c r="A54" s="870" t="s">
        <v>479</v>
      </c>
      <c r="B54" s="870" t="s">
        <v>1552</v>
      </c>
      <c r="C54" s="890" t="s">
        <v>1039</v>
      </c>
      <c r="D54" s="886" t="s">
        <v>1157</v>
      </c>
      <c r="E54" s="869"/>
      <c r="F54" s="1936">
        <f>'Expenditures 15-22'!G114</f>
        <v>120931</v>
      </c>
      <c r="G54" s="866"/>
    </row>
    <row r="55" spans="1:7" x14ac:dyDescent="0.2">
      <c r="A55" s="870" t="s">
        <v>479</v>
      </c>
      <c r="B55" s="870" t="s">
        <v>1553</v>
      </c>
      <c r="C55" s="890" t="s">
        <v>1039</v>
      </c>
      <c r="D55" s="886" t="s">
        <v>309</v>
      </c>
      <c r="E55" s="869"/>
      <c r="F55" s="1936">
        <f>'Expenditures 15-22'!I114</f>
        <v>482341</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6">
        <f>'Expenditures 15-22'!K139</f>
        <v>0</v>
      </c>
      <c r="G57" s="866"/>
    </row>
    <row r="58" spans="1:7" x14ac:dyDescent="0.2">
      <c r="A58" s="870" t="s">
        <v>480</v>
      </c>
      <c r="B58" s="870" t="s">
        <v>1991</v>
      </c>
      <c r="C58" s="887" t="s">
        <v>1039</v>
      </c>
      <c r="D58" s="886" t="s">
        <v>1157</v>
      </c>
      <c r="E58" s="869"/>
      <c r="F58" s="1938">
        <f>'Expenditures 15-22'!G151</f>
        <v>20770</v>
      </c>
      <c r="G58" s="866"/>
    </row>
    <row r="59" spans="1:7" x14ac:dyDescent="0.2">
      <c r="A59" s="894" t="s">
        <v>480</v>
      </c>
      <c r="B59" s="857" t="s">
        <v>1992</v>
      </c>
      <c r="C59" s="895" t="s">
        <v>1039</v>
      </c>
      <c r="D59" s="857" t="s">
        <v>309</v>
      </c>
      <c r="F59" s="1939">
        <f>'Expenditures 15-22'!I151</f>
        <v>104518</v>
      </c>
      <c r="G59" s="866"/>
    </row>
    <row r="60" spans="1:7" x14ac:dyDescent="0.2">
      <c r="A60" s="894" t="s">
        <v>520</v>
      </c>
      <c r="B60" s="857" t="s">
        <v>1993</v>
      </c>
      <c r="C60" s="895">
        <v>4000</v>
      </c>
      <c r="D60" s="857" t="s">
        <v>330</v>
      </c>
      <c r="F60" s="1937">
        <f>'Expenditures 15-22'!K160</f>
        <v>0</v>
      </c>
      <c r="G60" s="866"/>
    </row>
    <row r="61" spans="1:7" x14ac:dyDescent="0.2">
      <c r="A61" s="896" t="s">
        <v>520</v>
      </c>
      <c r="B61" s="896" t="s">
        <v>1994</v>
      </c>
      <c r="C61" s="897" t="str">
        <f>'Expenditures 15-22'!B170</f>
        <v>5300</v>
      </c>
      <c r="D61" s="898" t="s">
        <v>329</v>
      </c>
      <c r="E61" s="880"/>
      <c r="F61" s="1936">
        <f>'Expenditures 15-22'!K170</f>
        <v>2275000</v>
      </c>
      <c r="G61" s="866"/>
    </row>
    <row r="62" spans="1:7" x14ac:dyDescent="0.2">
      <c r="A62" s="870" t="s">
        <v>481</v>
      </c>
      <c r="B62" s="870" t="s">
        <v>1995</v>
      </c>
      <c r="C62" s="887">
        <f>'Expenditures 15-22'!B185</f>
        <v>3000</v>
      </c>
      <c r="D62" s="877" t="s">
        <v>469</v>
      </c>
      <c r="E62" s="869"/>
      <c r="F62" s="1936">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6">
        <f>'Expenditures 15-22'!K196</f>
        <v>0</v>
      </c>
      <c r="G63" s="866"/>
    </row>
    <row r="64" spans="1:7" x14ac:dyDescent="0.2">
      <c r="A64" s="896" t="s">
        <v>481</v>
      </c>
      <c r="B64" s="896" t="s">
        <v>1997</v>
      </c>
      <c r="C64" s="897" t="str">
        <f>'Expenditures 15-22'!B206</f>
        <v>5300</v>
      </c>
      <c r="D64" s="893" t="s">
        <v>329</v>
      </c>
      <c r="E64" s="869"/>
      <c r="F64" s="1936">
        <f>'Expenditures 15-22'!K206</f>
        <v>0</v>
      </c>
      <c r="G64" s="866"/>
    </row>
    <row r="65" spans="1:8" x14ac:dyDescent="0.2">
      <c r="A65" s="870" t="s">
        <v>481</v>
      </c>
      <c r="B65" s="870" t="s">
        <v>1998</v>
      </c>
      <c r="C65" s="887" t="s">
        <v>1039</v>
      </c>
      <c r="D65" s="886" t="s">
        <v>1157</v>
      </c>
      <c r="E65" s="869"/>
      <c r="F65" s="1936">
        <f>'Expenditures 15-22'!G210</f>
        <v>0</v>
      </c>
      <c r="G65" s="866"/>
    </row>
    <row r="66" spans="1:8" x14ac:dyDescent="0.2">
      <c r="A66" s="870" t="s">
        <v>481</v>
      </c>
      <c r="B66" s="870" t="s">
        <v>1999</v>
      </c>
      <c r="C66" s="887" t="s">
        <v>1039</v>
      </c>
      <c r="D66" s="886" t="s">
        <v>309</v>
      </c>
      <c r="E66" s="869"/>
      <c r="F66" s="1936">
        <f>'Expenditures 15-22'!I210</f>
        <v>0</v>
      </c>
      <c r="G66" s="866"/>
    </row>
    <row r="67" spans="1:8" x14ac:dyDescent="0.2">
      <c r="A67" s="870" t="s">
        <v>482</v>
      </c>
      <c r="B67" s="870" t="s">
        <v>2000</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34086</v>
      </c>
      <c r="G68" s="866"/>
    </row>
    <row r="69" spans="1:8" x14ac:dyDescent="0.2">
      <c r="A69" s="870" t="s">
        <v>482</v>
      </c>
      <c r="B69" s="870" t="s">
        <v>2001</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2002</v>
      </c>
      <c r="C70" s="887">
        <f>'Expenditures 15-22'!B221</f>
        <v>1300</v>
      </c>
      <c r="D70" s="888" t="str">
        <f>'Expenditures 15-22'!A221</f>
        <v>Adult/Continuing Education Programs</v>
      </c>
      <c r="E70" s="869"/>
      <c r="F70" s="1936">
        <f>'Expenditures 15-22'!K221</f>
        <v>0</v>
      </c>
      <c r="G70" s="866"/>
    </row>
    <row r="71" spans="1:8" x14ac:dyDescent="0.2">
      <c r="A71" s="870" t="s">
        <v>482</v>
      </c>
      <c r="B71" s="870" t="s">
        <v>2003</v>
      </c>
      <c r="C71" s="887">
        <f>'Expenditures 15-22'!B224</f>
        <v>1600</v>
      </c>
      <c r="D71" s="888" t="str">
        <f>'Expenditures 15-22'!A224</f>
        <v>Summer School Programs</v>
      </c>
      <c r="E71" s="869"/>
      <c r="F71" s="1936">
        <f>'Expenditures 15-22'!K224</f>
        <v>9514</v>
      </c>
      <c r="G71" s="866"/>
    </row>
    <row r="72" spans="1:8" x14ac:dyDescent="0.2">
      <c r="A72" s="870" t="s">
        <v>482</v>
      </c>
      <c r="B72" s="870" t="s">
        <v>2004</v>
      </c>
      <c r="C72" s="887">
        <f>'Expenditures 15-22'!B280</f>
        <v>3000</v>
      </c>
      <c r="D72" s="877" t="s">
        <v>469</v>
      </c>
      <c r="E72" s="869"/>
      <c r="F72" s="1936">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6">
        <f>'Expenditures 15-22'!K285</f>
        <v>0</v>
      </c>
      <c r="G73" s="866"/>
    </row>
    <row r="74" spans="1:8" x14ac:dyDescent="0.2">
      <c r="A74" s="870" t="s">
        <v>456</v>
      </c>
      <c r="B74" s="870" t="s">
        <v>2006</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2007</v>
      </c>
      <c r="E76" s="1794" t="s">
        <v>1015</v>
      </c>
      <c r="F76" s="1798">
        <f>SUM(F18:F74)</f>
        <v>5417658</v>
      </c>
      <c r="G76" s="866"/>
    </row>
    <row r="77" spans="1:8" s="894" customFormat="1" ht="12" customHeight="1" thickTop="1" thickBot="1" x14ac:dyDescent="0.25">
      <c r="A77" s="1799"/>
      <c r="B77" s="1796"/>
      <c r="C77" s="1792"/>
      <c r="D77" s="1797" t="s">
        <v>2008</v>
      </c>
      <c r="E77" s="1794"/>
      <c r="F77" s="1800">
        <f>(F14-F76)</f>
        <v>33883401</v>
      </c>
      <c r="G77" s="870"/>
    </row>
    <row r="78" spans="1:8" s="894" customFormat="1" ht="12" customHeight="1" thickTop="1" x14ac:dyDescent="0.2">
      <c r="A78" s="1801"/>
      <c r="B78" s="1796"/>
      <c r="C78" s="1792"/>
      <c r="D78" s="1797" t="s">
        <v>2055</v>
      </c>
      <c r="E78" s="1794"/>
      <c r="F78" s="899">
        <v>2185.96</v>
      </c>
      <c r="G78" s="900"/>
      <c r="H78" s="870"/>
    </row>
    <row r="79" spans="1:8" s="894" customFormat="1" ht="12" customHeight="1" thickBot="1" x14ac:dyDescent="0.25">
      <c r="A79" s="1802"/>
      <c r="B79" s="1796"/>
      <c r="C79" s="1792"/>
      <c r="D79" s="1797" t="s">
        <v>2009</v>
      </c>
      <c r="E79" s="1794" t="s">
        <v>1015</v>
      </c>
      <c r="F79" s="1803">
        <f>IF(F78&gt;0,F77/F78," Complete Line 78")</f>
        <v>15500.467071675603</v>
      </c>
      <c r="G79" s="870"/>
    </row>
    <row r="80" spans="1:8" s="894" customFormat="1" ht="8.25" customHeight="1" thickTop="1" x14ac:dyDescent="0.2">
      <c r="A80" s="901"/>
      <c r="B80" s="870"/>
      <c r="C80" s="872"/>
      <c r="D80" s="902"/>
      <c r="E80" s="869"/>
      <c r="F80" s="903"/>
      <c r="G80" s="870"/>
    </row>
    <row r="81" spans="1:7" s="894" customFormat="1" ht="12" thickBot="1" x14ac:dyDescent="0.25">
      <c r="A81" s="2302" t="s">
        <v>1167</v>
      </c>
      <c r="B81" s="2303"/>
      <c r="C81" s="2303"/>
      <c r="D81" s="2303"/>
      <c r="E81" s="2303"/>
      <c r="F81" s="230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21852</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195015</v>
      </c>
      <c r="G94" s="913"/>
    </row>
    <row r="95" spans="1:7" x14ac:dyDescent="0.2">
      <c r="A95" s="909" t="s">
        <v>142</v>
      </c>
      <c r="B95" s="909" t="s">
        <v>177</v>
      </c>
      <c r="C95" s="911">
        <v>1700</v>
      </c>
      <c r="D95" s="919" t="str">
        <f>'Revenues 9-14'!A82</f>
        <v>Total District/School Activity Income</v>
      </c>
      <c r="E95" s="907"/>
      <c r="F95" s="1809">
        <f>SUM('Revenues 9-14'!C82,'Revenues 9-14'!D82)</f>
        <v>15</v>
      </c>
      <c r="G95" s="913"/>
    </row>
    <row r="96" spans="1:7" x14ac:dyDescent="0.2">
      <c r="A96" s="909" t="s">
        <v>479</v>
      </c>
      <c r="B96" s="909" t="s">
        <v>178</v>
      </c>
      <c r="C96" s="911">
        <f>'Revenues 9-14'!B84</f>
        <v>1811</v>
      </c>
      <c r="D96" s="912" t="str">
        <f>'Revenues 9-14'!A84</f>
        <v>Rentals - Regular Textbooks</v>
      </c>
      <c r="E96" s="907"/>
      <c r="F96" s="1809">
        <f>'Revenues 9-14'!C84</f>
        <v>166496</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24791</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96082</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3155</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4841</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666844</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369140</v>
      </c>
      <c r="G129" s="931"/>
    </row>
    <row r="130" spans="1:7" x14ac:dyDescent="0.2">
      <c r="A130" s="928" t="s">
        <v>689</v>
      </c>
      <c r="B130" s="928" t="s">
        <v>804</v>
      </c>
      <c r="C130" s="933">
        <v>4300</v>
      </c>
      <c r="D130" s="934" t="str">
        <f>'Revenues 9-14'!A211</f>
        <v>Total Title I</v>
      </c>
      <c r="E130" s="907"/>
      <c r="F130" s="1809">
        <f>SUM('Revenues 9-14'!C211,'Revenues 9-14'!D211,'Revenues 9-14'!F211,'Revenues 9-14'!G211)</f>
        <v>484831</v>
      </c>
      <c r="G130" s="931"/>
    </row>
    <row r="131" spans="1:7" x14ac:dyDescent="0.2">
      <c r="A131" s="928" t="s">
        <v>689</v>
      </c>
      <c r="B131" s="928" t="s">
        <v>805</v>
      </c>
      <c r="C131" s="933">
        <v>4400</v>
      </c>
      <c r="D131" s="934" t="str">
        <f>'Revenues 9-14'!A216</f>
        <v>Total Title IV</v>
      </c>
      <c r="E131" s="907"/>
      <c r="F131" s="1809">
        <f>SUM('Revenues 9-14'!C216,'Revenues 9-14'!D216,'Revenues 9-14'!F216,'Revenues 9-14'!G216)</f>
        <v>15751</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619731</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2640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25404</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81742</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74144</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269236</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1" t="s">
        <v>5</v>
      </c>
      <c r="B175" s="1942" t="s">
        <v>2054</v>
      </c>
      <c r="C175" s="1943">
        <v>3100</v>
      </c>
      <c r="D175" s="1944" t="s">
        <v>2057</v>
      </c>
      <c r="E175" s="907"/>
      <c r="F175" s="1928"/>
      <c r="G175" s="928"/>
    </row>
    <row r="176" spans="1:7" x14ac:dyDescent="0.2">
      <c r="A176" s="1941" t="s">
        <v>685</v>
      </c>
      <c r="B176" s="1942" t="s">
        <v>2054</v>
      </c>
      <c r="C176" s="1943">
        <v>3300</v>
      </c>
      <c r="D176" s="1944" t="s">
        <v>2058</v>
      </c>
      <c r="E176" s="907"/>
      <c r="F176" s="1928"/>
      <c r="G176" s="928"/>
    </row>
    <row r="177" spans="1:7" ht="6" customHeight="1" x14ac:dyDescent="0.2">
      <c r="A177" s="928"/>
      <c r="B177" s="928"/>
      <c r="C177" s="950"/>
      <c r="D177" s="928"/>
      <c r="E177" s="907"/>
      <c r="F177" s="951"/>
      <c r="G177" s="948"/>
    </row>
    <row r="178" spans="1:7" x14ac:dyDescent="0.2">
      <c r="A178" s="1790"/>
      <c r="B178" s="1804"/>
      <c r="C178" s="1805"/>
      <c r="D178" s="1806" t="s">
        <v>2010</v>
      </c>
      <c r="E178" s="1807" t="s">
        <v>1015</v>
      </c>
      <c r="F178" s="1808">
        <f>SUM(F84:F136,F161:F176)</f>
        <v>3121710</v>
      </c>
    </row>
    <row r="179" spans="1:7" ht="12" customHeight="1" x14ac:dyDescent="0.2">
      <c r="A179" s="1790"/>
      <c r="B179" s="1804"/>
      <c r="C179" s="1805"/>
      <c r="D179" s="1806" t="s">
        <v>2011</v>
      </c>
      <c r="E179" s="1807"/>
      <c r="F179" s="1809">
        <f>'PCTC-OEPP 27-28'!F77-F178</f>
        <v>30761691</v>
      </c>
    </row>
    <row r="180" spans="1:7" ht="12" customHeight="1" x14ac:dyDescent="0.2">
      <c r="A180" s="1790"/>
      <c r="B180" s="1804"/>
      <c r="C180" s="1805"/>
      <c r="D180" s="1806" t="s">
        <v>1920</v>
      </c>
      <c r="E180" s="1807"/>
      <c r="F180" s="1809">
        <f>'Cap Outlay Deprec 26'!I18</f>
        <v>1482700.9</v>
      </c>
    </row>
    <row r="181" spans="1:7" ht="12" customHeight="1" x14ac:dyDescent="0.2">
      <c r="A181" s="1790"/>
      <c r="B181" s="1804"/>
      <c r="C181" s="1805"/>
      <c r="D181" s="1806" t="s">
        <v>2012</v>
      </c>
      <c r="E181" s="1807"/>
      <c r="F181" s="1809">
        <f>F179+F180</f>
        <v>32244391.899999999</v>
      </c>
    </row>
    <row r="182" spans="1:7" ht="12" customHeight="1" x14ac:dyDescent="0.2">
      <c r="A182" s="1790"/>
      <c r="B182" s="1810"/>
      <c r="C182" s="1805"/>
      <c r="D182" s="1806" t="str">
        <f>D78</f>
        <v>9 Month ADA from District Average Daily Attendance/Prior General State Aid Inquiry 2017-2018</v>
      </c>
      <c r="E182" s="1807"/>
      <c r="F182" s="1811">
        <f>'PCTC-OEPP 27-28'!F78</f>
        <v>2185.96</v>
      </c>
      <c r="G182" s="931"/>
    </row>
    <row r="183" spans="1:7" ht="12" customHeight="1" thickBot="1" x14ac:dyDescent="0.25">
      <c r="A183" s="1790"/>
      <c r="B183" s="1810"/>
      <c r="C183" s="1805"/>
      <c r="D183" s="1806" t="s">
        <v>2013</v>
      </c>
      <c r="E183" s="1807" t="s">
        <v>1626</v>
      </c>
      <c r="F183" s="1812">
        <f>F181/F182</f>
        <v>14750.677917253746</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5" customFormat="1" ht="12.2" customHeight="1" x14ac:dyDescent="0.2">
      <c r="A186" s="1945" t="s">
        <v>2061</v>
      </c>
      <c r="B186" s="1946"/>
      <c r="C186" s="1947"/>
      <c r="D186" s="1946"/>
      <c r="E186" s="1947"/>
      <c r="F186" s="1946"/>
      <c r="G186" s="1946"/>
    </row>
    <row r="187" spans="1:7" s="1945" customFormat="1" ht="12.2" customHeight="1" x14ac:dyDescent="0.2">
      <c r="A187" s="1948" t="s">
        <v>2062</v>
      </c>
      <c r="C187" s="1947"/>
      <c r="D187" s="1946"/>
      <c r="E187" s="1947"/>
      <c r="F187" s="1946"/>
      <c r="G187" s="1946"/>
    </row>
    <row r="188" spans="1:7" ht="12" customHeight="1" x14ac:dyDescent="0.2">
      <c r="C188" s="950"/>
      <c r="D188" s="931"/>
      <c r="E188" s="950"/>
      <c r="F188" s="931"/>
      <c r="G188" s="931"/>
    </row>
    <row r="189" spans="1:7" x14ac:dyDescent="0.2">
      <c r="A189" s="1949" t="s">
        <v>2060</v>
      </c>
      <c r="B189" s="1950"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1936</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316" t="s">
        <v>1921</v>
      </c>
      <c r="B4" s="2317"/>
      <c r="C4" s="2317"/>
      <c r="D4" s="2317"/>
      <c r="E4" s="2317"/>
      <c r="F4" s="2317"/>
      <c r="G4" s="2318"/>
    </row>
    <row r="5" spans="1:7" x14ac:dyDescent="0.25">
      <c r="A5" s="2319"/>
      <c r="B5" s="2320"/>
      <c r="C5" s="2320"/>
      <c r="D5" s="2320"/>
      <c r="E5" s="2320"/>
      <c r="F5" s="2320"/>
      <c r="G5" s="2321"/>
    </row>
    <row r="6" spans="1:7" ht="18.75" x14ac:dyDescent="0.25">
      <c r="A6" s="1554" t="s">
        <v>1922</v>
      </c>
      <c r="B6" s="1555"/>
      <c r="C6" s="1555"/>
      <c r="D6" s="1555"/>
      <c r="E6" s="1555"/>
      <c r="F6" s="1555"/>
      <c r="G6" s="1556"/>
    </row>
    <row r="7" spans="1:7" ht="30.75" customHeight="1" x14ac:dyDescent="0.25">
      <c r="A7" s="2322" t="s">
        <v>2071</v>
      </c>
      <c r="B7" s="2323"/>
      <c r="C7" s="2323"/>
      <c r="D7" s="2323"/>
      <c r="E7" s="2323"/>
      <c r="F7" s="2323"/>
      <c r="G7" s="2324"/>
    </row>
    <row r="8" spans="1:7" ht="15.75" customHeight="1" x14ac:dyDescent="0.25">
      <c r="A8" s="2325" t="s">
        <v>2020</v>
      </c>
      <c r="B8" s="2326"/>
      <c r="C8" s="2326"/>
      <c r="D8" s="2326"/>
      <c r="E8" s="2326"/>
      <c r="F8" s="2326"/>
      <c r="G8" s="2327"/>
    </row>
    <row r="9" spans="1:7" ht="35.25" customHeight="1" x14ac:dyDescent="0.25">
      <c r="A9" s="2322" t="s">
        <v>2019</v>
      </c>
      <c r="B9" s="2323"/>
      <c r="C9" s="2323"/>
      <c r="D9" s="2323"/>
      <c r="E9" s="2323"/>
      <c r="F9" s="2323"/>
      <c r="G9" s="2324"/>
    </row>
    <row r="10" spans="1:7" ht="15" customHeight="1" x14ac:dyDescent="0.25">
      <c r="A10" s="1557" t="s">
        <v>1923</v>
      </c>
      <c r="B10" s="1558"/>
      <c r="C10" s="1558"/>
      <c r="D10" s="1558"/>
      <c r="E10" s="1558"/>
      <c r="F10" s="1558"/>
      <c r="G10" s="1559"/>
    </row>
    <row r="11" spans="1:7" ht="17.25" customHeight="1" x14ac:dyDescent="0.25">
      <c r="A11" s="2322" t="s">
        <v>1937</v>
      </c>
      <c r="B11" s="2323"/>
      <c r="C11" s="2323"/>
      <c r="D11" s="2323"/>
      <c r="E11" s="2323"/>
      <c r="F11" s="2323"/>
      <c r="G11" s="2324"/>
    </row>
    <row r="12" spans="1:7" ht="15" customHeight="1" x14ac:dyDescent="0.25">
      <c r="A12" s="1557" t="s">
        <v>1928</v>
      </c>
      <c r="B12" s="1558"/>
      <c r="C12" s="1558"/>
      <c r="D12" s="1558"/>
      <c r="E12" s="1558"/>
      <c r="F12" s="1558"/>
      <c r="G12" s="1559"/>
    </row>
    <row r="13" spans="1:7" ht="32.25" customHeight="1" x14ac:dyDescent="0.25">
      <c r="A13" s="2313" t="s">
        <v>1929</v>
      </c>
      <c r="B13" s="2314"/>
      <c r="C13" s="2314"/>
      <c r="D13" s="2314"/>
      <c r="E13" s="2314"/>
      <c r="F13" s="2314"/>
      <c r="G13" s="2315"/>
    </row>
    <row r="14" spans="1:7" x14ac:dyDescent="0.25">
      <c r="A14" s="1681" t="s">
        <v>1938</v>
      </c>
      <c r="B14" s="1682"/>
      <c r="C14" s="1682"/>
      <c r="D14" s="1682"/>
      <c r="E14" s="1682"/>
      <c r="F14" s="1682"/>
      <c r="G14" s="1683"/>
    </row>
    <row r="15" spans="1:7" ht="61.5" customHeight="1" x14ac:dyDescent="0.25">
      <c r="A15" s="1566" t="s">
        <v>1930</v>
      </c>
      <c r="B15" s="1566" t="s">
        <v>1931</v>
      </c>
      <c r="C15" s="1566" t="s">
        <v>1932</v>
      </c>
      <c r="D15" s="1567" t="s">
        <v>1933</v>
      </c>
      <c r="E15" s="1567" t="s">
        <v>1924</v>
      </c>
      <c r="F15" s="1567" t="s">
        <v>1934</v>
      </c>
      <c r="G15" s="1567" t="s">
        <v>1935</v>
      </c>
    </row>
    <row r="16" spans="1:7" x14ac:dyDescent="0.25">
      <c r="A16" s="1668" t="s">
        <v>1939</v>
      </c>
      <c r="B16" s="1669" t="s">
        <v>1927</v>
      </c>
      <c r="C16" s="1670" t="s">
        <v>1925</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85" t="s">
        <v>2192</v>
      </c>
      <c r="B17" s="1986" t="s">
        <v>2207</v>
      </c>
      <c r="C17" s="1987" t="s">
        <v>2175</v>
      </c>
      <c r="D17" s="1865">
        <v>43950.01</v>
      </c>
      <c r="E17" s="1560">
        <f t="shared" ref="E17:E141" si="1">IF(D17&lt;=25000,D17,IF(D17&gt;25000,25000,0))</f>
        <v>25000</v>
      </c>
      <c r="F17" s="1813">
        <f t="shared" si="0"/>
        <v>25000</v>
      </c>
      <c r="G17" s="1814">
        <f>IF(F17=0,0,D17-F17)</f>
        <v>18950.010000000002</v>
      </c>
      <c r="H17" s="1667"/>
    </row>
    <row r="18" spans="1:8" x14ac:dyDescent="0.25">
      <c r="A18" s="1985" t="s">
        <v>2193</v>
      </c>
      <c r="B18" s="1986" t="s">
        <v>2213</v>
      </c>
      <c r="C18" s="1987" t="s">
        <v>2176</v>
      </c>
      <c r="D18" s="1865">
        <v>1263377.8500000001</v>
      </c>
      <c r="E18" s="1560">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985" t="s">
        <v>2194</v>
      </c>
      <c r="B19" s="1986" t="s">
        <v>2214</v>
      </c>
      <c r="C19" s="1987" t="s">
        <v>2195</v>
      </c>
      <c r="D19" s="1865">
        <v>41506</v>
      </c>
      <c r="E19" s="1560">
        <f t="shared" si="2"/>
        <v>25000</v>
      </c>
      <c r="F19" s="1813">
        <f t="shared" si="3"/>
        <v>25000</v>
      </c>
      <c r="G19" s="1814">
        <f t="shared" si="4"/>
        <v>16506</v>
      </c>
    </row>
    <row r="20" spans="1:8" x14ac:dyDescent="0.25">
      <c r="A20" s="1985" t="s">
        <v>2196</v>
      </c>
      <c r="B20" s="1986" t="s">
        <v>2208</v>
      </c>
      <c r="C20" s="1987" t="s">
        <v>2177</v>
      </c>
      <c r="D20" s="1865">
        <v>121076.28</v>
      </c>
      <c r="E20" s="1560">
        <f t="shared" si="2"/>
        <v>25000</v>
      </c>
      <c r="F20" s="1813">
        <f t="shared" si="3"/>
        <v>25000</v>
      </c>
      <c r="G20" s="1814">
        <f t="shared" si="4"/>
        <v>96076.28</v>
      </c>
    </row>
    <row r="21" spans="1:8" x14ac:dyDescent="0.25">
      <c r="A21" s="1985" t="s">
        <v>2197</v>
      </c>
      <c r="B21" s="1986" t="s">
        <v>2215</v>
      </c>
      <c r="C21" s="1987" t="s">
        <v>2178</v>
      </c>
      <c r="D21" s="1865">
        <v>56848.52</v>
      </c>
      <c r="E21" s="1560">
        <f t="shared" si="2"/>
        <v>25000</v>
      </c>
      <c r="F21" s="1813">
        <f t="shared" si="3"/>
        <v>25000</v>
      </c>
      <c r="G21" s="1814">
        <f t="shared" si="4"/>
        <v>31848.519999999997</v>
      </c>
    </row>
    <row r="22" spans="1:8" x14ac:dyDescent="0.25">
      <c r="A22" s="1985" t="s">
        <v>2198</v>
      </c>
      <c r="B22" s="1986" t="s">
        <v>2214</v>
      </c>
      <c r="C22" s="1987" t="s">
        <v>2199</v>
      </c>
      <c r="D22" s="1865">
        <v>45350</v>
      </c>
      <c r="E22" s="1560">
        <f t="shared" si="2"/>
        <v>25000</v>
      </c>
      <c r="F22" s="1813">
        <f t="shared" si="3"/>
        <v>25000</v>
      </c>
      <c r="G22" s="1814">
        <f t="shared" si="4"/>
        <v>20350</v>
      </c>
    </row>
    <row r="23" spans="1:8" x14ac:dyDescent="0.25">
      <c r="A23" s="1985" t="s">
        <v>2200</v>
      </c>
      <c r="B23" s="1986" t="s">
        <v>2209</v>
      </c>
      <c r="C23" s="1987" t="s">
        <v>2179</v>
      </c>
      <c r="D23" s="1865">
        <v>515021.75</v>
      </c>
      <c r="E23" s="1560">
        <f t="shared" si="2"/>
        <v>25000</v>
      </c>
      <c r="F23" s="1813">
        <f t="shared" si="3"/>
        <v>25000</v>
      </c>
      <c r="G23" s="1814">
        <f t="shared" si="4"/>
        <v>490021.75</v>
      </c>
    </row>
    <row r="24" spans="1:8" x14ac:dyDescent="0.25">
      <c r="A24" s="1985" t="s">
        <v>2201</v>
      </c>
      <c r="B24" s="1986" t="s">
        <v>2216</v>
      </c>
      <c r="C24" s="1987" t="s">
        <v>2180</v>
      </c>
      <c r="D24" s="1865">
        <v>123284.95</v>
      </c>
      <c r="E24" s="1560">
        <f t="shared" si="2"/>
        <v>25000</v>
      </c>
      <c r="F24" s="1813">
        <f t="shared" si="3"/>
        <v>25000</v>
      </c>
      <c r="G24" s="1814">
        <f t="shared" si="4"/>
        <v>98284.95</v>
      </c>
    </row>
    <row r="25" spans="1:8" x14ac:dyDescent="0.25">
      <c r="A25" s="1985" t="s">
        <v>2202</v>
      </c>
      <c r="B25" s="1986" t="s">
        <v>2217</v>
      </c>
      <c r="C25" s="1987" t="s">
        <v>2181</v>
      </c>
      <c r="D25" s="1865">
        <v>47400</v>
      </c>
      <c r="E25" s="1560">
        <f t="shared" si="2"/>
        <v>25000</v>
      </c>
      <c r="F25" s="1813">
        <f t="shared" si="3"/>
        <v>25000</v>
      </c>
      <c r="G25" s="1814">
        <f t="shared" si="4"/>
        <v>22400</v>
      </c>
    </row>
    <row r="26" spans="1:8" x14ac:dyDescent="0.25">
      <c r="A26" s="1985" t="s">
        <v>2203</v>
      </c>
      <c r="B26" s="1986" t="s">
        <v>2210</v>
      </c>
      <c r="C26" s="1987" t="s">
        <v>2182</v>
      </c>
      <c r="D26" s="1865">
        <v>1603669.84</v>
      </c>
      <c r="E26" s="1560">
        <f t="shared" si="2"/>
        <v>25000</v>
      </c>
      <c r="F26" s="1813">
        <f t="shared" si="3"/>
        <v>25000</v>
      </c>
      <c r="G26" s="1814">
        <f t="shared" si="4"/>
        <v>1578669.84</v>
      </c>
    </row>
    <row r="27" spans="1:8" x14ac:dyDescent="0.25">
      <c r="A27" s="1985" t="s">
        <v>2204</v>
      </c>
      <c r="B27" s="1986" t="s">
        <v>2207</v>
      </c>
      <c r="C27" s="1987" t="s">
        <v>2183</v>
      </c>
      <c r="D27" s="1865">
        <v>91874.03</v>
      </c>
      <c r="E27" s="1560">
        <f t="shared" si="2"/>
        <v>25000</v>
      </c>
      <c r="F27" s="1813">
        <f t="shared" si="3"/>
        <v>25000</v>
      </c>
      <c r="G27" s="1814">
        <f t="shared" si="4"/>
        <v>66874.03</v>
      </c>
    </row>
    <row r="28" spans="1:8" x14ac:dyDescent="0.25">
      <c r="A28" s="1985" t="s">
        <v>2205</v>
      </c>
      <c r="B28" s="1986" t="s">
        <v>2211</v>
      </c>
      <c r="C28" s="1987" t="s">
        <v>2206</v>
      </c>
      <c r="D28" s="1865">
        <v>114265.93</v>
      </c>
      <c r="E28" s="1560">
        <f t="shared" si="2"/>
        <v>25000</v>
      </c>
      <c r="F28" s="1813">
        <f t="shared" si="3"/>
        <v>25000</v>
      </c>
      <c r="G28" s="1814">
        <f t="shared" si="4"/>
        <v>89265.93</v>
      </c>
    </row>
    <row r="29" spans="1:8" x14ac:dyDescent="0.25">
      <c r="A29" s="1673"/>
      <c r="B29" s="1866"/>
      <c r="C29" s="1674"/>
      <c r="D29" s="1865"/>
      <c r="E29" s="1560">
        <f t="shared" si="2"/>
        <v>0</v>
      </c>
      <c r="F29" s="1813">
        <f t="shared" si="3"/>
        <v>0</v>
      </c>
      <c r="G29" s="1814">
        <f t="shared" si="4"/>
        <v>0</v>
      </c>
    </row>
    <row r="30" spans="1:8" x14ac:dyDescent="0.25">
      <c r="A30" s="1673"/>
      <c r="B30" s="1866"/>
      <c r="C30" s="1674"/>
      <c r="D30" s="1865"/>
      <c r="E30" s="1560">
        <f t="shared" si="2"/>
        <v>0</v>
      </c>
      <c r="F30" s="1813">
        <f t="shared" si="3"/>
        <v>0</v>
      </c>
      <c r="G30" s="1814">
        <f t="shared" si="4"/>
        <v>0</v>
      </c>
    </row>
    <row r="31" spans="1:8" x14ac:dyDescent="0.25">
      <c r="A31" s="1673"/>
      <c r="B31" s="1866"/>
      <c r="C31" s="1674"/>
      <c r="D31" s="1865"/>
      <c r="E31" s="1560">
        <f t="shared" si="2"/>
        <v>0</v>
      </c>
      <c r="F31" s="1813">
        <f t="shared" si="3"/>
        <v>0</v>
      </c>
      <c r="G31" s="1814">
        <f t="shared" si="4"/>
        <v>0</v>
      </c>
    </row>
    <row r="32" spans="1:8" x14ac:dyDescent="0.25">
      <c r="A32" s="1673"/>
      <c r="B32" s="1866"/>
      <c r="C32" s="1674"/>
      <c r="D32" s="1865"/>
      <c r="E32" s="1560">
        <f t="shared" si="2"/>
        <v>0</v>
      </c>
      <c r="F32" s="1813">
        <f t="shared" si="3"/>
        <v>0</v>
      </c>
      <c r="G32" s="1814">
        <f t="shared" si="4"/>
        <v>0</v>
      </c>
    </row>
    <row r="33" spans="1:7" x14ac:dyDescent="0.25">
      <c r="A33" s="1673"/>
      <c r="B33" s="1866"/>
      <c r="C33" s="1674"/>
      <c r="D33" s="1865"/>
      <c r="E33" s="1560">
        <f t="shared" si="2"/>
        <v>0</v>
      </c>
      <c r="F33" s="1813">
        <f t="shared" si="3"/>
        <v>0</v>
      </c>
      <c r="G33" s="1814">
        <f t="shared" si="4"/>
        <v>0</v>
      </c>
    </row>
    <row r="34" spans="1:7" x14ac:dyDescent="0.25">
      <c r="A34" s="1673"/>
      <c r="B34" s="1866"/>
      <c r="C34" s="1674"/>
      <c r="D34" s="1865"/>
      <c r="E34" s="1560">
        <f t="shared" si="2"/>
        <v>0</v>
      </c>
      <c r="F34" s="1813">
        <f t="shared" si="3"/>
        <v>0</v>
      </c>
      <c r="G34" s="1814">
        <f t="shared" si="4"/>
        <v>0</v>
      </c>
    </row>
    <row r="35" spans="1:7" x14ac:dyDescent="0.25">
      <c r="A35" s="1673"/>
      <c r="B35" s="1866"/>
      <c r="C35" s="1674"/>
      <c r="D35" s="1865"/>
      <c r="E35" s="1560">
        <f t="shared" si="2"/>
        <v>0</v>
      </c>
      <c r="F35" s="1813">
        <f t="shared" si="3"/>
        <v>0</v>
      </c>
      <c r="G35" s="1814">
        <f t="shared" si="4"/>
        <v>0</v>
      </c>
    </row>
    <row r="36" spans="1:7" x14ac:dyDescent="0.25">
      <c r="A36" s="1673"/>
      <c r="B36" s="1866"/>
      <c r="C36" s="1674"/>
      <c r="D36" s="1865"/>
      <c r="E36" s="1560">
        <f t="shared" si="2"/>
        <v>0</v>
      </c>
      <c r="F36" s="1813">
        <f t="shared" si="3"/>
        <v>0</v>
      </c>
      <c r="G36" s="1814">
        <f t="shared" si="4"/>
        <v>0</v>
      </c>
    </row>
    <row r="37" spans="1:7" x14ac:dyDescent="0.25">
      <c r="A37" s="1673"/>
      <c r="B37" s="1866"/>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x14ac:dyDescent="0.25">
      <c r="A41" s="1673"/>
      <c r="B41" s="1687"/>
      <c r="C41" s="1674"/>
      <c r="D41" s="1865"/>
      <c r="E41" s="1560">
        <f t="shared" si="2"/>
        <v>0</v>
      </c>
      <c r="F41" s="1813">
        <f t="shared" si="3"/>
        <v>0</v>
      </c>
      <c r="G41" s="1814">
        <f t="shared" si="4"/>
        <v>0</v>
      </c>
    </row>
    <row r="42" spans="1:7" x14ac:dyDescent="0.25">
      <c r="A42" s="1673"/>
      <c r="B42" s="1687"/>
      <c r="C42" s="1674"/>
      <c r="D42" s="1865"/>
      <c r="E42" s="1560">
        <f t="shared" si="2"/>
        <v>0</v>
      </c>
      <c r="F42" s="1813">
        <f t="shared" si="3"/>
        <v>0</v>
      </c>
      <c r="G42" s="1814">
        <f t="shared" si="4"/>
        <v>0</v>
      </c>
    </row>
    <row r="43" spans="1:7" x14ac:dyDescent="0.25">
      <c r="A43" s="1673"/>
      <c r="B43" s="1687"/>
      <c r="C43" s="1674"/>
      <c r="D43" s="1865"/>
      <c r="E43" s="1560">
        <f t="shared" si="2"/>
        <v>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x14ac:dyDescent="0.25">
      <c r="A45" s="1673"/>
      <c r="B45" s="1687"/>
      <c r="C45" s="1674"/>
      <c r="D45" s="1865"/>
      <c r="E45" s="1560">
        <f t="shared" si="2"/>
        <v>0</v>
      </c>
      <c r="F45" s="1813">
        <f t="shared" si="3"/>
        <v>0</v>
      </c>
      <c r="G45" s="1814">
        <f t="shared" si="4"/>
        <v>0</v>
      </c>
    </row>
    <row r="46" spans="1:7" x14ac:dyDescent="0.25">
      <c r="A46" s="1673"/>
      <c r="B46" s="1687"/>
      <c r="C46" s="1674"/>
      <c r="D46" s="1865"/>
      <c r="E46" s="1560">
        <f t="shared" si="2"/>
        <v>0</v>
      </c>
      <c r="F46" s="1813">
        <f t="shared" si="3"/>
        <v>0</v>
      </c>
      <c r="G46" s="1814">
        <f t="shared" si="4"/>
        <v>0</v>
      </c>
    </row>
    <row r="47" spans="1:7" x14ac:dyDescent="0.25">
      <c r="A47" s="1673"/>
      <c r="B47" s="1687"/>
      <c r="C47" s="1674"/>
      <c r="D47" s="1865"/>
      <c r="E47" s="1560">
        <f t="shared" si="2"/>
        <v>0</v>
      </c>
      <c r="F47" s="1813">
        <f t="shared" si="3"/>
        <v>0</v>
      </c>
      <c r="G47" s="1814">
        <f t="shared" si="4"/>
        <v>0</v>
      </c>
    </row>
    <row r="48" spans="1:7" x14ac:dyDescent="0.25">
      <c r="A48" s="1673"/>
      <c r="B48" s="1687"/>
      <c r="C48" s="1674"/>
      <c r="D48" s="1865"/>
      <c r="E48" s="1560">
        <f t="shared" si="2"/>
        <v>0</v>
      </c>
      <c r="F48" s="1813">
        <f t="shared" si="3"/>
        <v>0</v>
      </c>
      <c r="G48" s="1814">
        <f t="shared" si="4"/>
        <v>0</v>
      </c>
    </row>
    <row r="49" spans="1:7" x14ac:dyDescent="0.25">
      <c r="A49" s="1673"/>
      <c r="B49" s="1687"/>
      <c r="C49" s="1674"/>
      <c r="D49" s="1865"/>
      <c r="E49" s="1560">
        <f t="shared" si="2"/>
        <v>0</v>
      </c>
      <c r="F49" s="1813">
        <f t="shared" si="3"/>
        <v>0</v>
      </c>
      <c r="G49" s="1814">
        <f t="shared" si="4"/>
        <v>0</v>
      </c>
    </row>
    <row r="50" spans="1:7" x14ac:dyDescent="0.25">
      <c r="A50" s="1673"/>
      <c r="B50" s="1687"/>
      <c r="C50" s="1674"/>
      <c r="D50" s="1865"/>
      <c r="E50" s="1560">
        <f t="shared" si="2"/>
        <v>0</v>
      </c>
      <c r="F50" s="1813">
        <f t="shared" si="3"/>
        <v>0</v>
      </c>
      <c r="G50" s="1814">
        <f t="shared" si="4"/>
        <v>0</v>
      </c>
    </row>
    <row r="51" spans="1:7" x14ac:dyDescent="0.25">
      <c r="A51" s="1673"/>
      <c r="B51" s="1687"/>
      <c r="C51" s="1674"/>
      <c r="D51" s="1865"/>
      <c r="E51" s="1560">
        <f t="shared" si="2"/>
        <v>0</v>
      </c>
      <c r="F51" s="1813">
        <f t="shared" si="3"/>
        <v>0</v>
      </c>
      <c r="G51" s="1814">
        <f t="shared" si="4"/>
        <v>0</v>
      </c>
    </row>
    <row r="52" spans="1:7" x14ac:dyDescent="0.25">
      <c r="A52" s="1673"/>
      <c r="B52" s="1687"/>
      <c r="C52" s="1674"/>
      <c r="D52" s="1865"/>
      <c r="E52" s="1560">
        <f t="shared" si="2"/>
        <v>0</v>
      </c>
      <c r="F52" s="1813">
        <f t="shared" si="3"/>
        <v>0</v>
      </c>
      <c r="G52" s="1814">
        <f t="shared" si="4"/>
        <v>0</v>
      </c>
    </row>
    <row r="53" spans="1:7" x14ac:dyDescent="0.25">
      <c r="A53" s="1673"/>
      <c r="B53" s="1687"/>
      <c r="C53" s="1674"/>
      <c r="D53" s="1865"/>
      <c r="E53" s="1560">
        <f t="shared" si="2"/>
        <v>0</v>
      </c>
      <c r="F53" s="1813">
        <f t="shared" si="3"/>
        <v>0</v>
      </c>
      <c r="G53" s="1814">
        <f t="shared" si="4"/>
        <v>0</v>
      </c>
    </row>
    <row r="54" spans="1:7" x14ac:dyDescent="0.25">
      <c r="A54" s="1673"/>
      <c r="B54" s="1687"/>
      <c r="C54" s="1674"/>
      <c r="D54" s="1865"/>
      <c r="E54" s="1560">
        <f t="shared" si="2"/>
        <v>0</v>
      </c>
      <c r="F54" s="1813">
        <f t="shared" si="3"/>
        <v>0</v>
      </c>
      <c r="G54" s="1814">
        <f t="shared" si="4"/>
        <v>0</v>
      </c>
    </row>
    <row r="55" spans="1:7" x14ac:dyDescent="0.25">
      <c r="A55" s="1673"/>
      <c r="B55" s="1687"/>
      <c r="C55" s="1674"/>
      <c r="D55" s="1865"/>
      <c r="E55" s="1560">
        <f t="shared" si="2"/>
        <v>0</v>
      </c>
      <c r="F55" s="1813">
        <f t="shared" si="3"/>
        <v>0</v>
      </c>
      <c r="G55" s="1814">
        <f t="shared" si="4"/>
        <v>0</v>
      </c>
    </row>
    <row r="56" spans="1:7" x14ac:dyDescent="0.25">
      <c r="A56" s="1673"/>
      <c r="B56" s="1687"/>
      <c r="C56" s="1674"/>
      <c r="D56" s="1865"/>
      <c r="E56" s="1560">
        <f t="shared" si="2"/>
        <v>0</v>
      </c>
      <c r="F56" s="1813">
        <f t="shared" si="3"/>
        <v>0</v>
      </c>
      <c r="G56" s="1814">
        <f t="shared" si="4"/>
        <v>0</v>
      </c>
    </row>
    <row r="57" spans="1:7" x14ac:dyDescent="0.25">
      <c r="A57" s="1673"/>
      <c r="B57" s="1687"/>
      <c r="C57" s="1674"/>
      <c r="D57" s="1865"/>
      <c r="E57" s="1560">
        <f t="shared" si="2"/>
        <v>0</v>
      </c>
      <c r="F57" s="1813">
        <f t="shared" si="3"/>
        <v>0</v>
      </c>
      <c r="G57" s="1814">
        <f t="shared" si="4"/>
        <v>0</v>
      </c>
    </row>
    <row r="58" spans="1:7" x14ac:dyDescent="0.25">
      <c r="A58" s="1673"/>
      <c r="B58" s="1687"/>
      <c r="C58" s="1674"/>
      <c r="D58" s="1865"/>
      <c r="E58" s="1560">
        <f t="shared" si="2"/>
        <v>0</v>
      </c>
      <c r="F58" s="1813">
        <f t="shared" si="3"/>
        <v>0</v>
      </c>
      <c r="G58" s="1814">
        <f t="shared" si="4"/>
        <v>0</v>
      </c>
    </row>
    <row r="59" spans="1:7" x14ac:dyDescent="0.25">
      <c r="A59" s="1673"/>
      <c r="B59" s="1687"/>
      <c r="C59" s="1674"/>
      <c r="D59" s="1865"/>
      <c r="E59" s="1560">
        <f t="shared" si="2"/>
        <v>0</v>
      </c>
      <c r="F59" s="1813">
        <f t="shared" si="3"/>
        <v>0</v>
      </c>
      <c r="G59" s="1814">
        <f t="shared" si="4"/>
        <v>0</v>
      </c>
    </row>
    <row r="60" spans="1:7" x14ac:dyDescent="0.25">
      <c r="A60" s="1673"/>
      <c r="B60" s="1687"/>
      <c r="C60" s="1674"/>
      <c r="D60" s="1865"/>
      <c r="E60" s="1560">
        <f t="shared" si="2"/>
        <v>0</v>
      </c>
      <c r="F60" s="1813">
        <f t="shared" si="3"/>
        <v>0</v>
      </c>
      <c r="G60" s="1814">
        <f t="shared" si="4"/>
        <v>0</v>
      </c>
    </row>
    <row r="61" spans="1:7" x14ac:dyDescent="0.25">
      <c r="A61" s="1673"/>
      <c r="B61" s="1687"/>
      <c r="C61" s="1674"/>
      <c r="D61" s="1865"/>
      <c r="E61" s="1560">
        <f t="shared" si="2"/>
        <v>0</v>
      </c>
      <c r="F61" s="1813">
        <f t="shared" si="3"/>
        <v>0</v>
      </c>
      <c r="G61" s="1814">
        <f t="shared" si="4"/>
        <v>0</v>
      </c>
    </row>
    <row r="62" spans="1:7" x14ac:dyDescent="0.25">
      <c r="A62" s="1673"/>
      <c r="B62" s="1687"/>
      <c r="C62" s="1674"/>
      <c r="D62" s="1865"/>
      <c r="E62" s="1560">
        <f t="shared" si="2"/>
        <v>0</v>
      </c>
      <c r="F62" s="1813">
        <f t="shared" si="3"/>
        <v>0</v>
      </c>
      <c r="G62" s="1814">
        <f t="shared" si="4"/>
        <v>0</v>
      </c>
    </row>
    <row r="63" spans="1:7" x14ac:dyDescent="0.25">
      <c r="A63" s="1673"/>
      <c r="B63" s="1687"/>
      <c r="C63" s="167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x14ac:dyDescent="0.25">
      <c r="A65" s="1673"/>
      <c r="B65" s="1687"/>
      <c r="C65" s="1674"/>
      <c r="D65" s="1865"/>
      <c r="E65" s="1560">
        <f t="shared" si="2"/>
        <v>0</v>
      </c>
      <c r="F65" s="1813">
        <f t="shared" si="3"/>
        <v>0</v>
      </c>
      <c r="G65" s="1814">
        <f t="shared" si="4"/>
        <v>0</v>
      </c>
    </row>
    <row r="66" spans="1:7" x14ac:dyDescent="0.25">
      <c r="A66" s="1673"/>
      <c r="B66" s="1687"/>
      <c r="C66" s="1674"/>
      <c r="D66" s="1865"/>
      <c r="E66" s="1560">
        <f t="shared" si="2"/>
        <v>0</v>
      </c>
      <c r="F66" s="1813">
        <f t="shared" si="3"/>
        <v>0</v>
      </c>
      <c r="G66" s="1814">
        <f t="shared" si="4"/>
        <v>0</v>
      </c>
    </row>
    <row r="67" spans="1:7" x14ac:dyDescent="0.25">
      <c r="A67" s="1673"/>
      <c r="B67" s="1687"/>
      <c r="C67" s="1674"/>
      <c r="D67" s="1865"/>
      <c r="E67" s="1560">
        <f t="shared" si="2"/>
        <v>0</v>
      </c>
      <c r="F67" s="1813">
        <f t="shared" si="3"/>
        <v>0</v>
      </c>
      <c r="G67" s="1814">
        <f t="shared" si="4"/>
        <v>0</v>
      </c>
    </row>
    <row r="68" spans="1:7" x14ac:dyDescent="0.25">
      <c r="A68" s="1673"/>
      <c r="B68" s="1687"/>
      <c r="C68" s="1674"/>
      <c r="D68" s="1865"/>
      <c r="E68" s="1560">
        <f t="shared" si="2"/>
        <v>0</v>
      </c>
      <c r="F68" s="1813">
        <f t="shared" si="3"/>
        <v>0</v>
      </c>
      <c r="G68" s="1814">
        <f t="shared" si="4"/>
        <v>0</v>
      </c>
    </row>
    <row r="69" spans="1:7" x14ac:dyDescent="0.25">
      <c r="A69" s="1673"/>
      <c r="B69" s="1687"/>
      <c r="C69" s="1674"/>
      <c r="D69" s="1865"/>
      <c r="E69" s="1560">
        <f t="shared" si="2"/>
        <v>0</v>
      </c>
      <c r="F69" s="1813">
        <f t="shared" si="3"/>
        <v>0</v>
      </c>
      <c r="G69" s="1814">
        <f t="shared" si="4"/>
        <v>0</v>
      </c>
    </row>
    <row r="70" spans="1:7" x14ac:dyDescent="0.25">
      <c r="A70" s="1673"/>
      <c r="B70" s="1687"/>
      <c r="C70" s="1674"/>
      <c r="D70" s="1865"/>
      <c r="E70" s="1560">
        <f t="shared" si="2"/>
        <v>0</v>
      </c>
      <c r="F70" s="1813">
        <f t="shared" si="3"/>
        <v>0</v>
      </c>
      <c r="G70" s="1814">
        <f t="shared" si="4"/>
        <v>0</v>
      </c>
    </row>
    <row r="71" spans="1:7" x14ac:dyDescent="0.25">
      <c r="A71" s="1673"/>
      <c r="B71" s="1687"/>
      <c r="C71" s="1674"/>
      <c r="D71" s="1865"/>
      <c r="E71" s="1560">
        <f t="shared" si="2"/>
        <v>0</v>
      </c>
      <c r="F71" s="1813">
        <f t="shared" si="3"/>
        <v>0</v>
      </c>
      <c r="G71" s="1814">
        <f t="shared" si="4"/>
        <v>0</v>
      </c>
    </row>
    <row r="72" spans="1:7" x14ac:dyDescent="0.25">
      <c r="A72" s="1673"/>
      <c r="B72" s="1687"/>
      <c r="C72" s="1674"/>
      <c r="D72" s="1865"/>
      <c r="E72" s="1560">
        <f t="shared" si="2"/>
        <v>0</v>
      </c>
      <c r="F72" s="1813">
        <f t="shared" si="3"/>
        <v>0</v>
      </c>
      <c r="G72" s="1814">
        <f t="shared" si="4"/>
        <v>0</v>
      </c>
    </row>
    <row r="73" spans="1:7"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5"/>
      <c r="E74" s="1560">
        <f t="shared" si="5"/>
        <v>0</v>
      </c>
      <c r="F74" s="1813">
        <f t="shared" si="6"/>
        <v>0</v>
      </c>
      <c r="G74" s="1814">
        <f t="shared" si="7"/>
        <v>0</v>
      </c>
    </row>
    <row r="75" spans="1:7" x14ac:dyDescent="0.25">
      <c r="A75" s="1673"/>
      <c r="B75" s="1687"/>
      <c r="C75" s="1674"/>
      <c r="D75" s="1865"/>
      <c r="E75" s="1560">
        <f t="shared" si="5"/>
        <v>0</v>
      </c>
      <c r="F75" s="1813">
        <f t="shared" si="6"/>
        <v>0</v>
      </c>
      <c r="G75" s="1814">
        <f t="shared" si="7"/>
        <v>0</v>
      </c>
    </row>
    <row r="76" spans="1:7" x14ac:dyDescent="0.25">
      <c r="A76" s="1673"/>
      <c r="B76" s="1687"/>
      <c r="C76" s="1674"/>
      <c r="D76" s="1865"/>
      <c r="E76" s="1560">
        <f t="shared" si="5"/>
        <v>0</v>
      </c>
      <c r="F76" s="1813">
        <f t="shared" si="6"/>
        <v>0</v>
      </c>
      <c r="G76" s="1814">
        <f t="shared" si="7"/>
        <v>0</v>
      </c>
    </row>
    <row r="77" spans="1:7" x14ac:dyDescent="0.25">
      <c r="A77" s="1673"/>
      <c r="B77" s="1687"/>
      <c r="C77" s="1674"/>
      <c r="D77" s="1865"/>
      <c r="E77" s="1560">
        <f t="shared" si="5"/>
        <v>0</v>
      </c>
      <c r="F77" s="1813">
        <f t="shared" si="6"/>
        <v>0</v>
      </c>
      <c r="G77" s="1814">
        <f t="shared" si="7"/>
        <v>0</v>
      </c>
    </row>
    <row r="78" spans="1:7" x14ac:dyDescent="0.25">
      <c r="A78" s="1673"/>
      <c r="B78" s="1687"/>
      <c r="C78" s="1674"/>
      <c r="D78" s="1865"/>
      <c r="E78" s="1560">
        <f t="shared" si="5"/>
        <v>0</v>
      </c>
      <c r="F78" s="1813">
        <f t="shared" si="6"/>
        <v>0</v>
      </c>
      <c r="G78" s="1814">
        <f t="shared" si="7"/>
        <v>0</v>
      </c>
    </row>
    <row r="79" spans="1:7" x14ac:dyDescent="0.25">
      <c r="A79" s="1673"/>
      <c r="B79" s="1687"/>
      <c r="C79" s="1674"/>
      <c r="D79" s="1865"/>
      <c r="E79" s="1560">
        <f t="shared" si="5"/>
        <v>0</v>
      </c>
      <c r="F79" s="1813">
        <f t="shared" si="6"/>
        <v>0</v>
      </c>
      <c r="G79" s="1814">
        <f t="shared" si="7"/>
        <v>0</v>
      </c>
    </row>
    <row r="80" spans="1:7" x14ac:dyDescent="0.25">
      <c r="A80" s="1673"/>
      <c r="B80" s="1687"/>
      <c r="C80" s="1674"/>
      <c r="D80" s="1865"/>
      <c r="E80" s="1560">
        <f t="shared" si="5"/>
        <v>0</v>
      </c>
      <c r="F80" s="1813">
        <f t="shared" si="6"/>
        <v>0</v>
      </c>
      <c r="G80" s="1814">
        <f t="shared" si="7"/>
        <v>0</v>
      </c>
    </row>
    <row r="81" spans="1:7" x14ac:dyDescent="0.25">
      <c r="A81" s="1673"/>
      <c r="B81" s="1687"/>
      <c r="C81" s="1674"/>
      <c r="D81" s="1865"/>
      <c r="E81" s="1560">
        <f t="shared" si="5"/>
        <v>0</v>
      </c>
      <c r="F81" s="1813">
        <f t="shared" si="6"/>
        <v>0</v>
      </c>
      <c r="G81" s="1814">
        <f t="shared" si="7"/>
        <v>0</v>
      </c>
    </row>
    <row r="82" spans="1:7" x14ac:dyDescent="0.25">
      <c r="A82" s="1673"/>
      <c r="B82" s="1687"/>
      <c r="C82" s="1674"/>
      <c r="D82" s="1865"/>
      <c r="E82" s="1560">
        <f t="shared" si="5"/>
        <v>0</v>
      </c>
      <c r="F82" s="1813">
        <f t="shared" si="6"/>
        <v>0</v>
      </c>
      <c r="G82" s="1814">
        <f t="shared" si="7"/>
        <v>0</v>
      </c>
    </row>
    <row r="83" spans="1:7" x14ac:dyDescent="0.25">
      <c r="A83" s="1673"/>
      <c r="B83" s="1687"/>
      <c r="C83" s="1674"/>
      <c r="D83" s="1865"/>
      <c r="E83" s="1560">
        <f t="shared" si="5"/>
        <v>0</v>
      </c>
      <c r="F83" s="1813">
        <f t="shared" si="6"/>
        <v>0</v>
      </c>
      <c r="G83" s="1814">
        <f t="shared" si="7"/>
        <v>0</v>
      </c>
    </row>
    <row r="84" spans="1:7" x14ac:dyDescent="0.25">
      <c r="A84" s="1673"/>
      <c r="B84" s="1687"/>
      <c r="C84" s="1674"/>
      <c r="D84" s="1865"/>
      <c r="E84" s="1560">
        <f t="shared" si="5"/>
        <v>0</v>
      </c>
      <c r="F84" s="1813">
        <f t="shared" si="6"/>
        <v>0</v>
      </c>
      <c r="G84" s="1814">
        <f t="shared" si="7"/>
        <v>0</v>
      </c>
    </row>
    <row r="85" spans="1:7" x14ac:dyDescent="0.25">
      <c r="A85" s="1673"/>
      <c r="B85" s="1687"/>
      <c r="C85" s="1674"/>
      <c r="D85" s="1865"/>
      <c r="E85" s="1560">
        <f t="shared" si="2"/>
        <v>0</v>
      </c>
      <c r="F85" s="1813">
        <f t="shared" si="3"/>
        <v>0</v>
      </c>
      <c r="G85" s="1814">
        <f t="shared" si="4"/>
        <v>0</v>
      </c>
    </row>
    <row r="86" spans="1:7" x14ac:dyDescent="0.25">
      <c r="A86" s="1673"/>
      <c r="B86" s="1687"/>
      <c r="C86" s="1674"/>
      <c r="D86" s="1865"/>
      <c r="E86" s="1560">
        <f t="shared" si="2"/>
        <v>0</v>
      </c>
      <c r="F86" s="1813">
        <f t="shared" si="3"/>
        <v>0</v>
      </c>
      <c r="G86" s="1814">
        <f t="shared" si="4"/>
        <v>0</v>
      </c>
    </row>
    <row r="87" spans="1:7" x14ac:dyDescent="0.25">
      <c r="A87" s="1673"/>
      <c r="B87" s="1687"/>
      <c r="C87" s="1674"/>
      <c r="D87" s="1865"/>
      <c r="E87" s="1560">
        <f t="shared" si="2"/>
        <v>0</v>
      </c>
      <c r="F87" s="1813">
        <f t="shared" si="3"/>
        <v>0</v>
      </c>
      <c r="G87" s="1814">
        <f t="shared" si="4"/>
        <v>0</v>
      </c>
    </row>
    <row r="88" spans="1:7" x14ac:dyDescent="0.25">
      <c r="A88" s="1673"/>
      <c r="B88" s="1687"/>
      <c r="C88" s="1674"/>
      <c r="D88" s="1865"/>
      <c r="E88" s="1560">
        <f t="shared" si="2"/>
        <v>0</v>
      </c>
      <c r="F88" s="1813">
        <f t="shared" si="3"/>
        <v>0</v>
      </c>
      <c r="G88" s="1814">
        <f t="shared" si="4"/>
        <v>0</v>
      </c>
    </row>
    <row r="89" spans="1:7" x14ac:dyDescent="0.25">
      <c r="A89" s="1673"/>
      <c r="B89" s="1687"/>
      <c r="C89" s="1674"/>
      <c r="D89" s="1865"/>
      <c r="E89" s="1560">
        <f t="shared" si="2"/>
        <v>0</v>
      </c>
      <c r="F89" s="1813">
        <f t="shared" si="3"/>
        <v>0</v>
      </c>
      <c r="G89" s="1814">
        <f t="shared" si="4"/>
        <v>0</v>
      </c>
    </row>
    <row r="90" spans="1:7" x14ac:dyDescent="0.25">
      <c r="A90" s="1673"/>
      <c r="B90" s="1687"/>
      <c r="C90" s="1674"/>
      <c r="D90" s="1865"/>
      <c r="E90" s="1560">
        <f t="shared" si="2"/>
        <v>0</v>
      </c>
      <c r="F90" s="1813">
        <f t="shared" si="3"/>
        <v>0</v>
      </c>
      <c r="G90" s="1814">
        <f t="shared" si="4"/>
        <v>0</v>
      </c>
    </row>
    <row r="91" spans="1:7" x14ac:dyDescent="0.25">
      <c r="A91" s="1673"/>
      <c r="B91" s="1687"/>
      <c r="C91" s="1674"/>
      <c r="D91" s="1865"/>
      <c r="E91" s="1560">
        <f t="shared" si="2"/>
        <v>0</v>
      </c>
      <c r="F91" s="1813">
        <f t="shared" si="3"/>
        <v>0</v>
      </c>
      <c r="G91" s="1814">
        <f t="shared" si="4"/>
        <v>0</v>
      </c>
    </row>
    <row r="92" spans="1:7" x14ac:dyDescent="0.25">
      <c r="A92" s="1673"/>
      <c r="B92" s="1687"/>
      <c r="C92" s="1674"/>
      <c r="D92" s="1865"/>
      <c r="E92" s="1560">
        <f t="shared" si="2"/>
        <v>0</v>
      </c>
      <c r="F92" s="1813">
        <f t="shared" si="3"/>
        <v>0</v>
      </c>
      <c r="G92" s="1814">
        <f t="shared" si="4"/>
        <v>0</v>
      </c>
    </row>
    <row r="93" spans="1:7"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5"/>
      <c r="E94" s="1560">
        <f t="shared" si="2"/>
        <v>0</v>
      </c>
      <c r="F94" s="1813">
        <f t="shared" si="3"/>
        <v>0</v>
      </c>
      <c r="G94" s="1814">
        <f t="shared" si="4"/>
        <v>0</v>
      </c>
    </row>
    <row r="95" spans="1:7"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5"/>
      <c r="E96" s="1560">
        <f t="shared" si="11"/>
        <v>0</v>
      </c>
      <c r="F96" s="1813">
        <f t="shared" si="12"/>
        <v>0</v>
      </c>
      <c r="G96" s="1814">
        <f t="shared" si="13"/>
        <v>0</v>
      </c>
    </row>
    <row r="97" spans="1:7" x14ac:dyDescent="0.25">
      <c r="A97" s="1673"/>
      <c r="B97" s="1687"/>
      <c r="C97" s="1674"/>
      <c r="D97" s="1865"/>
      <c r="E97" s="1560">
        <f t="shared" si="11"/>
        <v>0</v>
      </c>
      <c r="F97" s="1813">
        <f t="shared" si="12"/>
        <v>0</v>
      </c>
      <c r="G97" s="1814">
        <f t="shared" si="13"/>
        <v>0</v>
      </c>
    </row>
    <row r="98" spans="1:7" x14ac:dyDescent="0.25">
      <c r="A98" s="1673"/>
      <c r="B98" s="1687"/>
      <c r="C98" s="1674"/>
      <c r="D98" s="1865"/>
      <c r="E98" s="1560">
        <f t="shared" si="11"/>
        <v>0</v>
      </c>
      <c r="F98" s="1813">
        <f t="shared" si="12"/>
        <v>0</v>
      </c>
      <c r="G98" s="1814">
        <f t="shared" si="13"/>
        <v>0</v>
      </c>
    </row>
    <row r="99" spans="1:7"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5"/>
      <c r="E101" s="1560">
        <f t="shared" si="17"/>
        <v>0</v>
      </c>
      <c r="F101" s="1813">
        <f t="shared" si="18"/>
        <v>0</v>
      </c>
      <c r="G101" s="1814">
        <f t="shared" si="19"/>
        <v>0</v>
      </c>
    </row>
    <row r="102" spans="1:7" x14ac:dyDescent="0.25">
      <c r="A102" s="1673"/>
      <c r="B102" s="1687"/>
      <c r="C102" s="1674"/>
      <c r="D102" s="1865"/>
      <c r="E102" s="1560">
        <f t="shared" si="17"/>
        <v>0</v>
      </c>
      <c r="F102" s="1813">
        <f t="shared" si="18"/>
        <v>0</v>
      </c>
      <c r="G102" s="1814">
        <f t="shared" si="19"/>
        <v>0</v>
      </c>
    </row>
    <row r="103" spans="1:7" x14ac:dyDescent="0.25">
      <c r="A103" s="1673"/>
      <c r="B103" s="1687"/>
      <c r="C103" s="1674"/>
      <c r="D103" s="1865"/>
      <c r="E103" s="1560">
        <f t="shared" si="17"/>
        <v>0</v>
      </c>
      <c r="F103" s="1813">
        <f t="shared" si="18"/>
        <v>0</v>
      </c>
      <c r="G103" s="1814">
        <f t="shared" si="19"/>
        <v>0</v>
      </c>
    </row>
    <row r="104" spans="1:7" x14ac:dyDescent="0.25">
      <c r="A104" s="1673"/>
      <c r="B104" s="1687"/>
      <c r="C104" s="1674"/>
      <c r="D104" s="1865"/>
      <c r="E104" s="1560">
        <f t="shared" si="17"/>
        <v>0</v>
      </c>
      <c r="F104" s="1813">
        <f t="shared" si="18"/>
        <v>0</v>
      </c>
      <c r="G104" s="1814">
        <f t="shared" si="19"/>
        <v>0</v>
      </c>
    </row>
    <row r="105" spans="1:7" x14ac:dyDescent="0.25">
      <c r="A105" s="1673"/>
      <c r="B105" s="1687"/>
      <c r="C105" s="1674"/>
      <c r="D105" s="1865"/>
      <c r="E105" s="1560">
        <f t="shared" si="17"/>
        <v>0</v>
      </c>
      <c r="F105" s="1813">
        <f t="shared" si="18"/>
        <v>0</v>
      </c>
      <c r="G105" s="1814">
        <f t="shared" si="19"/>
        <v>0</v>
      </c>
    </row>
    <row r="106" spans="1:7" x14ac:dyDescent="0.25">
      <c r="A106" s="1673"/>
      <c r="B106" s="1687"/>
      <c r="C106" s="1674"/>
      <c r="D106" s="1865"/>
      <c r="E106" s="1560">
        <f t="shared" si="17"/>
        <v>0</v>
      </c>
      <c r="F106" s="1813">
        <f t="shared" si="18"/>
        <v>0</v>
      </c>
      <c r="G106" s="1814">
        <f t="shared" si="19"/>
        <v>0</v>
      </c>
    </row>
    <row r="107" spans="1:7" x14ac:dyDescent="0.25">
      <c r="A107" s="1673"/>
      <c r="B107" s="1687"/>
      <c r="C107" s="1674"/>
      <c r="D107" s="1865"/>
      <c r="E107" s="1560">
        <f t="shared" si="17"/>
        <v>0</v>
      </c>
      <c r="F107" s="1813">
        <f t="shared" si="18"/>
        <v>0</v>
      </c>
      <c r="G107" s="1814">
        <f t="shared" si="19"/>
        <v>0</v>
      </c>
    </row>
    <row r="108" spans="1:7" x14ac:dyDescent="0.25">
      <c r="A108" s="1673"/>
      <c r="B108" s="1687"/>
      <c r="C108" s="1674"/>
      <c r="D108" s="1865"/>
      <c r="E108" s="1560">
        <f t="shared" si="17"/>
        <v>0</v>
      </c>
      <c r="F108" s="1813">
        <f t="shared" si="18"/>
        <v>0</v>
      </c>
      <c r="G108" s="1814">
        <f t="shared" si="19"/>
        <v>0</v>
      </c>
    </row>
    <row r="109" spans="1:7" x14ac:dyDescent="0.25">
      <c r="A109" s="1673"/>
      <c r="B109" s="1687"/>
      <c r="C109" s="1674"/>
      <c r="D109" s="1865"/>
      <c r="E109" s="1560">
        <f t="shared" si="17"/>
        <v>0</v>
      </c>
      <c r="F109" s="1813">
        <f t="shared" si="18"/>
        <v>0</v>
      </c>
      <c r="G109" s="1814">
        <f t="shared" si="19"/>
        <v>0</v>
      </c>
    </row>
    <row r="110" spans="1:7" x14ac:dyDescent="0.25">
      <c r="A110" s="1673"/>
      <c r="B110" s="1687"/>
      <c r="C110" s="1674"/>
      <c r="D110" s="1865"/>
      <c r="E110" s="1560">
        <f t="shared" si="17"/>
        <v>0</v>
      </c>
      <c r="F110" s="1813">
        <f t="shared" si="18"/>
        <v>0</v>
      </c>
      <c r="G110" s="1814">
        <f t="shared" si="19"/>
        <v>0</v>
      </c>
    </row>
    <row r="111" spans="1:7" x14ac:dyDescent="0.25">
      <c r="A111" s="1673"/>
      <c r="B111" s="1687"/>
      <c r="C111" s="1674"/>
      <c r="D111" s="1865"/>
      <c r="E111" s="1560">
        <f t="shared" si="17"/>
        <v>0</v>
      </c>
      <c r="F111" s="1813">
        <f t="shared" si="18"/>
        <v>0</v>
      </c>
      <c r="G111" s="1814">
        <f t="shared" si="19"/>
        <v>0</v>
      </c>
    </row>
    <row r="112" spans="1:7" x14ac:dyDescent="0.25">
      <c r="A112" s="1673"/>
      <c r="B112" s="1687"/>
      <c r="C112" s="1674"/>
      <c r="D112" s="1865"/>
      <c r="E112" s="1560">
        <f t="shared" si="17"/>
        <v>0</v>
      </c>
      <c r="F112" s="1813">
        <f t="shared" si="18"/>
        <v>0</v>
      </c>
      <c r="G112" s="1814">
        <f t="shared" si="19"/>
        <v>0</v>
      </c>
    </row>
    <row r="113" spans="1:7"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5"/>
      <c r="E114" s="1560">
        <f t="shared" si="20"/>
        <v>0</v>
      </c>
      <c r="F114" s="1813">
        <f t="shared" si="21"/>
        <v>0</v>
      </c>
      <c r="G114" s="1814">
        <f t="shared" si="22"/>
        <v>0</v>
      </c>
    </row>
    <row r="115" spans="1:7" x14ac:dyDescent="0.25">
      <c r="A115" s="1673"/>
      <c r="B115" s="1687"/>
      <c r="C115" s="1674"/>
      <c r="D115" s="1865"/>
      <c r="E115" s="1560">
        <f t="shared" si="20"/>
        <v>0</v>
      </c>
      <c r="F115" s="1813">
        <f t="shared" si="21"/>
        <v>0</v>
      </c>
      <c r="G115" s="1814">
        <f t="shared" si="22"/>
        <v>0</v>
      </c>
    </row>
    <row r="116" spans="1:7" x14ac:dyDescent="0.25">
      <c r="A116" s="1673"/>
      <c r="B116" s="1687"/>
      <c r="C116" s="1674"/>
      <c r="D116" s="1865"/>
      <c r="E116" s="1560">
        <f t="shared" si="20"/>
        <v>0</v>
      </c>
      <c r="F116" s="1813">
        <f t="shared" si="21"/>
        <v>0</v>
      </c>
      <c r="G116" s="1814">
        <f t="shared" si="22"/>
        <v>0</v>
      </c>
    </row>
    <row r="117" spans="1:7" x14ac:dyDescent="0.25">
      <c r="A117" s="1673"/>
      <c r="B117" s="1687"/>
      <c r="C117" s="1674"/>
      <c r="D117" s="1865"/>
      <c r="E117" s="1560">
        <f t="shared" si="20"/>
        <v>0</v>
      </c>
      <c r="F117" s="1813">
        <f t="shared" si="21"/>
        <v>0</v>
      </c>
      <c r="G117" s="1814">
        <f t="shared" si="22"/>
        <v>0</v>
      </c>
    </row>
    <row r="118" spans="1:7" x14ac:dyDescent="0.25">
      <c r="A118" s="1673"/>
      <c r="B118" s="1687"/>
      <c r="C118" s="1674"/>
      <c r="D118" s="1865"/>
      <c r="E118" s="1560">
        <f t="shared" si="20"/>
        <v>0</v>
      </c>
      <c r="F118" s="1813">
        <f t="shared" si="21"/>
        <v>0</v>
      </c>
      <c r="G118" s="1814">
        <f t="shared" si="22"/>
        <v>0</v>
      </c>
    </row>
    <row r="119" spans="1:7"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4067625.16</v>
      </c>
      <c r="E141" s="1561">
        <f t="shared" si="1"/>
        <v>25000</v>
      </c>
      <c r="F141" s="1815">
        <f>SUM(F17:F140)</f>
        <v>275000</v>
      </c>
      <c r="G141" s="1816">
        <f>SUM(G17:G140)</f>
        <v>2529247.31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F11" sqref="F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8" t="s">
        <v>1778</v>
      </c>
      <c r="B5" s="2329"/>
      <c r="C5" s="2329"/>
      <c r="D5" s="2329"/>
      <c r="E5" s="2329"/>
      <c r="F5" s="2329"/>
      <c r="G5" s="2330"/>
      <c r="H5" s="252"/>
      <c r="I5" s="610"/>
    </row>
    <row r="6" spans="1:9" s="669" customFormat="1" x14ac:dyDescent="0.2">
      <c r="A6" s="1657"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369140</v>
      </c>
      <c r="F10" s="975"/>
      <c r="G10" s="976"/>
      <c r="H10" s="162"/>
      <c r="I10" s="162"/>
    </row>
    <row r="11" spans="1:9" s="669" customFormat="1" ht="22.5" customHeight="1" x14ac:dyDescent="0.2">
      <c r="A11" s="2333" t="s">
        <v>1941</v>
      </c>
      <c r="B11" s="2334"/>
      <c r="C11" s="2334"/>
      <c r="D11" s="2335"/>
      <c r="E11" s="978">
        <f>6590+39829</f>
        <v>46419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8" t="s">
        <v>553</v>
      </c>
      <c r="E17" s="1659"/>
      <c r="F17" s="1658" t="s">
        <v>453</v>
      </c>
      <c r="G17" s="1660"/>
      <c r="H17" s="162"/>
      <c r="I17" s="162"/>
    </row>
    <row r="18" spans="1:9" s="259" customFormat="1" ht="11.25" x14ac:dyDescent="0.2">
      <c r="A18" s="989"/>
      <c r="C18" s="990" t="s">
        <v>454</v>
      </c>
      <c r="D18" s="1661" t="s">
        <v>455</v>
      </c>
      <c r="E18" s="1661" t="s">
        <v>55</v>
      </c>
      <c r="F18" s="1661" t="s">
        <v>455</v>
      </c>
      <c r="G18" s="1661"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21306981</v>
      </c>
      <c r="F19" s="1820"/>
      <c r="G19" s="1822">
        <f>'Expenditures 15-22'!K33-SUM('Expenditures 15-22'!G33,'Expenditures 15-22'!I33)+'Expenditures 15-22'!D229</f>
        <v>21306981</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2605774</v>
      </c>
      <c r="F21" s="1823"/>
      <c r="G21" s="1826">
        <f>'Expenditures 15-22'!K42-SUM('Expenditures 15-22'!G42,'Expenditures 15-22'!I42)+'Expenditures 15-22'!K120-SUM('Expenditures 15-22'!G120,'Expenditures 15-22'!I120)+'Expenditures 15-22'!K180-SUM('Expenditures 15-22'!G180,'Expenditures 15-22'!I180)+'Expenditures 15-22'!D238</f>
        <v>2605774</v>
      </c>
      <c r="H21" s="988"/>
      <c r="I21" s="162"/>
    </row>
    <row r="22" spans="1:9" s="669" customFormat="1" ht="12" customHeight="1" x14ac:dyDescent="0.2">
      <c r="A22" s="995" t="s">
        <v>585</v>
      </c>
      <c r="B22" s="996"/>
      <c r="C22" s="994">
        <v>2200</v>
      </c>
      <c r="D22" s="1823"/>
      <c r="E22" s="1825">
        <f>'Expenditures 15-22'!K47-SUM('Expenditures 15-22'!G47,'Expenditures 15-22'!I47)+'Expenditures 15-22'!D243</f>
        <v>1343774</v>
      </c>
      <c r="F22" s="1823"/>
      <c r="G22" s="1826">
        <f>'Expenditures 15-22'!K47-SUM('Expenditures 15-22'!G47,'Expenditures 15-22'!I47)+'Expenditures 15-22'!D243</f>
        <v>1343774</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1358568</v>
      </c>
      <c r="F23" s="1823"/>
      <c r="G23" s="1825">
        <f>'Expenditures 15-22'!K53-SUM('Expenditures 15-22'!G53,'Expenditures 15-22'!I53)+'Expenditures 15-22'!D257+'Expenditures 15-22'!K330-SUM('Expenditures 15-22'!G330,'Expenditures 15-22'!I330)</f>
        <v>1358568</v>
      </c>
      <c r="H23" s="988"/>
      <c r="I23" s="162"/>
    </row>
    <row r="24" spans="1:9" s="669" customFormat="1" ht="12" customHeight="1" x14ac:dyDescent="0.2">
      <c r="A24" s="995" t="s">
        <v>587</v>
      </c>
      <c r="B24" s="996"/>
      <c r="C24" s="994">
        <v>2400</v>
      </c>
      <c r="D24" s="1823"/>
      <c r="E24" s="1825">
        <f>'Expenditures 15-22'!K57-SUM('Expenditures 15-22'!G57,'Expenditures 15-22'!I57)+'Expenditures 15-22'!D261</f>
        <v>1515805</v>
      </c>
      <c r="F24" s="1823"/>
      <c r="G24" s="1826">
        <f>'Expenditures 15-22'!K57-SUM('Expenditures 15-22'!G57,'Expenditures 15-22'!I57)+'Expenditures 15-22'!D261</f>
        <v>1515805</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154134</v>
      </c>
      <c r="E26" s="1825">
        <f>'Expenditures 15-22'!K122-SUM('Expenditures 15-22'!G122,'Expenditures 15-22'!I122)+E7</f>
        <v>34304</v>
      </c>
      <c r="F26" s="1825">
        <f>'Expenditures 15-22'!K59-SUM('Expenditures 15-22'!G59,'Expenditures 15-22'!I59)+'Expenditures 15-22'!D263-E7</f>
        <v>154134</v>
      </c>
      <c r="G26" s="1826">
        <f>'Expenditures 15-22'!K122-SUM('Expenditures 15-22'!G122,'Expenditures 15-22'!I122)+E7</f>
        <v>34304</v>
      </c>
      <c r="H26" s="988"/>
      <c r="I26" s="162"/>
    </row>
    <row r="27" spans="1:9" s="669" customFormat="1" ht="12" customHeight="1" x14ac:dyDescent="0.2">
      <c r="A27" s="995" t="s">
        <v>483</v>
      </c>
      <c r="B27" s="998"/>
      <c r="C27" s="994">
        <v>2520</v>
      </c>
      <c r="D27" s="1825">
        <f>'Expenditures 15-22'!K60-SUM('Expenditures 15-22'!G60,'Expenditures 15-22'!I60)+'Expenditures 15-22'!D264-E8</f>
        <v>258122</v>
      </c>
      <c r="E27" s="1825">
        <f>E8</f>
        <v>0</v>
      </c>
      <c r="F27" s="1825">
        <f>'Expenditures 15-22'!K60-SUM('Expenditures 15-22'!G60,'Expenditures 15-22'!I60)+'Expenditures 15-22'!D264-E8</f>
        <v>258122</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3301982</v>
      </c>
      <c r="F28" s="1827">
        <f>'Expenditures 15-22'!K61-SUM('Expenditures 15-22'!G61,'Expenditures 15-22'!I61)+'Expenditures 15-22'!K124-SUM('Expenditures 15-22'!G124,'Expenditures 15-22'!I124)+'Expenditures 15-22'!D266-E9</f>
        <v>3301982</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1643744</v>
      </c>
      <c r="F29" s="1823"/>
      <c r="G29" s="1826">
        <f>'Expenditures 15-22'!K62-SUM('Expenditures 15-22'!G62,'Expenditures 15-22'!I62)+'Expenditures 15-22'!K125-SUM('Expenditures 15-22'!G125,'Expenditures 15-22'!I125)+'Expenditures 15-22'!K182-SUM('Expenditures 15-22'!G182,'Expenditures 15-22'!I182)+'Expenditures 15-22'!D267</f>
        <v>1643744</v>
      </c>
      <c r="H29" s="986"/>
    </row>
    <row r="30" spans="1:9" ht="12" customHeight="1" x14ac:dyDescent="0.2">
      <c r="A30" s="995" t="s">
        <v>102</v>
      </c>
      <c r="B30" s="998"/>
      <c r="C30" s="994">
        <v>2560</v>
      </c>
      <c r="D30" s="1823"/>
      <c r="E30" s="1825">
        <f>'Expenditures 15-22'!K63-SUM('Expenditures 15-22'!G63,'Expenditures 15-22'!I63)+'Expenditures 15-22'!D268-E10</f>
        <v>281291</v>
      </c>
      <c r="F30" s="1823"/>
      <c r="G30" s="1825">
        <f>'Expenditures 15-22'!K63-SUM('Expenditures 15-22'!G63,'Expenditures 15-22'!I63)+'Expenditures 15-22'!D268-E10</f>
        <v>281291</v>
      </c>
    </row>
    <row r="31" spans="1:9" ht="12" customHeight="1" x14ac:dyDescent="0.2">
      <c r="A31" s="995" t="s">
        <v>103</v>
      </c>
      <c r="B31" s="998"/>
      <c r="C31" s="994">
        <v>2570</v>
      </c>
      <c r="D31" s="1825">
        <f>'Expenditures 15-22'!K64-SUM('Expenditures 15-22'!G64,'Expenditures 15-22'!I64)+'Expenditures 15-22'!D269-E12</f>
        <v>3795</v>
      </c>
      <c r="E31" s="1825">
        <f>E12</f>
        <v>0</v>
      </c>
      <c r="F31" s="1825">
        <f>'Expenditures 15-22'!K64-SUM('Expenditures 15-22'!G64,'Expenditures 15-22'!I64)+'Expenditures 15-22'!D269-E12</f>
        <v>3795</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1330</v>
      </c>
      <c r="F35" s="1823"/>
      <c r="G35" s="1825">
        <f>'Expenditures 15-22'!K69-SUM('Expenditures 15-22'!G69,'Expenditures 15-22'!I69)+'Expenditures 15-22'!D274</f>
        <v>1330</v>
      </c>
    </row>
    <row r="36" spans="1:7" ht="12" customHeight="1" x14ac:dyDescent="0.2">
      <c r="A36" s="995" t="s">
        <v>423</v>
      </c>
      <c r="B36" s="998"/>
      <c r="C36" s="994">
        <v>2640</v>
      </c>
      <c r="D36" s="1825">
        <f>'Expenditures 15-22'!K70-SUM('Expenditures 15-22'!G70,'Expenditures 15-22'!I70)+'Expenditures 15-22'!D275-E13</f>
        <v>198383</v>
      </c>
      <c r="E36" s="1825">
        <f>E13</f>
        <v>0</v>
      </c>
      <c r="F36" s="1825">
        <f>'Expenditures 15-22'!K70-SUM('Expenditures 15-22'!G70,'Expenditures 15-22'!I70)+'Expenditures 15-22'!D275-E13</f>
        <v>198383</v>
      </c>
      <c r="G36" s="1825">
        <f>E13</f>
        <v>0</v>
      </c>
    </row>
    <row r="37" spans="1:7" ht="12" customHeight="1" x14ac:dyDescent="0.2">
      <c r="A37" s="995" t="s">
        <v>424</v>
      </c>
      <c r="B37" s="998"/>
      <c r="C37" s="994">
        <v>2660</v>
      </c>
      <c r="D37" s="1825">
        <f>'Expenditures 15-22'!K71-SUM('Expenditures 15-22'!G71,'Expenditures 15-22'!I71)+'Expenditures 15-22'!D276-E14</f>
        <v>49742</v>
      </c>
      <c r="E37" s="1825">
        <f>E14</f>
        <v>0</v>
      </c>
      <c r="F37" s="1825">
        <f>'Expenditures 15-22'!K71-SUM('Expenditures 15-22'!G71,'Expenditures 15-22'!I71)+'Expenditures 15-22'!D276-E14</f>
        <v>49742</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249</v>
      </c>
      <c r="F38" s="1823"/>
      <c r="G38" s="1825">
        <f>'Expenditures 15-22'!K73-SUM('Expenditures 15-22'!G73,'Expenditures 15-22'!I73)+'Expenditures 15-22'!K128-SUM('Expenditures 15-22'!G128,'Expenditures 15-22'!I128)+'Expenditures 15-22'!K183-SUM('Expenditures 15-22'!G183,'Expenditures 15-22'!I183)+'Expenditures 15-22'!D278</f>
        <v>249</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227034</v>
      </c>
      <c r="F39" s="1823"/>
      <c r="G39" s="1825">
        <f>'Expenditures 15-22'!K75-SUM('Expenditures 15-22'!G75,'Expenditures 15-22'!I75)+'Expenditures 15-22'!K130-SUM('Expenditures 15-22'!G130,'Expenditures 15-22'!I130)+'Expenditures 15-22'!K185-SUM('Expenditures 15-22'!G185,'Expenditures 15-22'!I185)+'Expenditures 15-22'!D280</f>
        <v>227034</v>
      </c>
    </row>
    <row r="40" spans="1:7" ht="12" customHeight="1" x14ac:dyDescent="0.2">
      <c r="A40" s="991" t="s">
        <v>1926</v>
      </c>
      <c r="B40" s="992"/>
      <c r="C40" s="994"/>
      <c r="D40" s="1823"/>
      <c r="E40" s="1827">
        <f>-'Contracts Paid in CY 29'!G141</f>
        <v>-2529247.31</v>
      </c>
      <c r="F40" s="1823"/>
      <c r="G40" s="1827">
        <f>-'Contracts Paid in CY 29'!G141</f>
        <v>-2529247.31</v>
      </c>
    </row>
    <row r="41" spans="1:7" ht="12" customHeight="1" x14ac:dyDescent="0.2">
      <c r="A41" s="999" t="s">
        <v>158</v>
      </c>
      <c r="B41" s="1000"/>
      <c r="C41" s="1001"/>
      <c r="D41" s="1827">
        <f>SUM(D19:D39)</f>
        <v>664176</v>
      </c>
      <c r="E41" s="1827">
        <f>SUM(E19:E40)</f>
        <v>31091588.690000001</v>
      </c>
      <c r="F41" s="1827">
        <f>SUM(F19:F39)</f>
        <v>3966158</v>
      </c>
      <c r="G41" s="1827">
        <f>SUM(G19:G40)</f>
        <v>27789606.690000001</v>
      </c>
    </row>
    <row r="42" spans="1:7" x14ac:dyDescent="0.2">
      <c r="A42" s="988"/>
      <c r="B42" s="162"/>
      <c r="C42" s="1002"/>
      <c r="D42" s="2331" t="s">
        <v>543</v>
      </c>
      <c r="E42" s="2332"/>
      <c r="F42" s="1003" t="s">
        <v>544</v>
      </c>
      <c r="G42" s="1004"/>
    </row>
    <row r="43" spans="1:7" ht="12" customHeight="1" x14ac:dyDescent="0.2">
      <c r="A43" s="988"/>
      <c r="B43" s="162"/>
      <c r="C43" s="1002"/>
      <c r="D43" s="1828" t="s">
        <v>493</v>
      </c>
      <c r="E43" s="1829">
        <f>D41</f>
        <v>664176</v>
      </c>
      <c r="F43" s="1828" t="s">
        <v>495</v>
      </c>
      <c r="G43" s="1829">
        <f>F41</f>
        <v>3966158</v>
      </c>
    </row>
    <row r="44" spans="1:7" ht="12" customHeight="1" x14ac:dyDescent="0.2">
      <c r="A44" s="988"/>
      <c r="B44" s="162"/>
      <c r="C44" s="1002"/>
      <c r="D44" s="1828" t="s">
        <v>494</v>
      </c>
      <c r="E44" s="1829">
        <f>E41</f>
        <v>31091588.690000001</v>
      </c>
      <c r="F44" s="1828" t="s">
        <v>494</v>
      </c>
      <c r="G44" s="1829">
        <f>G41</f>
        <v>27789606.690000001</v>
      </c>
    </row>
    <row r="45" spans="1:7" ht="12" customHeight="1" x14ac:dyDescent="0.2">
      <c r="A45" s="988"/>
      <c r="B45" s="162"/>
      <c r="C45" s="162"/>
      <c r="D45" s="1830" t="s">
        <v>1063</v>
      </c>
      <c r="E45" s="1831">
        <f>(E43/E44)</f>
        <v>2.1361919026467089E-2</v>
      </c>
      <c r="F45" s="1830" t="s">
        <v>1063</v>
      </c>
      <c r="G45" s="1831">
        <f>(G43/G44)</f>
        <v>0.14272091160711564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50" t="s">
        <v>1446</v>
      </c>
      <c r="B1" s="2350"/>
      <c r="C1" s="2350"/>
      <c r="D1" s="2350"/>
      <c r="E1" s="2350"/>
      <c r="F1" s="2350"/>
    </row>
    <row r="2" spans="1:10" x14ac:dyDescent="0.2">
      <c r="A2" s="1909" t="s">
        <v>2044</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51" t="s">
        <v>1627</v>
      </c>
      <c r="B5" s="2352"/>
      <c r="C5" s="2353"/>
      <c r="D5" s="2353"/>
      <c r="E5" s="2353"/>
      <c r="F5" s="2353"/>
    </row>
    <row r="6" spans="1:10" ht="12" customHeight="1" x14ac:dyDescent="0.25">
      <c r="A6" s="1872"/>
      <c r="B6" s="1873"/>
      <c r="C6" s="2354" t="str">
        <f>COVER!A17</f>
        <v>CCSD 146 Tinley Park</v>
      </c>
      <c r="D6" s="2354"/>
      <c r="E6" s="2354"/>
      <c r="F6" s="1874"/>
    </row>
    <row r="7" spans="1:10" ht="11.25" customHeight="1" thickBot="1" x14ac:dyDescent="0.3">
      <c r="A7" s="1872"/>
      <c r="B7" s="1873"/>
      <c r="C7" s="2355">
        <f>COVER!A13</f>
        <v>7016146004</v>
      </c>
      <c r="D7" s="2355"/>
      <c r="E7" s="2355"/>
      <c r="F7" s="1874"/>
    </row>
    <row r="8" spans="1:10" ht="25.5" customHeight="1" thickBot="1" x14ac:dyDescent="0.25">
      <c r="A8" s="1915" t="s">
        <v>2021</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t="s">
        <v>2159</v>
      </c>
      <c r="D14" s="1887" t="s">
        <v>2159</v>
      </c>
      <c r="E14" s="1890" t="s">
        <v>2159</v>
      </c>
      <c r="F14" s="1889" t="s">
        <v>2160</v>
      </c>
      <c r="H14" s="1900">
        <f t="shared" si="0"/>
        <v>5</v>
      </c>
      <c r="I14" s="1900">
        <f t="shared" si="1"/>
        <v>5</v>
      </c>
      <c r="J14" s="1900">
        <f t="shared" si="2"/>
        <v>5</v>
      </c>
    </row>
    <row r="15" spans="1:10" ht="12" customHeight="1" x14ac:dyDescent="0.2">
      <c r="A15" s="1885" t="s">
        <v>1454</v>
      </c>
      <c r="B15" s="1886"/>
      <c r="C15" s="1887" t="s">
        <v>2159</v>
      </c>
      <c r="D15" s="1887" t="s">
        <v>2159</v>
      </c>
      <c r="E15" s="1890" t="s">
        <v>2159</v>
      </c>
      <c r="F15" s="1889" t="s">
        <v>2161</v>
      </c>
      <c r="H15" s="1900">
        <f t="shared" si="0"/>
        <v>5</v>
      </c>
      <c r="I15" s="1900">
        <f t="shared" si="1"/>
        <v>5</v>
      </c>
      <c r="J15" s="1900">
        <f t="shared" si="2"/>
        <v>5</v>
      </c>
    </row>
    <row r="16" spans="1:10" ht="12" customHeight="1" x14ac:dyDescent="0.2">
      <c r="A16" s="1885" t="s">
        <v>1455</v>
      </c>
      <c r="B16" s="1886"/>
      <c r="C16" s="1887" t="s">
        <v>2159</v>
      </c>
      <c r="D16" s="1887" t="s">
        <v>2159</v>
      </c>
      <c r="E16" s="1890" t="s">
        <v>2159</v>
      </c>
      <c r="F16" s="1889" t="s">
        <v>2162</v>
      </c>
      <c r="H16" s="1900">
        <f t="shared" si="0"/>
        <v>5</v>
      </c>
      <c r="I16" s="1900">
        <f t="shared" si="1"/>
        <v>5</v>
      </c>
      <c r="J16" s="1900">
        <f t="shared" si="2"/>
        <v>5</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t="s">
        <v>2159</v>
      </c>
      <c r="D18" s="1887" t="s">
        <v>2159</v>
      </c>
      <c r="E18" s="1890" t="s">
        <v>2159</v>
      </c>
      <c r="F18" s="1889" t="s">
        <v>2163</v>
      </c>
      <c r="H18" s="1900">
        <f t="shared" si="0"/>
        <v>5</v>
      </c>
      <c r="I18" s="1900">
        <f t="shared" si="1"/>
        <v>5</v>
      </c>
      <c r="J18" s="1900">
        <f t="shared" si="2"/>
        <v>5</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2159</v>
      </c>
      <c r="D26" s="1887" t="s">
        <v>2159</v>
      </c>
      <c r="E26" s="1890" t="s">
        <v>2159</v>
      </c>
      <c r="F26" s="1889" t="s">
        <v>2164</v>
      </c>
      <c r="H26" s="1900">
        <f t="shared" si="0"/>
        <v>5</v>
      </c>
      <c r="I26" s="1900">
        <f t="shared" si="1"/>
        <v>5</v>
      </c>
      <c r="J26" s="1900">
        <f t="shared" si="2"/>
        <v>5</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t="s">
        <v>2159</v>
      </c>
      <c r="D28" s="1887" t="s">
        <v>2159</v>
      </c>
      <c r="E28" s="1890" t="s">
        <v>2159</v>
      </c>
      <c r="F28" s="1889" t="s">
        <v>2165</v>
      </c>
      <c r="H28" s="1900">
        <f t="shared" si="0"/>
        <v>5</v>
      </c>
      <c r="I28" s="1900">
        <f t="shared" si="1"/>
        <v>5</v>
      </c>
      <c r="J28" s="1900">
        <f t="shared" si="2"/>
        <v>5</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30</v>
      </c>
      <c r="I34" s="1900">
        <f>SUM(I11:I32)</f>
        <v>30</v>
      </c>
      <c r="J34" s="1900">
        <f>SUM(J11:J32)</f>
        <v>30</v>
      </c>
      <c r="K34" s="1900">
        <f>SUM(H34:J34)</f>
        <v>90</v>
      </c>
    </row>
    <row r="35" spans="1:11" ht="12" customHeight="1" x14ac:dyDescent="0.2">
      <c r="A35" s="1893" t="s">
        <v>1459</v>
      </c>
      <c r="B35" s="1894"/>
      <c r="C35" s="2356"/>
      <c r="D35" s="2356"/>
      <c r="E35" s="2356"/>
      <c r="F35" s="2357"/>
    </row>
    <row r="36" spans="1:11" ht="12" customHeight="1" x14ac:dyDescent="0.2">
      <c r="A36" s="2339"/>
      <c r="B36" s="2340"/>
      <c r="C36" s="2340"/>
      <c r="D36" s="2340"/>
      <c r="E36" s="2340"/>
      <c r="F36" s="2341"/>
    </row>
    <row r="37" spans="1:11" ht="12" customHeight="1" x14ac:dyDescent="0.2">
      <c r="A37" s="2339"/>
      <c r="B37" s="2340"/>
      <c r="C37" s="2340"/>
      <c r="D37" s="2340"/>
      <c r="E37" s="2340"/>
      <c r="F37" s="2341"/>
    </row>
    <row r="38" spans="1:11" ht="12" customHeight="1" x14ac:dyDescent="0.2">
      <c r="A38" s="2342"/>
      <c r="B38" s="2343"/>
      <c r="C38" s="2343"/>
      <c r="D38" s="2343"/>
      <c r="E38" s="2343"/>
      <c r="F38" s="2344"/>
    </row>
    <row r="39" spans="1:11" ht="4.5" hidden="1" customHeight="1" x14ac:dyDescent="0.2">
      <c r="A39" s="1895"/>
      <c r="B39" s="1895"/>
      <c r="C39" s="1895"/>
      <c r="D39" s="1895"/>
      <c r="E39" s="1895"/>
      <c r="F39" s="1895"/>
    </row>
    <row r="40" spans="1:11" s="1892" customFormat="1" ht="12" customHeight="1" x14ac:dyDescent="0.25">
      <c r="A40" s="1896" t="s">
        <v>1458</v>
      </c>
      <c r="B40" s="1897"/>
      <c r="C40" s="2345"/>
      <c r="D40" s="2345"/>
      <c r="E40" s="2345"/>
      <c r="F40" s="2346"/>
      <c r="H40" s="1901"/>
      <c r="I40" s="1901"/>
      <c r="J40" s="1901"/>
      <c r="K40" s="1901"/>
    </row>
    <row r="41" spans="1:11" s="1892" customFormat="1" ht="12" customHeight="1" x14ac:dyDescent="0.25">
      <c r="A41" s="2347"/>
      <c r="B41" s="2348"/>
      <c r="C41" s="2348"/>
      <c r="D41" s="2348"/>
      <c r="E41" s="2348"/>
      <c r="F41" s="2349"/>
      <c r="H41" s="1901"/>
      <c r="I41" s="1901"/>
      <c r="J41" s="1901"/>
      <c r="K41" s="1901"/>
    </row>
    <row r="42" spans="1:11" s="1892" customFormat="1" ht="12" customHeight="1" x14ac:dyDescent="0.25">
      <c r="A42" s="2347"/>
      <c r="B42" s="2348"/>
      <c r="C42" s="2348"/>
      <c r="D42" s="2348"/>
      <c r="E42" s="2348"/>
      <c r="F42" s="2349"/>
      <c r="H42" s="1901"/>
      <c r="I42" s="1901"/>
      <c r="J42" s="1901"/>
      <c r="K42" s="1901"/>
    </row>
    <row r="43" spans="1:11" s="1892" customFormat="1" ht="15" x14ac:dyDescent="0.25">
      <c r="A43" s="2336"/>
      <c r="B43" s="2337"/>
      <c r="C43" s="2337"/>
      <c r="D43" s="2337"/>
      <c r="E43" s="2337"/>
      <c r="F43" s="2338"/>
      <c r="H43" s="1901"/>
      <c r="I43" s="1901"/>
      <c r="J43" s="1901"/>
      <c r="K43" s="1901"/>
    </row>
    <row r="44" spans="1:11" s="1892" customFormat="1" ht="12" hidden="1" customHeight="1" x14ac:dyDescent="0.25">
      <c r="A44" s="2336"/>
      <c r="B44" s="2337"/>
      <c r="C44" s="2337"/>
      <c r="D44" s="2337"/>
      <c r="E44" s="2337"/>
      <c r="F44" s="2338"/>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I16" sqref="I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2"/>
      <c r="C6" s="1662"/>
      <c r="D6" s="1662"/>
      <c r="E6" s="1663"/>
      <c r="F6" s="1016"/>
      <c r="G6" s="1010"/>
      <c r="H6" s="1017" t="s">
        <v>1086</v>
      </c>
      <c r="I6" s="2363" t="str">
        <f>COVER!A17</f>
        <v>CCSD 146 Tinley Park</v>
      </c>
      <c r="J6" s="2364"/>
      <c r="Q6" s="1684"/>
    </row>
    <row r="7" spans="1:17" x14ac:dyDescent="0.2">
      <c r="A7" s="2365" t="s">
        <v>924</v>
      </c>
      <c r="B7" s="2366"/>
      <c r="C7" s="2366"/>
      <c r="D7" s="2366"/>
      <c r="E7" s="2367"/>
      <c r="F7" s="1018"/>
      <c r="G7" s="1010"/>
      <c r="H7" s="1017" t="s">
        <v>390</v>
      </c>
      <c r="I7" s="2368">
        <f>COVER!A13</f>
        <v>7016146004</v>
      </c>
      <c r="J7" s="2368"/>
    </row>
    <row r="8" spans="1:17" ht="8.25" customHeight="1" x14ac:dyDescent="0.2">
      <c r="A8" s="1664"/>
      <c r="B8" s="1665"/>
      <c r="C8" s="1665"/>
      <c r="D8" s="1665"/>
      <c r="E8" s="1666"/>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9" t="s">
        <v>502</v>
      </c>
      <c r="B11" s="2370"/>
      <c r="C11" s="237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413493</v>
      </c>
      <c r="F12" s="1040"/>
      <c r="G12" s="1832">
        <f t="shared" ref="G12:G18" si="0">SUM(E12:F12)</f>
        <v>413493</v>
      </c>
      <c r="H12" s="1041">
        <v>427628</v>
      </c>
      <c r="I12" s="1040"/>
      <c r="J12" s="1832">
        <f t="shared" ref="J12:J18" si="1">SUM(H12:I12)</f>
        <v>427628</v>
      </c>
    </row>
    <row r="13" spans="1:17" ht="15" customHeight="1" x14ac:dyDescent="0.2">
      <c r="A13" s="1036">
        <v>2</v>
      </c>
      <c r="B13" s="1037" t="s">
        <v>44</v>
      </c>
      <c r="C13" s="1038"/>
      <c r="D13" s="1039">
        <v>2330</v>
      </c>
      <c r="E13" s="1832">
        <f>'Expenditures 15-22'!K51</f>
        <v>320193</v>
      </c>
      <c r="F13" s="1040"/>
      <c r="G13" s="1832">
        <f t="shared" si="0"/>
        <v>320193</v>
      </c>
      <c r="H13" s="1041">
        <v>328775</v>
      </c>
      <c r="I13" s="1040"/>
      <c r="J13" s="1832">
        <f t="shared" si="1"/>
        <v>328775</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152170</v>
      </c>
      <c r="F15" s="1832">
        <f>'Expenditures 15-22'!K122</f>
        <v>34304</v>
      </c>
      <c r="G15" s="1832">
        <f t="shared" si="0"/>
        <v>186474</v>
      </c>
      <c r="H15" s="1041">
        <v>161152</v>
      </c>
      <c r="I15" s="1041">
        <v>38912</v>
      </c>
      <c r="J15" s="1832">
        <f t="shared" si="1"/>
        <v>200064</v>
      </c>
    </row>
    <row r="16" spans="1:17" ht="15" customHeight="1" x14ac:dyDescent="0.2">
      <c r="A16" s="1036">
        <v>5</v>
      </c>
      <c r="B16" s="1037" t="s">
        <v>103</v>
      </c>
      <c r="C16" s="1038"/>
      <c r="D16" s="1039">
        <v>2570</v>
      </c>
      <c r="E16" s="1832">
        <f>'Expenditures 15-22'!K64</f>
        <v>3795</v>
      </c>
      <c r="F16" s="1040"/>
      <c r="G16" s="1832">
        <f t="shared" si="0"/>
        <v>3795</v>
      </c>
      <c r="H16" s="1041">
        <v>4000</v>
      </c>
      <c r="I16" s="1040"/>
      <c r="J16" s="1832">
        <f t="shared" si="1"/>
        <v>4000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72" t="s">
        <v>7</v>
      </c>
      <c r="C18" s="2373"/>
      <c r="D18" s="2374"/>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889651</v>
      </c>
      <c r="F19" s="1834">
        <f t="shared" si="2"/>
        <v>34304</v>
      </c>
      <c r="G19" s="1834">
        <f t="shared" si="2"/>
        <v>923955</v>
      </c>
      <c r="H19" s="1834">
        <f t="shared" si="2"/>
        <v>921555</v>
      </c>
      <c r="I19" s="1834">
        <f t="shared" si="2"/>
        <v>38912</v>
      </c>
      <c r="J19" s="1834">
        <f t="shared" si="2"/>
        <v>960467</v>
      </c>
    </row>
    <row r="20" spans="1:10" ht="13.5" thickTop="1" x14ac:dyDescent="0.2">
      <c r="A20" s="1036">
        <v>9</v>
      </c>
      <c r="B20" s="2375" t="s">
        <v>1703</v>
      </c>
      <c r="C20" s="2375"/>
      <c r="D20" s="2376"/>
      <c r="E20" s="1047"/>
      <c r="F20" s="1047"/>
      <c r="G20" s="1047"/>
      <c r="H20" s="1047"/>
      <c r="I20" s="1047"/>
      <c r="J20" s="1835">
        <f>IF(AND(G19&gt;0,J19&gt;0),(((J19-G19)/G19)),"Enter Budget Data")</f>
        <v>3.9517076048075937E-2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81"/>
      <c r="D26" s="2381"/>
      <c r="E26" s="1051"/>
      <c r="F26" s="2380"/>
      <c r="G26" s="2380"/>
    </row>
    <row r="27" spans="1:10" x14ac:dyDescent="0.2">
      <c r="B27" s="1048"/>
      <c r="C27" s="1052" t="s">
        <v>1093</v>
      </c>
      <c r="D27" s="1053"/>
      <c r="E27" s="1054"/>
      <c r="F27" s="2377" t="s">
        <v>1589</v>
      </c>
      <c r="G27" s="2377"/>
    </row>
    <row r="28" spans="1:10" ht="28.5" customHeight="1" x14ac:dyDescent="0.2">
      <c r="B28" s="1048"/>
      <c r="C28" s="2379"/>
      <c r="D28" s="2379"/>
      <c r="E28" s="1055"/>
      <c r="F28" s="2379"/>
      <c r="G28" s="2379"/>
    </row>
    <row r="29" spans="1:10" x14ac:dyDescent="0.2">
      <c r="B29" s="1048"/>
      <c r="C29" s="1056" t="s">
        <v>1642</v>
      </c>
      <c r="E29" s="1057"/>
      <c r="F29" s="2378" t="s">
        <v>1590</v>
      </c>
      <c r="G29" s="237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60" t="s">
        <v>134</v>
      </c>
      <c r="D33" s="2361"/>
      <c r="E33" s="2361"/>
      <c r="F33" s="2361"/>
      <c r="G33" s="2361"/>
      <c r="H33" s="2361"/>
      <c r="I33" s="2361"/>
    </row>
    <row r="34" spans="1:10" ht="10.35" customHeight="1" x14ac:dyDescent="0.2">
      <c r="C34" s="2361"/>
      <c r="D34" s="2361"/>
      <c r="E34" s="2361"/>
      <c r="F34" s="2361"/>
      <c r="G34" s="2361"/>
      <c r="H34" s="2361"/>
      <c r="I34" s="2361"/>
    </row>
    <row r="35" spans="1:10" ht="7.5" customHeight="1" x14ac:dyDescent="0.2">
      <c r="C35" s="1063"/>
    </row>
    <row r="36" spans="1:10" ht="13.5" customHeight="1" x14ac:dyDescent="0.2">
      <c r="B36" s="1062"/>
      <c r="C36" s="2362" t="s">
        <v>1940</v>
      </c>
      <c r="D36" s="2361"/>
      <c r="E36" s="2361"/>
      <c r="F36" s="2361"/>
      <c r="G36" s="2361"/>
      <c r="H36" s="2361"/>
      <c r="I36" s="2361"/>
      <c r="J36" s="1064"/>
    </row>
    <row r="37" spans="1:10" ht="22.5" customHeight="1" x14ac:dyDescent="0.2">
      <c r="C37" s="2361"/>
      <c r="D37" s="2361"/>
      <c r="E37" s="2361"/>
      <c r="F37" s="2361"/>
      <c r="G37" s="2361"/>
      <c r="H37" s="2361"/>
      <c r="I37" s="2361"/>
      <c r="J37" s="1064"/>
    </row>
    <row r="38" spans="1:10" ht="7.5" customHeight="1" x14ac:dyDescent="0.2">
      <c r="C38" s="1063"/>
      <c r="D38" s="1065"/>
      <c r="E38" s="1066"/>
      <c r="F38" s="1067"/>
      <c r="G38" s="1066"/>
    </row>
    <row r="39" spans="1:10" ht="13.5" customHeight="1" x14ac:dyDescent="0.2">
      <c r="B39" s="1062"/>
      <c r="C39" s="2358" t="s">
        <v>937</v>
      </c>
      <c r="D39" s="2359"/>
      <c r="E39" s="2359"/>
      <c r="F39" s="2359"/>
      <c r="G39" s="2359"/>
      <c r="H39" s="2359"/>
      <c r="I39" s="235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9" sqref="B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2169</v>
      </c>
    </row>
    <row r="6" spans="1:2" x14ac:dyDescent="0.2">
      <c r="A6" s="1069">
        <v>2</v>
      </c>
      <c r="B6" s="329" t="s">
        <v>2170</v>
      </c>
    </row>
    <row r="7" spans="1:2" x14ac:dyDescent="0.2">
      <c r="A7" s="1069">
        <v>3</v>
      </c>
      <c r="B7" s="329" t="s">
        <v>2172</v>
      </c>
    </row>
    <row r="8" spans="1:2" x14ac:dyDescent="0.2">
      <c r="A8" s="1069">
        <v>4</v>
      </c>
      <c r="B8" s="329" t="s">
        <v>2173</v>
      </c>
    </row>
    <row r="9" spans="1:2" x14ac:dyDescent="0.2">
      <c r="A9" s="1069">
        <v>5</v>
      </c>
      <c r="B9" s="329" t="s">
        <v>2171</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CCSD 146 Tinley Park</v>
      </c>
    </row>
    <row r="66" spans="1:2" x14ac:dyDescent="0.2">
      <c r="B66" s="1071">
        <f>COVER!A13</f>
        <v>7016146004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82" t="s">
        <v>1784</v>
      </c>
      <c r="B18" s="238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619125</xdr:colOff>
                <xdr:row>4</xdr:row>
                <xdr:rowOff>19050</xdr:rowOff>
              </from>
              <to>
                <xdr:col>1</xdr:col>
                <xdr:colOff>1485900</xdr:colOff>
                <xdr:row>8</xdr:row>
                <xdr:rowOff>76200</xdr:rowOff>
              </to>
            </anchor>
          </objectPr>
        </oleObject>
      </mc:Choice>
      <mc:Fallback>
        <oleObject progId="Acrobat Document" dvAspect="DVASPECT_ICON" shapeId="3788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3" t="s">
        <v>1790</v>
      </c>
      <c r="B1" s="2384"/>
      <c r="C1" s="2384"/>
      <c r="D1" s="2384"/>
      <c r="E1" s="2384"/>
      <c r="F1" s="2385"/>
    </row>
    <row r="2" spans="1:8" ht="45" customHeight="1" x14ac:dyDescent="0.2">
      <c r="A2" s="2393" t="s">
        <v>1791</v>
      </c>
      <c r="B2" s="2394"/>
      <c r="C2" s="2394"/>
      <c r="D2" s="2394"/>
      <c r="E2" s="2394"/>
      <c r="F2" s="2395"/>
      <c r="G2" s="1075"/>
      <c r="H2" s="1075"/>
    </row>
    <row r="3" spans="1:8" ht="57" customHeight="1" x14ac:dyDescent="0.2">
      <c r="A3" s="2396" t="s">
        <v>1786</v>
      </c>
      <c r="B3" s="2397"/>
      <c r="C3" s="2397"/>
      <c r="D3" s="2397"/>
      <c r="E3" s="2397"/>
      <c r="F3" s="2398"/>
      <c r="G3" s="1075"/>
      <c r="H3" s="1075"/>
    </row>
    <row r="4" spans="1:8" ht="14.25" customHeight="1" x14ac:dyDescent="0.2">
      <c r="A4" s="2402" t="s">
        <v>2052</v>
      </c>
      <c r="B4" s="2403"/>
      <c r="C4" s="2403"/>
      <c r="D4" s="2403"/>
      <c r="E4" s="2403"/>
      <c r="F4" s="2404"/>
      <c r="G4" s="1075"/>
      <c r="H4" s="1075"/>
    </row>
    <row r="5" spans="1:8" ht="14.25" customHeight="1" x14ac:dyDescent="0.2">
      <c r="A5" s="2405" t="s">
        <v>2053</v>
      </c>
      <c r="B5" s="2406"/>
      <c r="C5" s="2406"/>
      <c r="D5" s="2406"/>
      <c r="E5" s="2406"/>
      <c r="F5" s="2407"/>
      <c r="G5" s="1075"/>
      <c r="H5" s="1075"/>
    </row>
    <row r="6" spans="1:8" s="1076" customFormat="1" ht="41.25" customHeight="1" x14ac:dyDescent="0.2">
      <c r="A6" s="2399" t="s">
        <v>1792</v>
      </c>
      <c r="B6" s="2400"/>
      <c r="C6" s="2400"/>
      <c r="D6" s="2400"/>
      <c r="E6" s="2400"/>
      <c r="F6" s="240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29130187</v>
      </c>
      <c r="C8" s="1836">
        <f>'Acct Summary 7-8'!D8</f>
        <v>3090743</v>
      </c>
      <c r="D8" s="1836">
        <f>'Acct Summary 7-8'!F8</f>
        <v>3509727</v>
      </c>
      <c r="E8" s="1836">
        <f>'Acct Summary 7-8'!I8</f>
        <v>366654</v>
      </c>
      <c r="F8" s="1836">
        <f>SUM(B8:E8)</f>
        <v>36097311</v>
      </c>
    </row>
    <row r="9" spans="1:8" s="1080" customFormat="1" ht="14.25" customHeight="1" thickBot="1" x14ac:dyDescent="0.25">
      <c r="A9" s="1079" t="s">
        <v>1436</v>
      </c>
      <c r="B9" s="1837">
        <f>'Acct Summary 7-8'!C17</f>
        <v>30180467</v>
      </c>
      <c r="C9" s="1837">
        <f>'Acct Summary 7-8'!D17</f>
        <v>3233346</v>
      </c>
      <c r="D9" s="1837">
        <f>'Acct Summary 7-8'!F17</f>
        <v>1613744</v>
      </c>
      <c r="E9" s="1836"/>
      <c r="F9" s="1836">
        <f>SUM(B9:E9)</f>
        <v>35027557</v>
      </c>
    </row>
    <row r="10" spans="1:8" s="1080" customFormat="1" ht="14.25" thickTop="1" thickBot="1" x14ac:dyDescent="0.25">
      <c r="A10" s="1081" t="s">
        <v>1437</v>
      </c>
      <c r="B10" s="1838">
        <f>(B8-B9)</f>
        <v>-1050280</v>
      </c>
      <c r="C10" s="1838">
        <f>(C8-C9)</f>
        <v>-142603</v>
      </c>
      <c r="D10" s="1838">
        <f>(D8-D9)</f>
        <v>1895983</v>
      </c>
      <c r="E10" s="1837">
        <f>(E8-E9)</f>
        <v>366654</v>
      </c>
      <c r="F10" s="1839">
        <f>SUM(F8-F9)</f>
        <v>1069754</v>
      </c>
    </row>
    <row r="11" spans="1:8" s="1080" customFormat="1" ht="14.25" thickTop="1" thickBot="1" x14ac:dyDescent="0.25">
      <c r="A11" s="1082" t="s">
        <v>1785</v>
      </c>
      <c r="B11" s="1840">
        <f>'Acct Summary 7-8'!C81</f>
        <v>24384287</v>
      </c>
      <c r="C11" s="1840">
        <f>'Acct Summary 7-8'!D81</f>
        <v>2928533</v>
      </c>
      <c r="D11" s="1840">
        <f>'Acct Summary 7-8'!F81</f>
        <v>1234963</v>
      </c>
      <c r="E11" s="1840">
        <f>'Acct Summary 7-8'!I81</f>
        <v>268855</v>
      </c>
      <c r="F11" s="1841">
        <f>SUM(B11:E11)</f>
        <v>28816638</v>
      </c>
    </row>
    <row r="12" spans="1:8" ht="16.5" customHeight="1" thickTop="1" x14ac:dyDescent="0.2">
      <c r="A12" s="1083"/>
      <c r="B12" s="1084"/>
      <c r="C12" s="2387" t="str">
        <f>IF(AND(F10&lt;0,F11&gt;=0,ABS(F10*3)&gt;ABS(F11)),A16,IF(AND(F10&lt;0,F11&gt;0,ABS(F10*3)&lt;=ABS(F11)),A17,IF(AND(F10&lt;0,F11&lt;0),A16,IF(F11=0,A19,A18))))</f>
        <v>Balanced - no deficit reduction plan is required.</v>
      </c>
      <c r="D12" s="2388"/>
      <c r="E12" s="2388"/>
      <c r="F12" s="2389"/>
    </row>
    <row r="13" spans="1:8" ht="19.5" customHeight="1" x14ac:dyDescent="0.2">
      <c r="A13" s="1085"/>
      <c r="B13" s="1086"/>
      <c r="C13" s="2387"/>
      <c r="D13" s="2388"/>
      <c r="E13" s="2388"/>
      <c r="F13" s="2389"/>
      <c r="H13" s="1075"/>
    </row>
    <row r="14" spans="1:8" ht="19.5" customHeight="1" x14ac:dyDescent="0.2">
      <c r="A14" s="1085"/>
      <c r="B14" s="1086"/>
      <c r="C14" s="2387"/>
      <c r="D14" s="2388"/>
      <c r="E14" s="2388"/>
      <c r="F14" s="2389"/>
      <c r="H14" s="1075"/>
    </row>
    <row r="15" spans="1:8" ht="17.25" customHeight="1" x14ac:dyDescent="0.2">
      <c r="A15" s="1085"/>
      <c r="B15" s="1086"/>
      <c r="C15" s="2390"/>
      <c r="D15" s="2391"/>
      <c r="E15" s="2391"/>
      <c r="F15" s="2392"/>
      <c r="H15" s="1075"/>
    </row>
    <row r="16" spans="1:8" s="310" customFormat="1" ht="51.75" hidden="1" customHeight="1" x14ac:dyDescent="0.2">
      <c r="A16" s="2386" t="s">
        <v>1787</v>
      </c>
      <c r="B16" s="2386"/>
      <c r="C16" s="2386"/>
      <c r="D16" s="2386"/>
      <c r="E16" s="238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408" t="s">
        <v>686</v>
      </c>
      <c r="B3" s="2409"/>
      <c r="C3" s="2409"/>
      <c r="D3" s="2410"/>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9" t="s">
        <v>1584</v>
      </c>
      <c r="D7" s="2420"/>
    </row>
    <row r="8" spans="1:4" s="669" customFormat="1" ht="12.75" x14ac:dyDescent="0.2">
      <c r="A8" s="1139"/>
      <c r="B8" s="1094"/>
      <c r="C8" s="1097" t="s">
        <v>1583</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11" t="s">
        <v>1065</v>
      </c>
      <c r="B15" s="2412"/>
      <c r="C15" s="2412"/>
      <c r="D15" s="2413"/>
    </row>
    <row r="16" spans="1:4" s="669" customFormat="1" ht="24" customHeight="1" x14ac:dyDescent="0.2">
      <c r="A16" s="2414" t="s">
        <v>684</v>
      </c>
      <c r="B16" s="2415"/>
      <c r="C16" s="2415"/>
      <c r="D16" s="241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23" t="s">
        <v>332</v>
      </c>
      <c r="D21" s="2424"/>
    </row>
    <row r="22" spans="1:10" ht="12.75" x14ac:dyDescent="0.2">
      <c r="A22" s="1140"/>
      <c r="B22" s="1141">
        <v>2</v>
      </c>
      <c r="C22" s="2421" t="s">
        <v>1605</v>
      </c>
      <c r="D22" s="2422"/>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5" t="s">
        <v>557</v>
      </c>
      <c r="D43" s="242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17" t="s">
        <v>817</v>
      </c>
      <c r="D56" s="241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1079</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417" t="s">
        <v>1797</v>
      </c>
      <c r="D70" s="241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7016146004</v>
      </c>
    </row>
    <row r="3" spans="1:2" x14ac:dyDescent="0.2">
      <c r="A3" t="s">
        <v>1013</v>
      </c>
      <c r="B3" s="138" t="str">
        <f>COVER!A15</f>
        <v>COOK</v>
      </c>
    </row>
    <row r="4" spans="1:2" x14ac:dyDescent="0.2">
      <c r="A4" t="s">
        <v>1064</v>
      </c>
      <c r="B4" s="138" t="str">
        <f>COVER!A17</f>
        <v>CCSD 146 Tinley Park</v>
      </c>
    </row>
    <row r="5" spans="1:2" x14ac:dyDescent="0.2">
      <c r="A5" t="s">
        <v>728</v>
      </c>
      <c r="B5" s="138" t="str">
        <f>COVER!A38</f>
        <v xml:space="preserve">DR. JEFF STAWICK </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066-003328</v>
      </c>
    </row>
    <row r="16" spans="1:2" x14ac:dyDescent="0.2">
      <c r="A16" t="s">
        <v>442</v>
      </c>
      <c r="B16" s="138" t="str">
        <f>COVER!T13</f>
        <v xml:space="preserve">Mueller &amp; Co., LLP </v>
      </c>
    </row>
    <row r="17" spans="1:2" x14ac:dyDescent="0.2">
      <c r="A17" t="s">
        <v>939</v>
      </c>
      <c r="B17" s="138" t="str">
        <f>COVER!T15</f>
        <v>ED MCCORMICK</v>
      </c>
    </row>
    <row r="18" spans="1:2" x14ac:dyDescent="0.2">
      <c r="A18" t="s">
        <v>1212</v>
      </c>
      <c r="B18" s="138" t="str">
        <f>COVER!T17</f>
        <v xml:space="preserve">14300 RAVINIA AVE. </v>
      </c>
    </row>
    <row r="19" spans="1:2" x14ac:dyDescent="0.2">
      <c r="A19" t="s">
        <v>941</v>
      </c>
      <c r="B19" s="138" t="str">
        <f>COVER!T25</f>
        <v>Ed McCormick &lt;emccormick@muellercpa.com&gt;</v>
      </c>
    </row>
    <row r="20" spans="1:2" x14ac:dyDescent="0.2">
      <c r="A20" t="s">
        <v>942</v>
      </c>
      <c r="B20" s="138" t="str">
        <f>COVER!T19</f>
        <v xml:space="preserve">ORLAND PARK </v>
      </c>
    </row>
    <row r="21" spans="1:2" x14ac:dyDescent="0.2">
      <c r="A21" t="s">
        <v>500</v>
      </c>
      <c r="B21" s="138" t="str">
        <f>COVER!X19</f>
        <v>IL</v>
      </c>
    </row>
    <row r="22" spans="1:2" x14ac:dyDescent="0.2">
      <c r="A22" t="s">
        <v>943</v>
      </c>
      <c r="B22" s="138">
        <f>COVER!Z19</f>
        <v>60462</v>
      </c>
    </row>
    <row r="23" spans="1:2" x14ac:dyDescent="0.2">
      <c r="A23" t="s">
        <v>1214</v>
      </c>
      <c r="B23" s="138" t="str">
        <f>COVER!T21</f>
        <v>708-349-6999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11378536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36797761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12240915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12413474</v>
      </c>
      <c r="C91" s="2" t="s">
        <v>594</v>
      </c>
      <c r="D91" s="2" t="str">
        <f t="shared" si="0"/>
        <v>Error?</v>
      </c>
    </row>
    <row r="92" spans="1:4" x14ac:dyDescent="0.2">
      <c r="A92" s="5">
        <v>31</v>
      </c>
      <c r="B92" s="138">
        <f>'Assets-Liab 5-6'!C39</f>
        <v>24384287</v>
      </c>
      <c r="D92" s="2" t="str">
        <f t="shared" si="0"/>
        <v>Error?</v>
      </c>
    </row>
    <row r="93" spans="1:4" x14ac:dyDescent="0.2">
      <c r="A93" s="5">
        <v>32</v>
      </c>
      <c r="B93" s="138">
        <f>'Assets-Liab 5-6'!C41</f>
        <v>36797761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1432422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4515624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1540973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1587091</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4515624</v>
      </c>
      <c r="C124" s="2" t="s">
        <v>594</v>
      </c>
      <c r="D124" s="2" t="str">
        <f t="shared" si="0"/>
        <v>Error?</v>
      </c>
    </row>
    <row r="125" spans="1:4" x14ac:dyDescent="0.2">
      <c r="A125" s="10">
        <v>64</v>
      </c>
      <c r="D125" s="2" t="str">
        <f t="shared" si="0"/>
        <v>OK</v>
      </c>
    </row>
    <row r="126" spans="1:4" x14ac:dyDescent="0.2">
      <c r="A126" s="5">
        <v>65</v>
      </c>
      <c r="B126" s="138">
        <f>'Assets-Liab 5-6'!E6</f>
        <v>1418892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4713675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1526245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1526245</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4713675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742944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2034243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799280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799280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2034243</v>
      </c>
      <c r="C171" s="2" t="s">
        <v>594</v>
      </c>
      <c r="D171" s="2" t="str">
        <f t="shared" si="1"/>
        <v>Error?</v>
      </c>
    </row>
    <row r="172" spans="1:4" x14ac:dyDescent="0.2">
      <c r="A172" s="10">
        <v>111</v>
      </c>
      <c r="D172" s="2" t="str">
        <f t="shared" si="1"/>
        <v>OK</v>
      </c>
    </row>
    <row r="173" spans="1:4" x14ac:dyDescent="0.2">
      <c r="A173" s="5">
        <v>112</v>
      </c>
      <c r="B173" s="138">
        <f>'Assets-Liab 5-6'!G6</f>
        <v>524844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1281757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564491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564491</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1281757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5029051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177028</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5029051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5311469</v>
      </c>
      <c r="D273" s="2" t="str">
        <f t="shared" si="3"/>
        <v>Error?</v>
      </c>
    </row>
    <row r="274" spans="1:4" x14ac:dyDescent="0.2">
      <c r="A274" s="5">
        <v>213</v>
      </c>
      <c r="B274" s="138">
        <f>'Assets-Liab 5-6'!M17</f>
        <v>45754550</v>
      </c>
      <c r="D274" s="2" t="str">
        <f t="shared" si="3"/>
        <v>Error?</v>
      </c>
    </row>
    <row r="275" spans="1:4" x14ac:dyDescent="0.2">
      <c r="A275" s="5">
        <v>214</v>
      </c>
      <c r="B275" s="138">
        <f>'Assets-Liab 5-6'!M18</f>
        <v>8251004</v>
      </c>
      <c r="D275" s="2" t="str">
        <f t="shared" si="3"/>
        <v>Error?</v>
      </c>
    </row>
    <row r="276" spans="1:4" x14ac:dyDescent="0.2">
      <c r="A276" s="5">
        <v>215</v>
      </c>
      <c r="B276" s="138">
        <f>'Assets-Liab 5-6'!M19</f>
        <v>14215728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74953898</v>
      </c>
      <c r="C279" s="2" t="s">
        <v>594</v>
      </c>
      <c r="D279" s="2" t="str">
        <f t="shared" si="3"/>
        <v>Error?</v>
      </c>
    </row>
    <row r="280" spans="1:4" x14ac:dyDescent="0.2">
      <c r="A280" s="5">
        <v>219</v>
      </c>
      <c r="B280" s="138">
        <f>'Assets-Liab 5-6'!M40</f>
        <v>74953898</v>
      </c>
      <c r="D280" s="2" t="str">
        <f t="shared" si="3"/>
        <v>Error?</v>
      </c>
    </row>
    <row r="281" spans="1:4" x14ac:dyDescent="0.2">
      <c r="A281" s="5">
        <v>220</v>
      </c>
      <c r="B281" s="138">
        <f>'Assets-Liab 5-6'!M41</f>
        <v>74953898</v>
      </c>
      <c r="C281" s="2" t="s">
        <v>594</v>
      </c>
      <c r="D281" s="2" t="str">
        <f t="shared" si="3"/>
        <v>Error?</v>
      </c>
    </row>
    <row r="282" spans="1:4" x14ac:dyDescent="0.2">
      <c r="A282" s="5">
        <v>221</v>
      </c>
      <c r="B282" s="138">
        <f>'Assets-Liab 5-6'!N21</f>
        <v>3187430</v>
      </c>
      <c r="D282" s="2" t="str">
        <f t="shared" si="3"/>
        <v>Error?</v>
      </c>
    </row>
    <row r="283" spans="1:4" x14ac:dyDescent="0.2">
      <c r="A283" s="5">
        <v>222</v>
      </c>
      <c r="B283" s="138">
        <f>'Assets-Liab 5-6'!N22</f>
        <v>11172570</v>
      </c>
      <c r="D283" s="2" t="str">
        <f t="shared" si="3"/>
        <v>Error?</v>
      </c>
    </row>
    <row r="284" spans="1:4" x14ac:dyDescent="0.2">
      <c r="A284" s="5">
        <v>223</v>
      </c>
      <c r="B284" s="138">
        <f>'Assets-Liab 5-6'!N23</f>
        <v>14360000</v>
      </c>
      <c r="C284" s="2" t="s">
        <v>594</v>
      </c>
      <c r="D284" s="2" t="str">
        <f t="shared" si="3"/>
        <v>Error?</v>
      </c>
    </row>
    <row r="285" spans="1:4" x14ac:dyDescent="0.2">
      <c r="A285" s="5">
        <v>224</v>
      </c>
      <c r="B285" s="138">
        <f>'Assets-Liab 5-6'!N36</f>
        <v>14360000</v>
      </c>
      <c r="D285" s="2" t="str">
        <f t="shared" si="3"/>
        <v>Error?</v>
      </c>
    </row>
    <row r="286" spans="1:4" x14ac:dyDescent="0.2">
      <c r="A286" s="10">
        <v>225</v>
      </c>
      <c r="D286" s="2" t="str">
        <f t="shared" si="3"/>
        <v>OK</v>
      </c>
    </row>
    <row r="287" spans="1:4" x14ac:dyDescent="0.2">
      <c r="A287" s="5">
        <v>226</v>
      </c>
      <c r="B287" s="138">
        <f>'Assets-Liab 5-6'!N37</f>
        <v>14360000</v>
      </c>
      <c r="C287" s="2" t="s">
        <v>594</v>
      </c>
      <c r="D287" s="2" t="str">
        <f t="shared" si="3"/>
        <v>Error?</v>
      </c>
    </row>
    <row r="288" spans="1:4" x14ac:dyDescent="0.2">
      <c r="A288" s="5">
        <v>227</v>
      </c>
      <c r="B288" s="138">
        <f>'Assets-Liab 5-6'!N41</f>
        <v>14360000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10018225</v>
      </c>
      <c r="D705" s="2" t="str">
        <f t="shared" si="10"/>
        <v>Error?</v>
      </c>
    </row>
    <row r="706" spans="1:4" x14ac:dyDescent="0.2">
      <c r="A706" s="5">
        <v>645</v>
      </c>
      <c r="B706" s="138">
        <f>'Expenditures 15-22'!C16</f>
        <v>260524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898030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262372</v>
      </c>
      <c r="D718" s="2" t="str">
        <f t="shared" si="10"/>
        <v>Error?</v>
      </c>
    </row>
    <row r="719" spans="1:4" x14ac:dyDescent="0.2">
      <c r="A719" s="5">
        <v>658</v>
      </c>
      <c r="B719" s="138">
        <f>'Expenditures 15-22'!C15</f>
        <v>170215</v>
      </c>
      <c r="D719" s="2" t="str">
        <f t="shared" si="10"/>
        <v>Error?</v>
      </c>
    </row>
    <row r="720" spans="1:4" x14ac:dyDescent="0.2">
      <c r="A720" s="5">
        <v>659</v>
      </c>
      <c r="B720" s="138">
        <f>'Expenditures 15-22'!C33</f>
        <v>15442257</v>
      </c>
      <c r="C720" s="2" t="s">
        <v>594</v>
      </c>
      <c r="D720" s="2" t="str">
        <f t="shared" si="10"/>
        <v>Error?</v>
      </c>
    </row>
    <row r="721" spans="1:4" x14ac:dyDescent="0.2">
      <c r="A721" s="5">
        <v>660</v>
      </c>
      <c r="B721" s="138">
        <f>'Expenditures 15-22'!C36</f>
        <v>546756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463463</v>
      </c>
      <c r="D723" s="2" t="str">
        <f t="shared" si="10"/>
        <v>Error?</v>
      </c>
    </row>
    <row r="724" spans="1:4" x14ac:dyDescent="0.2">
      <c r="A724" s="5">
        <v>663</v>
      </c>
      <c r="B724" s="138">
        <f>'Expenditures 15-22'!C39</f>
        <v>207847</v>
      </c>
      <c r="D724" s="2" t="str">
        <f t="shared" si="10"/>
        <v>Error?</v>
      </c>
    </row>
    <row r="725" spans="1:4" x14ac:dyDescent="0.2">
      <c r="A725" s="5">
        <v>664</v>
      </c>
      <c r="B725" s="138">
        <f>'Expenditures 15-22'!C40</f>
        <v>802479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2020545</v>
      </c>
      <c r="C727" s="2" t="s">
        <v>594</v>
      </c>
      <c r="D727" s="2" t="str">
        <f t="shared" si="10"/>
        <v>Error?</v>
      </c>
    </row>
    <row r="728" spans="1:4" x14ac:dyDescent="0.2">
      <c r="A728" s="5">
        <v>667</v>
      </c>
      <c r="B728" s="138">
        <f>'Expenditures 15-22'!C44</f>
        <v>320338</v>
      </c>
      <c r="D728" s="2" t="str">
        <f t="shared" si="10"/>
        <v>Error?</v>
      </c>
    </row>
    <row r="729" spans="1:4" x14ac:dyDescent="0.2">
      <c r="A729" s="5">
        <v>668</v>
      </c>
      <c r="B729" s="138">
        <f>'Expenditures 15-22'!C45</f>
        <v>460619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780957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326129</v>
      </c>
      <c r="D733" s="2" t="str">
        <f t="shared" si="10"/>
        <v>Error?</v>
      </c>
    </row>
    <row r="734" spans="1:4" x14ac:dyDescent="0.2">
      <c r="A734" s="5">
        <v>673</v>
      </c>
      <c r="B734" s="138">
        <f>'Expenditures 15-22'!C53</f>
        <v>574391</v>
      </c>
      <c r="C734" s="2" t="s">
        <v>594</v>
      </c>
      <c r="D734" s="2" t="str">
        <f t="shared" si="10"/>
        <v>Error?</v>
      </c>
    </row>
    <row r="735" spans="1:4" x14ac:dyDescent="0.2">
      <c r="A735" s="5">
        <v>674</v>
      </c>
      <c r="B735" s="138">
        <f>'Expenditures 15-22'!C55</f>
        <v>1091273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1091273</v>
      </c>
      <c r="C737" s="2" t="s">
        <v>594</v>
      </c>
      <c r="D737" s="2" t="str">
        <f t="shared" si="10"/>
        <v>Error?</v>
      </c>
    </row>
    <row r="738" spans="1:4" x14ac:dyDescent="0.2">
      <c r="A738" s="5">
        <v>677</v>
      </c>
      <c r="B738" s="138">
        <f>'Expenditures 15-22'!C59</f>
        <v>110229</v>
      </c>
      <c r="D738" s="2" t="str">
        <f t="shared" si="10"/>
        <v>Error?</v>
      </c>
    </row>
    <row r="739" spans="1:4" x14ac:dyDescent="0.2">
      <c r="A739" s="5">
        <v>678</v>
      </c>
      <c r="B739" s="138">
        <f>'Expenditures 15-22'!C60</f>
        <v>174245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139876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424350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1277</v>
      </c>
      <c r="D748" s="2" t="str">
        <f t="shared" si="10"/>
        <v>Error?</v>
      </c>
    </row>
    <row r="749" spans="1:4" x14ac:dyDescent="0.2">
      <c r="A749" s="5">
        <v>688</v>
      </c>
      <c r="B749" s="138">
        <f>'Expenditures 15-22'!C70</f>
        <v>69840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71117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4962633</v>
      </c>
      <c r="C755" s="2" t="s">
        <v>594</v>
      </c>
      <c r="D755" s="2" t="str">
        <f t="shared" si="10"/>
        <v>Error?</v>
      </c>
    </row>
    <row r="756" spans="1:4" x14ac:dyDescent="0.2">
      <c r="A756" s="5">
        <v>695</v>
      </c>
      <c r="B756" s="138">
        <f>'Expenditures 15-22'!C75</f>
        <v>166799</v>
      </c>
      <c r="D756" s="2" t="str">
        <f t="shared" si="10"/>
        <v>Error?</v>
      </c>
    </row>
    <row r="757" spans="1:4" x14ac:dyDescent="0.2">
      <c r="A757" s="5">
        <v>696</v>
      </c>
      <c r="B757" s="138">
        <f>'Expenditures 15-22'!C114</f>
        <v>20571689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2418271</v>
      </c>
      <c r="D763" s="2" t="str">
        <f t="shared" si="10"/>
        <v>Error?</v>
      </c>
    </row>
    <row r="764" spans="1:4" x14ac:dyDescent="0.2">
      <c r="A764" s="5">
        <v>703</v>
      </c>
      <c r="B764" s="138">
        <f>'Expenditures 15-22'!D16</f>
        <v>44157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218334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3718</v>
      </c>
      <c r="D776" s="2" t="str">
        <f t="shared" si="11"/>
        <v>Error?</v>
      </c>
    </row>
    <row r="777" spans="1:4" x14ac:dyDescent="0.2">
      <c r="A777" s="5">
        <v>716</v>
      </c>
      <c r="B777" s="138">
        <f>'Expenditures 15-22'!D15</f>
        <v>2506</v>
      </c>
      <c r="D777" s="2" t="str">
        <f t="shared" si="11"/>
        <v>Error?</v>
      </c>
    </row>
    <row r="778" spans="1:4" x14ac:dyDescent="0.2">
      <c r="A778" s="5">
        <v>717</v>
      </c>
      <c r="B778" s="138">
        <f>'Expenditures 15-22'!D33</f>
        <v>3700089</v>
      </c>
      <c r="C778" s="2" t="s">
        <v>594</v>
      </c>
      <c r="D778" s="2" t="str">
        <f t="shared" si="11"/>
        <v>Error?</v>
      </c>
    </row>
    <row r="779" spans="1:4" x14ac:dyDescent="0.2">
      <c r="A779" s="5">
        <v>718</v>
      </c>
      <c r="B779" s="138">
        <f>'Expenditures 15-22'!D36</f>
        <v>104838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128821</v>
      </c>
      <c r="D781" s="2" t="str">
        <f t="shared" si="11"/>
        <v>Error?</v>
      </c>
    </row>
    <row r="782" spans="1:4" x14ac:dyDescent="0.2">
      <c r="A782" s="5">
        <v>721</v>
      </c>
      <c r="B782" s="138">
        <f>'Expenditures 15-22'!D39</f>
        <v>53910</v>
      </c>
      <c r="D782" s="2" t="str">
        <f t="shared" si="11"/>
        <v>Error?</v>
      </c>
    </row>
    <row r="783" spans="1:4" x14ac:dyDescent="0.2">
      <c r="A783" s="5">
        <v>722</v>
      </c>
      <c r="B783" s="138">
        <f>'Expenditures 15-22'!D40</f>
        <v>162807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450376</v>
      </c>
      <c r="C785" s="2" t="s">
        <v>594</v>
      </c>
      <c r="D785" s="2" t="str">
        <f t="shared" si="11"/>
        <v>Error?</v>
      </c>
    </row>
    <row r="786" spans="1:4" x14ac:dyDescent="0.2">
      <c r="A786" s="5">
        <v>725</v>
      </c>
      <c r="B786" s="138">
        <f>'Expenditures 15-22'!D44</f>
        <v>67491</v>
      </c>
      <c r="D786" s="2" t="str">
        <f t="shared" si="11"/>
        <v>Error?</v>
      </c>
    </row>
    <row r="787" spans="1:4" x14ac:dyDescent="0.2">
      <c r="A787" s="5">
        <v>726</v>
      </c>
      <c r="B787" s="138">
        <f>'Expenditures 15-22'!D45</f>
        <v>84285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151776</v>
      </c>
      <c r="C789" s="2" t="s">
        <v>594</v>
      </c>
      <c r="D789" s="2" t="str">
        <f t="shared" si="11"/>
        <v>Error?</v>
      </c>
    </row>
    <row r="790" spans="1:4" x14ac:dyDescent="0.2">
      <c r="A790" s="5">
        <v>729</v>
      </c>
      <c r="B790" s="138">
        <f>'Expenditures 15-22'!D49</f>
        <v>45173</v>
      </c>
      <c r="D790" s="2" t="str">
        <f t="shared" si="11"/>
        <v>Error?</v>
      </c>
    </row>
    <row r="791" spans="1:4" x14ac:dyDescent="0.2">
      <c r="A791" s="5">
        <v>730</v>
      </c>
      <c r="B791" s="138">
        <f>'Expenditures 15-22'!D50</f>
        <v>83254</v>
      </c>
      <c r="D791" s="2" t="str">
        <f t="shared" si="11"/>
        <v>Error?</v>
      </c>
    </row>
    <row r="792" spans="1:4" x14ac:dyDescent="0.2">
      <c r="A792" s="5">
        <v>731</v>
      </c>
      <c r="B792" s="138">
        <f>'Expenditures 15-22'!D53</f>
        <v>192088</v>
      </c>
      <c r="C792" s="2" t="s">
        <v>594</v>
      </c>
      <c r="D792" s="2" t="str">
        <f t="shared" si="11"/>
        <v>Error?</v>
      </c>
    </row>
    <row r="793" spans="1:4" x14ac:dyDescent="0.2">
      <c r="A793" s="5">
        <v>732</v>
      </c>
      <c r="B793" s="138">
        <f>'Expenditures 15-22'!D55</f>
        <v>342860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342860</v>
      </c>
      <c r="C795" s="2" t="s">
        <v>594</v>
      </c>
      <c r="D795" s="2" t="str">
        <f t="shared" si="11"/>
        <v>Error?</v>
      </c>
    </row>
    <row r="796" spans="1:4" x14ac:dyDescent="0.2">
      <c r="A796" s="5">
        <v>735</v>
      </c>
      <c r="B796" s="138">
        <f>'Expenditures 15-22'!D59</f>
        <v>36019</v>
      </c>
      <c r="D796" s="2" t="str">
        <f t="shared" si="11"/>
        <v>Error?</v>
      </c>
    </row>
    <row r="797" spans="1:4" x14ac:dyDescent="0.2">
      <c r="A797" s="5">
        <v>736</v>
      </c>
      <c r="B797" s="138">
        <f>'Expenditures 15-22'!D60</f>
        <v>34175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463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70657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13</v>
      </c>
      <c r="D806" s="2" t="str">
        <f t="shared" si="11"/>
        <v>Error?</v>
      </c>
    </row>
    <row r="807" spans="1:4" x14ac:dyDescent="0.2">
      <c r="A807" s="5">
        <v>746</v>
      </c>
      <c r="B807" s="138">
        <f>'Expenditures 15-22'!D70</f>
        <v>20788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20801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1228558</v>
      </c>
      <c r="C813" s="2" t="s">
        <v>594</v>
      </c>
      <c r="D813" s="2" t="str">
        <f t="shared" si="11"/>
        <v>Error?</v>
      </c>
    </row>
    <row r="814" spans="1:4" x14ac:dyDescent="0.2">
      <c r="A814" s="5">
        <v>753</v>
      </c>
      <c r="B814" s="138">
        <f>'Expenditures 15-22'!D75</f>
        <v>20911</v>
      </c>
      <c r="D814" s="2" t="str">
        <f t="shared" si="11"/>
        <v>Error?</v>
      </c>
    </row>
    <row r="815" spans="1:4" x14ac:dyDescent="0.2">
      <c r="A815" s="5">
        <v>754</v>
      </c>
      <c r="B815" s="138">
        <f>'Expenditures 15-22'!D114</f>
        <v>4949558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269244</v>
      </c>
      <c r="D821" s="2" t="str">
        <f t="shared" si="11"/>
        <v>Error?</v>
      </c>
    </row>
    <row r="822" spans="1:4" x14ac:dyDescent="0.2">
      <c r="A822" s="5">
        <v>761</v>
      </c>
      <c r="B822" s="138">
        <f>'Expenditures 15-22'!E16</f>
        <v>3469</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5524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8750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326554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34598</v>
      </c>
      <c r="D839" s="2" t="str">
        <f t="shared" si="12"/>
        <v>Error?</v>
      </c>
    </row>
    <row r="840" spans="1:4" x14ac:dyDescent="0.2">
      <c r="A840" s="5">
        <v>779</v>
      </c>
      <c r="B840" s="138">
        <f>'Expenditures 15-22'!E39</f>
        <v>952</v>
      </c>
      <c r="D840" s="2" t="str">
        <f t="shared" si="12"/>
        <v>Error?</v>
      </c>
    </row>
    <row r="841" spans="1:4" x14ac:dyDescent="0.2">
      <c r="A841" s="5">
        <v>780</v>
      </c>
      <c r="B841" s="138">
        <f>'Expenditures 15-22'!E40</f>
        <v>79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35629</v>
      </c>
      <c r="C843" s="2" t="s">
        <v>594</v>
      </c>
      <c r="D843" s="2" t="str">
        <f t="shared" si="12"/>
        <v>Error?</v>
      </c>
    </row>
    <row r="844" spans="1:4" x14ac:dyDescent="0.2">
      <c r="A844" s="5">
        <v>783</v>
      </c>
      <c r="B844" s="138">
        <f>'Expenditures 15-22'!E44</f>
        <v>133186</v>
      </c>
      <c r="D844" s="2" t="str">
        <f t="shared" si="12"/>
        <v>Error?</v>
      </c>
    </row>
    <row r="845" spans="1:4" x14ac:dyDescent="0.2">
      <c r="A845" s="5">
        <v>784</v>
      </c>
      <c r="B845" s="138">
        <f>'Expenditures 15-22'!E45</f>
        <v>1640</v>
      </c>
      <c r="D845" s="2" t="str">
        <f t="shared" si="12"/>
        <v>Error?</v>
      </c>
    </row>
    <row r="846" spans="1:4" x14ac:dyDescent="0.2">
      <c r="A846" s="5">
        <v>785</v>
      </c>
      <c r="B846" s="138">
        <f>'Expenditures 15-22'!E46</f>
        <v>49550</v>
      </c>
      <c r="D846" s="2" t="str">
        <f t="shared" si="12"/>
        <v>Error?</v>
      </c>
    </row>
    <row r="847" spans="1:4" x14ac:dyDescent="0.2">
      <c r="A847" s="5">
        <v>786</v>
      </c>
      <c r="B847" s="138">
        <f>'Expenditures 15-22'!E47</f>
        <v>184376</v>
      </c>
      <c r="C847" s="2" t="s">
        <v>594</v>
      </c>
      <c r="D847" s="2" t="str">
        <f t="shared" si="12"/>
        <v>Error?</v>
      </c>
    </row>
    <row r="848" spans="1:4" x14ac:dyDescent="0.2">
      <c r="A848" s="5">
        <v>787</v>
      </c>
      <c r="B848" s="138">
        <f>'Expenditures 15-22'!E49</f>
        <v>204060</v>
      </c>
      <c r="D848" s="2" t="str">
        <f t="shared" si="12"/>
        <v>Error?</v>
      </c>
    </row>
    <row r="849" spans="1:4" x14ac:dyDescent="0.2">
      <c r="A849" s="5">
        <v>788</v>
      </c>
      <c r="B849" s="138">
        <f>'Expenditures 15-22'!E50</f>
        <v>-200</v>
      </c>
      <c r="D849" s="2" t="str">
        <f t="shared" si="12"/>
        <v>Error?</v>
      </c>
    </row>
    <row r="850" spans="1:4" x14ac:dyDescent="0.2">
      <c r="A850" s="5">
        <v>789</v>
      </c>
      <c r="B850" s="138">
        <f>'Expenditures 15-22'!E53</f>
        <v>210495</v>
      </c>
      <c r="C850" s="2" t="s">
        <v>594</v>
      </c>
      <c r="D850" s="2" t="str">
        <f t="shared" si="12"/>
        <v>Error?</v>
      </c>
    </row>
    <row r="851" spans="1:4" x14ac:dyDescent="0.2">
      <c r="A851" s="5">
        <v>790</v>
      </c>
      <c r="B851" s="138">
        <f>'Expenditures 15-22'!E55</f>
        <v>1115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1115</v>
      </c>
      <c r="C853" s="2" t="s">
        <v>594</v>
      </c>
      <c r="D853" s="2" t="str">
        <f t="shared" si="12"/>
        <v>Error?</v>
      </c>
    </row>
    <row r="854" spans="1:4" x14ac:dyDescent="0.2">
      <c r="A854" s="5">
        <v>793</v>
      </c>
      <c r="B854" s="138">
        <f>'Expenditures 15-22'!E59</f>
        <v>2327</v>
      </c>
      <c r="D854" s="2" t="str">
        <f t="shared" si="12"/>
        <v>Error?</v>
      </c>
    </row>
    <row r="855" spans="1:4" x14ac:dyDescent="0.2">
      <c r="A855" s="5">
        <v>794</v>
      </c>
      <c r="B855" s="138">
        <f>'Expenditures 15-22'!E60</f>
        <v>6051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30000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38378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93649</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93649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563642</v>
      </c>
      <c r="C871" s="2" t="s">
        <v>594</v>
      </c>
      <c r="D871" s="2" t="str">
        <f t="shared" si="12"/>
        <v>Error?</v>
      </c>
    </row>
    <row r="872" spans="1:4" x14ac:dyDescent="0.2">
      <c r="A872" s="5">
        <v>811</v>
      </c>
      <c r="B872" s="138">
        <f>'Expenditures 15-22'!E75</f>
        <v>6327</v>
      </c>
      <c r="D872" s="2" t="str">
        <f t="shared" si="12"/>
        <v>Error?</v>
      </c>
    </row>
    <row r="873" spans="1:4" x14ac:dyDescent="0.2">
      <c r="A873" s="5">
        <v>812</v>
      </c>
      <c r="B873" s="138">
        <f>'Expenditures 15-22'!E114</f>
        <v>900743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938157</v>
      </c>
      <c r="D879" s="2" t="str">
        <f t="shared" si="12"/>
        <v>Error?</v>
      </c>
    </row>
    <row r="880" spans="1:4" x14ac:dyDescent="0.2">
      <c r="A880" s="5">
        <v>819</v>
      </c>
      <c r="B880" s="138">
        <f>'Expenditures 15-22'!F16</f>
        <v>1540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5903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15592</v>
      </c>
      <c r="D892" s="2" t="str">
        <f t="shared" si="12"/>
        <v>Error?</v>
      </c>
    </row>
    <row r="893" spans="1:4" x14ac:dyDescent="0.2">
      <c r="A893" s="5">
        <v>832</v>
      </c>
      <c r="B893" s="138">
        <f>'Expenditures 15-22'!F15</f>
        <v>1242</v>
      </c>
      <c r="D893" s="2" t="str">
        <f t="shared" si="12"/>
        <v>Error?</v>
      </c>
    </row>
    <row r="894" spans="1:4" x14ac:dyDescent="0.2">
      <c r="A894" s="5">
        <v>833</v>
      </c>
      <c r="B894" s="138">
        <f>'Expenditures 15-22'!F33</f>
        <v>972051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6036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6036</v>
      </c>
      <c r="C901" s="2" t="s">
        <v>594</v>
      </c>
      <c r="D901" s="2" t="str">
        <f t="shared" si="13"/>
        <v>Error?</v>
      </c>
    </row>
    <row r="902" spans="1:4" x14ac:dyDescent="0.2">
      <c r="A902" s="5">
        <v>841</v>
      </c>
      <c r="B902" s="138">
        <f>'Expenditures 15-22'!F44</f>
        <v>11266</v>
      </c>
      <c r="D902" s="2" t="str">
        <f t="shared" si="13"/>
        <v>Error?</v>
      </c>
    </row>
    <row r="903" spans="1:4" x14ac:dyDescent="0.2">
      <c r="A903" s="5">
        <v>842</v>
      </c>
      <c r="B903" s="138">
        <f>'Expenditures 15-22'!F45</f>
        <v>148640</v>
      </c>
      <c r="D903" s="2" t="str">
        <f t="shared" si="13"/>
        <v>Error?</v>
      </c>
    </row>
    <row r="904" spans="1:4" x14ac:dyDescent="0.2">
      <c r="A904" s="5">
        <v>843</v>
      </c>
      <c r="B904" s="138">
        <f>'Expenditures 15-22'!F46</f>
        <v>21129</v>
      </c>
      <c r="D904" s="2" t="str">
        <f t="shared" si="13"/>
        <v>Error?</v>
      </c>
    </row>
    <row r="905" spans="1:4" x14ac:dyDescent="0.2">
      <c r="A905" s="5">
        <v>844</v>
      </c>
      <c r="B905" s="138">
        <f>'Expenditures 15-22'!F47</f>
        <v>181035</v>
      </c>
      <c r="C905" s="2" t="s">
        <v>594</v>
      </c>
      <c r="D905" s="2" t="str">
        <f t="shared" si="13"/>
        <v>Error?</v>
      </c>
    </row>
    <row r="906" spans="1:4" x14ac:dyDescent="0.2">
      <c r="A906" s="5">
        <v>845</v>
      </c>
      <c r="B906" s="138">
        <f>'Expenditures 15-22'!F49</f>
        <v>36835</v>
      </c>
      <c r="D906" s="2" t="str">
        <f t="shared" si="13"/>
        <v>Error?</v>
      </c>
    </row>
    <row r="907" spans="1:4" x14ac:dyDescent="0.2">
      <c r="A907" s="5">
        <v>846</v>
      </c>
      <c r="B907" s="138">
        <f>'Expenditures 15-22'!F50</f>
        <v>895</v>
      </c>
      <c r="D907" s="2" t="str">
        <f t="shared" si="13"/>
        <v>Error?</v>
      </c>
    </row>
    <row r="908" spans="1:4" x14ac:dyDescent="0.2">
      <c r="A908" s="5">
        <v>847</v>
      </c>
      <c r="B908" s="138">
        <f>'Expenditures 15-22'!F53</f>
        <v>39276</v>
      </c>
      <c r="C908" s="2" t="s">
        <v>594</v>
      </c>
      <c r="D908" s="2" t="str">
        <f t="shared" si="13"/>
        <v>Error?</v>
      </c>
    </row>
    <row r="909" spans="1:4" x14ac:dyDescent="0.2">
      <c r="A909" s="5">
        <v>848</v>
      </c>
      <c r="B909" s="138">
        <f>'Expenditures 15-22'!F55</f>
        <v>14829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14829</v>
      </c>
      <c r="C911" s="2" t="s">
        <v>594</v>
      </c>
      <c r="D911" s="2" t="str">
        <f t="shared" si="13"/>
        <v>Error?</v>
      </c>
    </row>
    <row r="912" spans="1:4" x14ac:dyDescent="0.2">
      <c r="A912" s="5">
        <v>851</v>
      </c>
      <c r="B912" s="138">
        <f>'Expenditures 15-22'!F59</f>
        <v>978</v>
      </c>
      <c r="D912" s="2" t="str">
        <f t="shared" si="13"/>
        <v>Error?</v>
      </c>
    </row>
    <row r="913" spans="1:4" x14ac:dyDescent="0.2">
      <c r="A913" s="5">
        <v>852</v>
      </c>
      <c r="B913" s="138">
        <f>'Expenditures 15-22'!F60</f>
        <v>11368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484284</v>
      </c>
      <c r="D916" s="2" t="str">
        <f t="shared" si="13"/>
        <v>Error?</v>
      </c>
    </row>
    <row r="917" spans="1:4" x14ac:dyDescent="0.2">
      <c r="A917" s="5">
        <v>856</v>
      </c>
      <c r="B917" s="138">
        <f>'Expenditures 15-22'!F64</f>
        <v>3795</v>
      </c>
      <c r="D917" s="2" t="str">
        <f t="shared" si="13"/>
        <v>Error?</v>
      </c>
    </row>
    <row r="918" spans="1:4" x14ac:dyDescent="0.2">
      <c r="A918" s="10">
        <v>857</v>
      </c>
      <c r="D918" s="2" t="str">
        <f t="shared" si="13"/>
        <v>OK</v>
      </c>
    </row>
    <row r="919" spans="1:4" x14ac:dyDescent="0.2">
      <c r="A919" s="5">
        <v>858</v>
      </c>
      <c r="B919" s="138">
        <f>'Expenditures 15-22'!F65</f>
        <v>500425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122</v>
      </c>
      <c r="D923" s="2" t="str">
        <f t="shared" si="13"/>
        <v>Error?</v>
      </c>
    </row>
    <row r="924" spans="1:4" x14ac:dyDescent="0.2">
      <c r="A924" s="10">
        <v>863</v>
      </c>
      <c r="D924" s="2" t="str">
        <f t="shared" si="13"/>
        <v>OK</v>
      </c>
    </row>
    <row r="925" spans="1:4" x14ac:dyDescent="0.2">
      <c r="A925" s="5">
        <v>864</v>
      </c>
      <c r="B925" s="138">
        <f>'Expenditures 15-22'!F71</f>
        <v>49742</v>
      </c>
      <c r="D925" s="2" t="str">
        <f t="shared" si="13"/>
        <v>Error?</v>
      </c>
    </row>
    <row r="926" spans="1:4" x14ac:dyDescent="0.2">
      <c r="A926" s="10">
        <v>865</v>
      </c>
      <c r="D926" s="2" t="str">
        <f t="shared" si="13"/>
        <v>OK</v>
      </c>
    </row>
    <row r="927" spans="1:4" x14ac:dyDescent="0.2">
      <c r="A927" s="5">
        <v>866</v>
      </c>
      <c r="B927" s="138">
        <f>'Expenditures 15-22'!F72</f>
        <v>49864</v>
      </c>
      <c r="C927" s="2" t="s">
        <v>594</v>
      </c>
      <c r="D927" s="2" t="str">
        <f t="shared" si="13"/>
        <v>Error?</v>
      </c>
    </row>
    <row r="928" spans="1:4" x14ac:dyDescent="0.2">
      <c r="A928" s="5">
        <v>867</v>
      </c>
      <c r="B928" s="138">
        <f>'Expenditures 15-22'!F73</f>
        <v>249</v>
      </c>
      <c r="D928" s="2" t="str">
        <f t="shared" si="13"/>
        <v>Error?</v>
      </c>
    </row>
    <row r="929" spans="1:4" x14ac:dyDescent="0.2">
      <c r="A929" s="5">
        <v>868</v>
      </c>
      <c r="B929" s="138">
        <f>'Expenditures 15-22'!F74</f>
        <v>791714</v>
      </c>
      <c r="C929" s="2" t="s">
        <v>594</v>
      </c>
      <c r="D929" s="2" t="str">
        <f t="shared" si="13"/>
        <v>Error?</v>
      </c>
    </row>
    <row r="930" spans="1:4" x14ac:dyDescent="0.2">
      <c r="A930" s="5">
        <v>869</v>
      </c>
      <c r="B930" s="138">
        <f>'Expenditures 15-22'!F75</f>
        <v>32997</v>
      </c>
      <c r="D930" s="2" t="str">
        <f t="shared" si="13"/>
        <v>Error?</v>
      </c>
    </row>
    <row r="931" spans="1:4" x14ac:dyDescent="0.2">
      <c r="A931" s="5">
        <v>870</v>
      </c>
      <c r="B931" s="138">
        <f>'Expenditures 15-22'!F114</f>
        <v>1796762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120931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120931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120931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312764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1680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1680</v>
      </c>
      <c r="C1021" s="2" t="s">
        <v>594</v>
      </c>
      <c r="D1021" s="2" t="str">
        <f t="shared" si="14"/>
        <v>Error?</v>
      </c>
    </row>
    <row r="1022" spans="1:4" x14ac:dyDescent="0.2">
      <c r="A1022" s="5">
        <v>961</v>
      </c>
      <c r="B1022" s="138">
        <f>'Expenditures 15-22'!H49</f>
        <v>39587</v>
      </c>
      <c r="D1022" s="2" t="str">
        <f t="shared" si="14"/>
        <v>Error?</v>
      </c>
    </row>
    <row r="1023" spans="1:4" x14ac:dyDescent="0.2">
      <c r="A1023" s="5">
        <v>962</v>
      </c>
      <c r="B1023" s="138">
        <f>'Expenditures 15-22'!H50</f>
        <v>3415</v>
      </c>
      <c r="D1023" s="2" t="str">
        <f t="shared" ref="D1023:D1086" si="15">IF(ISBLANK(B1023),"OK",IF(A1023-B1023=0,"OK","Error?"))</f>
        <v>Error?</v>
      </c>
    </row>
    <row r="1024" spans="1:4" x14ac:dyDescent="0.2">
      <c r="A1024" s="5">
        <v>963</v>
      </c>
      <c r="B1024" s="138">
        <f>'Expenditures 15-22'!H53</f>
        <v>43091</v>
      </c>
      <c r="C1024" s="2" t="s">
        <v>594</v>
      </c>
      <c r="D1024" s="2" t="str">
        <f t="shared" si="15"/>
        <v>Error?</v>
      </c>
    </row>
    <row r="1025" spans="1:4" x14ac:dyDescent="0.2">
      <c r="A1025" s="5">
        <v>964</v>
      </c>
      <c r="B1025" s="138">
        <f>'Expenditures 15-22'!H55</f>
        <v>4070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4070</v>
      </c>
      <c r="C1027" s="2" t="s">
        <v>594</v>
      </c>
      <c r="D1027" s="2" t="str">
        <f t="shared" si="15"/>
        <v>Error?</v>
      </c>
    </row>
    <row r="1028" spans="1:4" x14ac:dyDescent="0.2">
      <c r="A1028" s="5">
        <v>967</v>
      </c>
      <c r="B1028" s="138">
        <f>'Expenditures 15-22'!H59</f>
        <v>2617</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2617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1808</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1808</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53266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992413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1358443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14225531</v>
      </c>
      <c r="C1093" s="2" t="s">
        <v>594</v>
      </c>
      <c r="D1093" s="2" t="str">
        <f t="shared" si="16"/>
        <v>Error?</v>
      </c>
    </row>
    <row r="1094" spans="1:4" x14ac:dyDescent="0.2">
      <c r="A1094" s="5">
        <v>1033</v>
      </c>
      <c r="B1094" s="138">
        <f>'Expenditures 15-22'!K16</f>
        <v>309690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1127791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291092</v>
      </c>
      <c r="C1106" s="2" t="s">
        <v>594</v>
      </c>
      <c r="D1106" s="2" t="str">
        <f t="shared" si="16"/>
        <v>Error?</v>
      </c>
    </row>
    <row r="1107" spans="1:4" x14ac:dyDescent="0.2">
      <c r="A1107" s="5">
        <v>1046</v>
      </c>
      <c r="B1107" s="138">
        <f>'Expenditures 15-22'!K15</f>
        <v>173963</v>
      </c>
      <c r="C1107" s="2" t="s">
        <v>594</v>
      </c>
      <c r="D1107" s="2" t="str">
        <f t="shared" si="16"/>
        <v>Error?</v>
      </c>
    </row>
    <row r="1108" spans="1:4" x14ac:dyDescent="0.2">
      <c r="A1108" s="5">
        <v>1047</v>
      </c>
      <c r="B1108" s="138">
        <f>'Expenditures 15-22'!K33</f>
        <v>21336009</v>
      </c>
      <c r="C1108" s="2" t="s">
        <v>594</v>
      </c>
      <c r="D1108" s="2" t="str">
        <f t="shared" si="16"/>
        <v>Error?</v>
      </c>
    </row>
    <row r="1109" spans="1:4" x14ac:dyDescent="0.2">
      <c r="A1109" s="5">
        <v>1048</v>
      </c>
      <c r="B1109" s="138">
        <f>'Expenditures 15-22'!K36</f>
        <v>651594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632918</v>
      </c>
      <c r="C1111" s="2" t="s">
        <v>594</v>
      </c>
      <c r="D1111" s="2" t="str">
        <f t="shared" si="16"/>
        <v>Error?</v>
      </c>
    </row>
    <row r="1112" spans="1:4" x14ac:dyDescent="0.2">
      <c r="A1112" s="5">
        <v>1051</v>
      </c>
      <c r="B1112" s="138">
        <f>'Expenditures 15-22'!K39</f>
        <v>262709</v>
      </c>
      <c r="C1112" s="2" t="s">
        <v>594</v>
      </c>
      <c r="D1112" s="2" t="str">
        <f t="shared" si="16"/>
        <v>Error?</v>
      </c>
    </row>
    <row r="1113" spans="1:4" x14ac:dyDescent="0.2">
      <c r="A1113" s="5">
        <v>1052</v>
      </c>
      <c r="B1113" s="138">
        <f>'Expenditures 15-22'!K40</f>
        <v>965365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2512586</v>
      </c>
      <c r="C1115" s="2" t="s">
        <v>594</v>
      </c>
      <c r="D1115" s="2" t="str">
        <f t="shared" si="16"/>
        <v>Error?</v>
      </c>
    </row>
    <row r="1116" spans="1:4" x14ac:dyDescent="0.2">
      <c r="A1116" s="5">
        <v>1055</v>
      </c>
      <c r="B1116" s="138">
        <f>'Expenditures 15-22'!K44</f>
        <v>533961</v>
      </c>
      <c r="C1116" s="2" t="s">
        <v>594</v>
      </c>
      <c r="D1116" s="2" t="str">
        <f t="shared" si="16"/>
        <v>Error?</v>
      </c>
    </row>
    <row r="1117" spans="1:4" x14ac:dyDescent="0.2">
      <c r="A1117" s="5">
        <v>1056</v>
      </c>
      <c r="B1117" s="138">
        <f>'Expenditures 15-22'!K45</f>
        <v>695184</v>
      </c>
      <c r="C1117" s="2" t="s">
        <v>594</v>
      </c>
      <c r="D1117" s="2" t="str">
        <f t="shared" si="16"/>
        <v>Error?</v>
      </c>
    </row>
    <row r="1118" spans="1:4" x14ac:dyDescent="0.2">
      <c r="A1118" s="5">
        <v>1057</v>
      </c>
      <c r="B1118" s="138">
        <f>'Expenditures 15-22'!K46</f>
        <v>70679</v>
      </c>
      <c r="C1118" s="2" t="s">
        <v>594</v>
      </c>
      <c r="D1118" s="2" t="str">
        <f t="shared" si="16"/>
        <v>Error?</v>
      </c>
    </row>
    <row r="1119" spans="1:4" x14ac:dyDescent="0.2">
      <c r="A1119" s="5">
        <v>1058</v>
      </c>
      <c r="B1119" s="138">
        <f>'Expenditures 15-22'!K47</f>
        <v>1299824</v>
      </c>
      <c r="C1119" s="2" t="s">
        <v>594</v>
      </c>
      <c r="D1119" s="2" t="str">
        <f t="shared" si="16"/>
        <v>Error?</v>
      </c>
    </row>
    <row r="1120" spans="1:4" x14ac:dyDescent="0.2">
      <c r="A1120" s="5">
        <v>1059</v>
      </c>
      <c r="B1120" s="138">
        <f>'Expenditures 15-22'!K49</f>
        <v>325655</v>
      </c>
      <c r="C1120" s="2" t="s">
        <v>594</v>
      </c>
      <c r="D1120" s="2" t="str">
        <f t="shared" si="16"/>
        <v>Error?</v>
      </c>
    </row>
    <row r="1121" spans="1:4" x14ac:dyDescent="0.2">
      <c r="A1121" s="5">
        <v>1060</v>
      </c>
      <c r="B1121" s="138">
        <f>'Expenditures 15-22'!K50</f>
        <v>413493</v>
      </c>
      <c r="C1121" s="2" t="s">
        <v>594</v>
      </c>
      <c r="D1121" s="2" t="str">
        <f t="shared" si="16"/>
        <v>Error?</v>
      </c>
    </row>
    <row r="1122" spans="1:4" x14ac:dyDescent="0.2">
      <c r="A1122" s="5">
        <v>1061</v>
      </c>
      <c r="B1122" s="138">
        <f>'Expenditures 15-22'!K53</f>
        <v>1059341</v>
      </c>
      <c r="C1122" s="2" t="s">
        <v>594</v>
      </c>
      <c r="D1122" s="2" t="str">
        <f t="shared" si="16"/>
        <v>Error?</v>
      </c>
    </row>
    <row r="1123" spans="1:4" x14ac:dyDescent="0.2">
      <c r="A1123" s="5">
        <v>1062</v>
      </c>
      <c r="B1123" s="138">
        <f>'Expenditures 15-22'!K55</f>
        <v>1454147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1454147</v>
      </c>
      <c r="C1125" s="2" t="s">
        <v>594</v>
      </c>
      <c r="D1125" s="2" t="str">
        <f t="shared" si="16"/>
        <v>Error?</v>
      </c>
    </row>
    <row r="1126" spans="1:4" x14ac:dyDescent="0.2">
      <c r="A1126" s="5">
        <v>1065</v>
      </c>
      <c r="B1126" s="138">
        <f>'Expenditures 15-22'!K59</f>
        <v>152170</v>
      </c>
      <c r="C1126" s="2" t="s">
        <v>594</v>
      </c>
      <c r="D1126" s="2" t="str">
        <f t="shared" si="16"/>
        <v>Error?</v>
      </c>
    </row>
    <row r="1127" spans="1:4" x14ac:dyDescent="0.2">
      <c r="A1127" s="5">
        <v>1066</v>
      </c>
      <c r="B1127" s="138">
        <f>'Expenditures 15-22'!K60</f>
        <v>225839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30000</v>
      </c>
      <c r="C1129" s="2" t="s">
        <v>594</v>
      </c>
      <c r="D1129" s="2" t="str">
        <f t="shared" si="16"/>
        <v>Error?</v>
      </c>
    </row>
    <row r="1130" spans="1:4" x14ac:dyDescent="0.2">
      <c r="A1130" s="5">
        <v>1069</v>
      </c>
      <c r="B1130" s="138">
        <f>'Expenditures 15-22'!K63</f>
        <v>626247</v>
      </c>
      <c r="C1130" s="2" t="s">
        <v>594</v>
      </c>
      <c r="D1130" s="2" t="str">
        <f t="shared" si="16"/>
        <v>Error?</v>
      </c>
    </row>
    <row r="1131" spans="1:4" x14ac:dyDescent="0.2">
      <c r="A1131" s="5">
        <v>1070</v>
      </c>
      <c r="B1131" s="138">
        <f>'Expenditures 15-22'!K64</f>
        <v>3795</v>
      </c>
      <c r="C1131" s="2" t="s">
        <v>594</v>
      </c>
      <c r="D1131" s="2" t="str">
        <f t="shared" si="16"/>
        <v>Error?</v>
      </c>
    </row>
    <row r="1132" spans="1:4" x14ac:dyDescent="0.2">
      <c r="A1132" s="10">
        <v>1071</v>
      </c>
      <c r="D1132" s="2" t="str">
        <f t="shared" si="16"/>
        <v>OK</v>
      </c>
    </row>
    <row r="1133" spans="1:4" x14ac:dyDescent="0.2">
      <c r="A1133" s="5">
        <v>1072</v>
      </c>
      <c r="B1133" s="138">
        <f>'Expenditures 15-22'!K65</f>
        <v>1038051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1290</v>
      </c>
      <c r="C1136" s="2" t="s">
        <v>594</v>
      </c>
      <c r="D1136" s="2" t="str">
        <f t="shared" si="16"/>
        <v>Error?</v>
      </c>
    </row>
    <row r="1137" spans="1:4" x14ac:dyDescent="0.2">
      <c r="A1137" s="5">
        <v>1076</v>
      </c>
      <c r="B1137" s="138">
        <f>'Expenditures 15-22'!K70</f>
        <v>186207</v>
      </c>
      <c r="C1137" s="2" t="s">
        <v>594</v>
      </c>
      <c r="D1137" s="2" t="str">
        <f t="shared" si="16"/>
        <v>Error?</v>
      </c>
    </row>
    <row r="1138" spans="1:4" x14ac:dyDescent="0.2">
      <c r="A1138" s="10">
        <v>1077</v>
      </c>
      <c r="D1138" s="2" t="str">
        <f t="shared" si="16"/>
        <v>OK</v>
      </c>
    </row>
    <row r="1139" spans="1:4" x14ac:dyDescent="0.2">
      <c r="A1139" s="5">
        <v>1078</v>
      </c>
      <c r="B1139" s="138">
        <f>'Expenditures 15-22'!K71</f>
        <v>69096</v>
      </c>
      <c r="C1139" s="2" t="s">
        <v>594</v>
      </c>
      <c r="D1139" s="2" t="str">
        <f t="shared" si="16"/>
        <v>Error?</v>
      </c>
    </row>
    <row r="1140" spans="1:4" x14ac:dyDescent="0.2">
      <c r="A1140" s="10">
        <v>1079</v>
      </c>
      <c r="D1140" s="2" t="str">
        <f t="shared" si="16"/>
        <v>OK</v>
      </c>
    </row>
    <row r="1141" spans="1:4" x14ac:dyDescent="0.2">
      <c r="A1141" s="5">
        <v>1080</v>
      </c>
      <c r="B1141" s="138">
        <f>'Expenditures 15-22'!K72</f>
        <v>256593</v>
      </c>
      <c r="C1141" s="2" t="s">
        <v>594</v>
      </c>
      <c r="D1141" s="2" t="str">
        <f t="shared" si="16"/>
        <v>Error?</v>
      </c>
    </row>
    <row r="1142" spans="1:4" x14ac:dyDescent="0.2">
      <c r="A1142" s="5">
        <v>1081</v>
      </c>
      <c r="B1142" s="138">
        <f>'Expenditures 15-22'!K73</f>
        <v>249</v>
      </c>
      <c r="C1142" s="2" t="s">
        <v>594</v>
      </c>
      <c r="D1142" s="2" t="str">
        <f t="shared" si="16"/>
        <v>Error?</v>
      </c>
    </row>
    <row r="1143" spans="1:4" x14ac:dyDescent="0.2">
      <c r="A1143" s="5">
        <v>1082</v>
      </c>
      <c r="B1143" s="138">
        <f>'Expenditures 15-22'!K74</f>
        <v>7620791</v>
      </c>
      <c r="C1143" s="2" t="s">
        <v>594</v>
      </c>
      <c r="D1143" s="2" t="str">
        <f t="shared" si="16"/>
        <v>Error?</v>
      </c>
    </row>
    <row r="1144" spans="1:4" x14ac:dyDescent="0.2">
      <c r="A1144" s="5">
        <v>1083</v>
      </c>
      <c r="B1144" s="138">
        <f>'Expenditures 15-22'!K75</f>
        <v>227034</v>
      </c>
      <c r="C1144" s="2" t="s">
        <v>594</v>
      </c>
      <c r="D1144" s="2" t="str">
        <f t="shared" si="16"/>
        <v>Error?</v>
      </c>
    </row>
    <row r="1145" spans="1:4" x14ac:dyDescent="0.2">
      <c r="A1145" s="5">
        <v>1084</v>
      </c>
      <c r="B1145" s="138">
        <f>'Expenditures 15-22'!K102</f>
        <v>996633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30180467</v>
      </c>
      <c r="C1152" s="2" t="s">
        <v>594</v>
      </c>
      <c r="D1152" s="2" t="str">
        <f t="shared" si="17"/>
        <v>Error?</v>
      </c>
    </row>
    <row r="1153" spans="1:4" x14ac:dyDescent="0.2">
      <c r="A1153" s="5">
        <v>1092</v>
      </c>
      <c r="B1153" s="138">
        <f>'Expenditures 15-22'!K115</f>
        <v>-1050280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25856</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1367868</v>
      </c>
      <c r="D1221" s="2" t="str">
        <f t="shared" si="18"/>
        <v>Error?</v>
      </c>
    </row>
    <row r="1222" spans="1:4" x14ac:dyDescent="0.2">
      <c r="A1222" s="10">
        <v>1161</v>
      </c>
      <c r="D1222" s="2" t="str">
        <f t="shared" si="18"/>
        <v>OK</v>
      </c>
    </row>
    <row r="1223" spans="1:4" x14ac:dyDescent="0.2">
      <c r="A1223" s="5">
        <v>1162</v>
      </c>
      <c r="B1223" s="138">
        <f>'Expenditures 15-22'!C127</f>
        <v>1393724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1393724</v>
      </c>
      <c r="C1225" s="2" t="s">
        <v>594</v>
      </c>
      <c r="D1225" s="2" t="str">
        <f t="shared" si="18"/>
        <v>Error?</v>
      </c>
    </row>
    <row r="1226" spans="1:4" x14ac:dyDescent="0.2">
      <c r="A1226" s="5">
        <v>1165</v>
      </c>
      <c r="B1226" s="138">
        <f>'Expenditures 15-22'!C151</f>
        <v>1393724</v>
      </c>
      <c r="C1226" s="2" t="s">
        <v>594</v>
      </c>
      <c r="D1226" s="2" t="str">
        <f t="shared" si="18"/>
        <v>Error?</v>
      </c>
    </row>
    <row r="1227" spans="1:4" x14ac:dyDescent="0.2">
      <c r="A1227" s="5">
        <v>1166</v>
      </c>
      <c r="B1227" s="138">
        <f>'Expenditures 15-22'!D122</f>
        <v>8448</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219804</v>
      </c>
      <c r="D1229" s="2" t="str">
        <f t="shared" si="18"/>
        <v>Error?</v>
      </c>
    </row>
    <row r="1230" spans="1:4" x14ac:dyDescent="0.2">
      <c r="A1230" s="10">
        <v>1169</v>
      </c>
      <c r="D1230" s="2" t="str">
        <f t="shared" si="18"/>
        <v>OK</v>
      </c>
    </row>
    <row r="1231" spans="1:4" x14ac:dyDescent="0.2">
      <c r="A1231" s="5">
        <v>1170</v>
      </c>
      <c r="B1231" s="138">
        <f>'Expenditures 15-22'!D127</f>
        <v>228252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228252</v>
      </c>
      <c r="C1233" s="2" t="s">
        <v>594</v>
      </c>
      <c r="D1233" s="2" t="str">
        <f t="shared" si="18"/>
        <v>Error?</v>
      </c>
    </row>
    <row r="1234" spans="1:4" x14ac:dyDescent="0.2">
      <c r="A1234" s="5">
        <v>1173</v>
      </c>
      <c r="B1234" s="138">
        <f>'Expenditures 15-22'!D151</f>
        <v>228252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744664</v>
      </c>
      <c r="D1237" s="2" t="str">
        <f t="shared" si="18"/>
        <v>Error?</v>
      </c>
    </row>
    <row r="1238" spans="1:4" x14ac:dyDescent="0.2">
      <c r="A1238" s="10">
        <v>1177</v>
      </c>
      <c r="D1238" s="2" t="str">
        <f t="shared" si="18"/>
        <v>OK</v>
      </c>
    </row>
    <row r="1239" spans="1:4" x14ac:dyDescent="0.2">
      <c r="A1239" s="5">
        <v>1178</v>
      </c>
      <c r="B1239" s="138">
        <f>'Expenditures 15-22'!E127</f>
        <v>744664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744664</v>
      </c>
      <c r="C1241" s="2" t="s">
        <v>594</v>
      </c>
      <c r="D1241" s="2" t="str">
        <f t="shared" si="18"/>
        <v>Error?</v>
      </c>
    </row>
    <row r="1242" spans="1:4" x14ac:dyDescent="0.2">
      <c r="A1242" s="5">
        <v>1181</v>
      </c>
      <c r="B1242" s="138">
        <f>'Expenditures 15-22'!E151</f>
        <v>744664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741418</v>
      </c>
      <c r="D1245" s="2" t="str">
        <f t="shared" si="18"/>
        <v>Error?</v>
      </c>
    </row>
    <row r="1246" spans="1:4" x14ac:dyDescent="0.2">
      <c r="A1246" s="10">
        <v>1185</v>
      </c>
      <c r="D1246" s="2" t="str">
        <f t="shared" si="18"/>
        <v>OK</v>
      </c>
    </row>
    <row r="1247" spans="1:4" x14ac:dyDescent="0.2">
      <c r="A1247" s="5">
        <v>1186</v>
      </c>
      <c r="B1247" s="138">
        <f>'Expenditures 15-22'!F127</f>
        <v>741418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741418</v>
      </c>
      <c r="C1249" s="2" t="s">
        <v>594</v>
      </c>
      <c r="D1249" s="2" t="str">
        <f t="shared" si="18"/>
        <v>Error?</v>
      </c>
    </row>
    <row r="1250" spans="1:4" x14ac:dyDescent="0.2">
      <c r="A1250" s="5">
        <v>1189</v>
      </c>
      <c r="B1250" s="138">
        <f>'Expenditures 15-22'!F151</f>
        <v>741418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20770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20770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20770</v>
      </c>
      <c r="C1258" s="2" t="s">
        <v>594</v>
      </c>
      <c r="D1258" s="2" t="str">
        <f t="shared" si="18"/>
        <v>Error?</v>
      </c>
    </row>
    <row r="1259" spans="1:4" x14ac:dyDescent="0.2">
      <c r="A1259" s="5">
        <v>1198</v>
      </c>
      <c r="B1259" s="138">
        <f>'Expenditures 15-22'!G151</f>
        <v>20770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34304</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3199042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3233346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3233346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3233346</v>
      </c>
      <c r="C1288" s="2" t="s">
        <v>594</v>
      </c>
      <c r="D1288" s="2" t="str">
        <f t="shared" si="19"/>
        <v>Error?</v>
      </c>
    </row>
    <row r="1289" spans="1:4" x14ac:dyDescent="0.2">
      <c r="A1289" s="5">
        <v>1228</v>
      </c>
      <c r="B1289" s="138">
        <f>'Expenditures 15-22'!K152</f>
        <v>-142603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646714</v>
      </c>
      <c r="C1314" s="2" t="s">
        <v>594</v>
      </c>
      <c r="D1314" s="2" t="str">
        <f t="shared" si="19"/>
        <v>Error?</v>
      </c>
    </row>
    <row r="1315" spans="1:4" x14ac:dyDescent="0.2">
      <c r="A1315" s="5">
        <v>1254</v>
      </c>
      <c r="B1315" s="138">
        <f>'Expenditures 15-22'!H170</f>
        <v>2275000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2921714</v>
      </c>
      <c r="C1317" s="2" t="s">
        <v>594</v>
      </c>
      <c r="D1317" s="2" t="str">
        <f t="shared" si="19"/>
        <v>Error?</v>
      </c>
    </row>
    <row r="1318" spans="1:4" x14ac:dyDescent="0.2">
      <c r="A1318" s="5">
        <v>1257</v>
      </c>
      <c r="B1318" s="138">
        <f>'Expenditures 15-22'!H174</f>
        <v>2921714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646714</v>
      </c>
      <c r="C1328" s="2" t="s">
        <v>594</v>
      </c>
      <c r="D1328" s="2" t="str">
        <f t="shared" si="19"/>
        <v>Error?</v>
      </c>
    </row>
    <row r="1329" spans="1:4" x14ac:dyDescent="0.2">
      <c r="A1329" s="5">
        <v>1268</v>
      </c>
      <c r="B1329" s="138">
        <f>'Expenditures 15-22'!K170</f>
        <v>2275000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2921714</v>
      </c>
      <c r="C1331" s="2" t="s">
        <v>594</v>
      </c>
      <c r="D1331" s="2" t="str">
        <f t="shared" si="19"/>
        <v>Error?</v>
      </c>
    </row>
    <row r="1332" spans="1:4" x14ac:dyDescent="0.2">
      <c r="A1332" s="5">
        <v>1271</v>
      </c>
      <c r="B1332" s="138">
        <f>'Expenditures 15-22'!K174</f>
        <v>2921714</v>
      </c>
      <c r="C1332" s="2" t="s">
        <v>594</v>
      </c>
      <c r="D1332" s="2" t="str">
        <f t="shared" si="19"/>
        <v>Error?</v>
      </c>
    </row>
    <row r="1333" spans="1:4" x14ac:dyDescent="0.2">
      <c r="A1333" s="5">
        <v>1272</v>
      </c>
      <c r="B1333" s="138">
        <f>'Expenditures 15-22'!K175</f>
        <v>167733</v>
      </c>
      <c r="C1333" s="2" t="s">
        <v>594</v>
      </c>
      <c r="D1333" s="2" t="str">
        <f t="shared" si="19"/>
        <v>Error?</v>
      </c>
    </row>
    <row r="1334" spans="1:4" x14ac:dyDescent="0.2">
      <c r="A1334" s="10">
        <v>1273</v>
      </c>
      <c r="D1334" s="2" t="str">
        <f t="shared" si="19"/>
        <v>OK</v>
      </c>
    </row>
    <row r="1335" spans="1:4" x14ac:dyDescent="0.2">
      <c r="A1335" s="5">
        <v>1274</v>
      </c>
      <c r="B1335" s="138">
        <f>'Expenditures 15-22'!C182</f>
        <v>10455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10455</v>
      </c>
      <c r="C1339" s="2" t="s">
        <v>594</v>
      </c>
      <c r="D1339" s="2" t="str">
        <f t="shared" si="19"/>
        <v>Error?</v>
      </c>
    </row>
    <row r="1340" spans="1:4" x14ac:dyDescent="0.2">
      <c r="A1340" s="5">
        <v>1279</v>
      </c>
      <c r="B1340" s="138">
        <f>'Expenditures 15-22'!C210</f>
        <v>10455</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1595579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1595579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1595579</v>
      </c>
      <c r="C1353" s="2" t="s">
        <v>594</v>
      </c>
      <c r="D1353" s="2" t="str">
        <f t="shared" si="20"/>
        <v>Error?</v>
      </c>
    </row>
    <row r="1354" spans="1:4" x14ac:dyDescent="0.2">
      <c r="A1354" s="5">
        <v>1293</v>
      </c>
      <c r="B1354" s="138">
        <f>'Expenditures 15-22'!F182</f>
        <v>7710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7710</v>
      </c>
      <c r="C1358" s="2" t="s">
        <v>594</v>
      </c>
      <c r="D1358" s="2" t="str">
        <f t="shared" si="20"/>
        <v>Error?</v>
      </c>
    </row>
    <row r="1359" spans="1:4" x14ac:dyDescent="0.2">
      <c r="A1359" s="5">
        <v>1298</v>
      </c>
      <c r="B1359" s="138">
        <f>'Expenditures 15-22'!F210</f>
        <v>7710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1613744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1613744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1613744</v>
      </c>
      <c r="C1388" s="2" t="s">
        <v>594</v>
      </c>
      <c r="D1388" s="2" t="str">
        <f t="shared" si="20"/>
        <v>Error?</v>
      </c>
    </row>
    <row r="1389" spans="1:4" x14ac:dyDescent="0.2">
      <c r="A1389" s="5">
        <v>1328</v>
      </c>
      <c r="B1389" s="138">
        <f>'Expenditures 15-22'!K211</f>
        <v>1895983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3741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19842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5072</v>
      </c>
      <c r="D1408" s="2" t="str">
        <f t="shared" si="21"/>
        <v>Error?</v>
      </c>
    </row>
    <row r="1409" spans="1:4" x14ac:dyDescent="0.2">
      <c r="A1409" s="5">
        <v>1348</v>
      </c>
      <c r="B1409" s="138">
        <f>'Expenditures 15-22'!D224</f>
        <v>9514</v>
      </c>
      <c r="D1409" s="2" t="str">
        <f t="shared" si="21"/>
        <v>Error?</v>
      </c>
    </row>
    <row r="1410" spans="1:4" x14ac:dyDescent="0.2">
      <c r="A1410" s="5">
        <v>1349</v>
      </c>
      <c r="B1410" s="138">
        <f>'Expenditures 15-22'!D229</f>
        <v>553266</v>
      </c>
      <c r="C1410" s="2" t="s">
        <v>594</v>
      </c>
      <c r="D1410" s="2" t="str">
        <f t="shared" si="21"/>
        <v>Error?</v>
      </c>
    </row>
    <row r="1411" spans="1:4" x14ac:dyDescent="0.2">
      <c r="A1411" s="5">
        <v>1350</v>
      </c>
      <c r="B1411" s="138">
        <f>'Expenditures 15-22'!D232</f>
        <v>7889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70766</v>
      </c>
      <c r="D1413" s="2" t="str">
        <f t="shared" si="21"/>
        <v>Error?</v>
      </c>
    </row>
    <row r="1414" spans="1:4" x14ac:dyDescent="0.2">
      <c r="A1414" s="5">
        <v>1353</v>
      </c>
      <c r="B1414" s="138">
        <f>'Expenditures 15-22'!D235</f>
        <v>2876</v>
      </c>
      <c r="D1414" s="2" t="str">
        <f t="shared" si="21"/>
        <v>Error?</v>
      </c>
    </row>
    <row r="1415" spans="1:4" x14ac:dyDescent="0.2">
      <c r="A1415" s="5">
        <v>1354</v>
      </c>
      <c r="B1415" s="138">
        <f>'Expenditures 15-22'!D236</f>
        <v>11657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93188</v>
      </c>
      <c r="C1417" s="2" t="s">
        <v>594</v>
      </c>
      <c r="D1417" s="2" t="str">
        <f t="shared" si="21"/>
        <v>Error?</v>
      </c>
    </row>
    <row r="1418" spans="1:4" x14ac:dyDescent="0.2">
      <c r="A1418" s="5">
        <v>1357</v>
      </c>
      <c r="B1418" s="138">
        <f>'Expenditures 15-22'!D240</f>
        <v>14329</v>
      </c>
      <c r="D1418" s="2" t="str">
        <f t="shared" si="21"/>
        <v>Error?</v>
      </c>
    </row>
    <row r="1419" spans="1:4" x14ac:dyDescent="0.2">
      <c r="A1419" s="5">
        <v>1358</v>
      </c>
      <c r="B1419" s="138">
        <f>'Expenditures 15-22'!D241</f>
        <v>29621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43950</v>
      </c>
      <c r="C1421" s="2" t="s">
        <v>594</v>
      </c>
      <c r="D1421" s="2" t="str">
        <f t="shared" si="21"/>
        <v>Error?</v>
      </c>
    </row>
    <row r="1422" spans="1:4" x14ac:dyDescent="0.2">
      <c r="A1422" s="5">
        <v>1361</v>
      </c>
      <c r="B1422" s="138">
        <f>'Expenditures 15-22'!D245</f>
        <v>136</v>
      </c>
      <c r="D1422" s="2" t="str">
        <f t="shared" si="21"/>
        <v>Error?</v>
      </c>
    </row>
    <row r="1423" spans="1:4" x14ac:dyDescent="0.2">
      <c r="A1423" s="5">
        <v>1362</v>
      </c>
      <c r="B1423" s="138">
        <f>'Expenditures 15-22'!D246</f>
        <v>28743</v>
      </c>
      <c r="D1423" s="2" t="str">
        <f t="shared" si="21"/>
        <v>Error?</v>
      </c>
    </row>
    <row r="1424" spans="1:4" x14ac:dyDescent="0.2">
      <c r="A1424" s="5">
        <v>1363</v>
      </c>
      <c r="B1424" s="138">
        <f>'Expenditures 15-22'!D257</f>
        <v>40536</v>
      </c>
      <c r="C1424" s="2" t="s">
        <v>594</v>
      </c>
      <c r="D1424" s="2" t="str">
        <f t="shared" si="21"/>
        <v>Error?</v>
      </c>
    </row>
    <row r="1425" spans="1:4" x14ac:dyDescent="0.2">
      <c r="A1425" s="5">
        <v>1364</v>
      </c>
      <c r="B1425" s="138">
        <f>'Expenditures 15-22'!D259</f>
        <v>61658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61658</v>
      </c>
      <c r="C1427" s="2" t="s">
        <v>594</v>
      </c>
      <c r="D1427" s="2" t="str">
        <f t="shared" si="21"/>
        <v>Error?</v>
      </c>
    </row>
    <row r="1428" spans="1:4" x14ac:dyDescent="0.2">
      <c r="A1428" s="5">
        <v>1367</v>
      </c>
      <c r="B1428" s="138">
        <f>'Expenditures 15-22'!D263</f>
        <v>1964</v>
      </c>
      <c r="D1428" s="2" t="str">
        <f t="shared" si="21"/>
        <v>Error?</v>
      </c>
    </row>
    <row r="1429" spans="1:4" x14ac:dyDescent="0.2">
      <c r="A1429" s="5">
        <v>1368</v>
      </c>
      <c r="B1429" s="138">
        <f>'Expenditures 15-22'!D264</f>
        <v>32283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228228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25808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288283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40</v>
      </c>
      <c r="D1439" s="2" t="str">
        <f t="shared" si="21"/>
        <v>Error?</v>
      </c>
    </row>
    <row r="1440" spans="1:4" x14ac:dyDescent="0.2">
      <c r="A1440" s="5">
        <v>1379</v>
      </c>
      <c r="B1440" s="138">
        <f>'Expenditures 15-22'!D275</f>
        <v>12176</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12216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539831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1093097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3741</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19842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5072</v>
      </c>
      <c r="C1472" s="2" t="s">
        <v>594</v>
      </c>
      <c r="D1472" s="2" t="str">
        <f t="shared" si="22"/>
        <v>Error?</v>
      </c>
    </row>
    <row r="1473" spans="1:4" x14ac:dyDescent="0.2">
      <c r="A1473" s="5">
        <v>1412</v>
      </c>
      <c r="B1473" s="138">
        <f>'Expenditures 15-22'!K224</f>
        <v>9514</v>
      </c>
      <c r="C1473" s="2" t="s">
        <v>594</v>
      </c>
      <c r="D1473" s="2" t="str">
        <f t="shared" si="22"/>
        <v>Error?</v>
      </c>
    </row>
    <row r="1474" spans="1:4" x14ac:dyDescent="0.2">
      <c r="A1474" s="5">
        <v>1413</v>
      </c>
      <c r="B1474" s="138">
        <f>'Expenditures 15-22'!K229</f>
        <v>553266</v>
      </c>
      <c r="C1474" s="2" t="s">
        <v>594</v>
      </c>
      <c r="D1474" s="2" t="str">
        <f t="shared" si="22"/>
        <v>Error?</v>
      </c>
    </row>
    <row r="1475" spans="1:4" x14ac:dyDescent="0.2">
      <c r="A1475" s="5">
        <v>1414</v>
      </c>
      <c r="B1475" s="138">
        <f>'Expenditures 15-22'!K232</f>
        <v>7889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70766</v>
      </c>
      <c r="C1477" s="2" t="s">
        <v>594</v>
      </c>
      <c r="D1477" s="2" t="str">
        <f t="shared" si="22"/>
        <v>Error?</v>
      </c>
    </row>
    <row r="1478" spans="1:4" x14ac:dyDescent="0.2">
      <c r="A1478" s="5">
        <v>1417</v>
      </c>
      <c r="B1478" s="138">
        <f>'Expenditures 15-22'!K235</f>
        <v>2876</v>
      </c>
      <c r="C1478" s="2" t="s">
        <v>594</v>
      </c>
      <c r="D1478" s="2" t="str">
        <f t="shared" si="22"/>
        <v>Error?</v>
      </c>
    </row>
    <row r="1479" spans="1:4" x14ac:dyDescent="0.2">
      <c r="A1479" s="5">
        <v>1418</v>
      </c>
      <c r="B1479" s="138">
        <f>'Expenditures 15-22'!K236</f>
        <v>11657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93188</v>
      </c>
      <c r="C1481" s="2" t="s">
        <v>594</v>
      </c>
      <c r="D1481" s="2" t="str">
        <f t="shared" si="22"/>
        <v>Error?</v>
      </c>
    </row>
    <row r="1482" spans="1:4" x14ac:dyDescent="0.2">
      <c r="A1482" s="5">
        <v>1421</v>
      </c>
      <c r="B1482" s="138">
        <f>'Expenditures 15-22'!K240</f>
        <v>14329</v>
      </c>
      <c r="C1482" s="2" t="s">
        <v>594</v>
      </c>
      <c r="D1482" s="2" t="str">
        <f t="shared" si="22"/>
        <v>Error?</v>
      </c>
    </row>
    <row r="1483" spans="1:4" x14ac:dyDescent="0.2">
      <c r="A1483" s="5">
        <v>1422</v>
      </c>
      <c r="B1483" s="138">
        <f>'Expenditures 15-22'!K241</f>
        <v>29621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43950</v>
      </c>
      <c r="C1485" s="2" t="s">
        <v>594</v>
      </c>
      <c r="D1485" s="2" t="str">
        <f t="shared" si="22"/>
        <v>Error?</v>
      </c>
    </row>
    <row r="1486" spans="1:4" x14ac:dyDescent="0.2">
      <c r="A1486" s="5">
        <v>1425</v>
      </c>
      <c r="B1486" s="138">
        <f>'Expenditures 15-22'!K245</f>
        <v>136</v>
      </c>
      <c r="C1486" s="2" t="s">
        <v>594</v>
      </c>
      <c r="D1486" s="2" t="str">
        <f t="shared" si="22"/>
        <v>Error?</v>
      </c>
    </row>
    <row r="1487" spans="1:4" x14ac:dyDescent="0.2">
      <c r="A1487" s="5">
        <v>1426</v>
      </c>
      <c r="B1487" s="138">
        <f>'Expenditures 15-22'!K246</f>
        <v>28743</v>
      </c>
      <c r="C1487" s="2" t="s">
        <v>594</v>
      </c>
      <c r="D1487" s="2" t="str">
        <f t="shared" si="22"/>
        <v>Error?</v>
      </c>
    </row>
    <row r="1488" spans="1:4" x14ac:dyDescent="0.2">
      <c r="A1488" s="5">
        <v>1427</v>
      </c>
      <c r="B1488" s="138">
        <f>'Expenditures 15-22'!K257</f>
        <v>40536</v>
      </c>
      <c r="C1488" s="2" t="s">
        <v>594</v>
      </c>
      <c r="D1488" s="2" t="str">
        <f t="shared" si="22"/>
        <v>Error?</v>
      </c>
    </row>
    <row r="1489" spans="1:4" x14ac:dyDescent="0.2">
      <c r="A1489" s="5">
        <v>1428</v>
      </c>
      <c r="B1489" s="138">
        <f>'Expenditures 15-22'!K259</f>
        <v>61658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61658</v>
      </c>
      <c r="C1491" s="2" t="s">
        <v>594</v>
      </c>
      <c r="D1491" s="2" t="str">
        <f t="shared" si="22"/>
        <v>Error?</v>
      </c>
    </row>
    <row r="1492" spans="1:4" x14ac:dyDescent="0.2">
      <c r="A1492" s="5">
        <v>1431</v>
      </c>
      <c r="B1492" s="138">
        <f>'Expenditures 15-22'!K263</f>
        <v>1964</v>
      </c>
      <c r="C1492" s="2" t="s">
        <v>594</v>
      </c>
      <c r="D1492" s="2" t="str">
        <f t="shared" si="22"/>
        <v>Error?</v>
      </c>
    </row>
    <row r="1493" spans="1:4" x14ac:dyDescent="0.2">
      <c r="A1493" s="5">
        <v>1432</v>
      </c>
      <c r="B1493" s="138">
        <f>'Expenditures 15-22'!K264</f>
        <v>32283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228228</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25808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288283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40</v>
      </c>
      <c r="C1503" s="2" t="s">
        <v>594</v>
      </c>
      <c r="D1503" s="2" t="str">
        <f t="shared" si="22"/>
        <v>Error?</v>
      </c>
    </row>
    <row r="1504" spans="1:4" x14ac:dyDescent="0.2">
      <c r="A1504" s="5">
        <v>1443</v>
      </c>
      <c r="B1504" s="138">
        <f>'Expenditures 15-22'!K275</f>
        <v>12176</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12216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539831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1093097</v>
      </c>
      <c r="C1517" s="2" t="s">
        <v>594</v>
      </c>
      <c r="D1517" s="2" t="str">
        <f t="shared" si="22"/>
        <v>Error?</v>
      </c>
    </row>
    <row r="1518" spans="1:4" x14ac:dyDescent="0.2">
      <c r="A1518" s="5">
        <v>1457</v>
      </c>
      <c r="B1518" s="138">
        <f>'Expenditures 15-22'!K296</f>
        <v>-6560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69606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69606</v>
      </c>
      <c r="C1535" s="2" t="s">
        <v>594</v>
      </c>
      <c r="D1535" s="2" t="str">
        <f t="shared" ref="D1535:D1598" si="23">IF(ISBLANK(B1535),"OK",IF(A1535-B1535=0,"OK","Error?"))</f>
        <v>Error?</v>
      </c>
    </row>
    <row r="1536" spans="1:4" x14ac:dyDescent="0.2">
      <c r="A1536" s="5">
        <v>1475</v>
      </c>
      <c r="B1536" s="138">
        <f>'Expenditures 15-22'!E312</f>
        <v>69606</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1421147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1421147</v>
      </c>
      <c r="C1547" s="2" t="s">
        <v>594</v>
      </c>
      <c r="D1547" s="2" t="str">
        <f t="shared" si="23"/>
        <v>Error?</v>
      </c>
    </row>
    <row r="1548" spans="1:4" x14ac:dyDescent="0.2">
      <c r="A1548" s="5">
        <v>1487</v>
      </c>
      <c r="B1548" s="138">
        <f>'Expenditures 15-22'!G312</f>
        <v>1421147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1490753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1490753</v>
      </c>
      <c r="C1559" s="2" t="s">
        <v>594</v>
      </c>
      <c r="D1559" s="2" t="str">
        <f t="shared" si="23"/>
        <v>Error?</v>
      </c>
    </row>
    <row r="1560" spans="1:4" x14ac:dyDescent="0.2">
      <c r="A1560" s="5">
        <v>1499</v>
      </c>
      <c r="B1560" s="138">
        <f>'Expenditures 15-22'!K312</f>
        <v>1490753</v>
      </c>
      <c r="C1560" s="2" t="s">
        <v>594</v>
      </c>
      <c r="D1560" s="2" t="str">
        <f t="shared" si="23"/>
        <v>Error?</v>
      </c>
    </row>
    <row r="1561" spans="1:4" x14ac:dyDescent="0.2">
      <c r="A1561" s="5">
        <v>1500</v>
      </c>
      <c r="B1561" s="138">
        <f>'Expenditures 15-22'!K313</f>
        <v>-1449741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17637386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24384287</v>
      </c>
      <c r="C1630" s="2" t="s">
        <v>594</v>
      </c>
      <c r="D1630" s="2" t="str">
        <f t="shared" si="24"/>
        <v>Error?</v>
      </c>
    </row>
    <row r="1631" spans="1:4" x14ac:dyDescent="0.2">
      <c r="A1631" s="5">
        <v>1570</v>
      </c>
      <c r="B1631" s="138">
        <f>'Acct Summary 7-8'!D79</f>
        <v>3071136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2928533</v>
      </c>
      <c r="C1644" s="2" t="s">
        <v>594</v>
      </c>
      <c r="D1644" s="2" t="str">
        <f t="shared" si="24"/>
        <v>Error?</v>
      </c>
    </row>
    <row r="1645" spans="1:4" x14ac:dyDescent="0.2">
      <c r="A1645" s="5">
        <v>1584</v>
      </c>
      <c r="B1645" s="138">
        <f>'Acct Summary 7-8'!E79</f>
        <v>3019697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3187430</v>
      </c>
      <c r="C1658" s="2" t="s">
        <v>594</v>
      </c>
      <c r="D1658" s="2" t="str">
        <f t="shared" si="24"/>
        <v>Error?</v>
      </c>
    </row>
    <row r="1659" spans="1:4" x14ac:dyDescent="0.2">
      <c r="A1659" s="5">
        <v>1598</v>
      </c>
      <c r="B1659" s="138">
        <f>'Acct Summary 7-8'!F79</f>
        <v>1138980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1234963</v>
      </c>
      <c r="C1672" s="2" t="s">
        <v>594</v>
      </c>
      <c r="D1672" s="2" t="str">
        <f t="shared" si="25"/>
        <v>Error?</v>
      </c>
    </row>
    <row r="1673" spans="1:4" x14ac:dyDescent="0.2">
      <c r="A1673" s="5">
        <v>1612</v>
      </c>
      <c r="B1673" s="138">
        <f>'Acct Summary 7-8'!G79</f>
        <v>723826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717266</v>
      </c>
      <c r="C1686" s="2" t="s">
        <v>594</v>
      </c>
      <c r="D1686" s="2" t="str">
        <f t="shared" si="25"/>
        <v>Error?</v>
      </c>
    </row>
    <row r="1687" spans="1:4" x14ac:dyDescent="0.2">
      <c r="A1687" s="5">
        <v>1626</v>
      </c>
      <c r="B1687" s="138">
        <f>'Acct Summary 7-8'!H79</f>
        <v>301764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4852023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21917298</v>
      </c>
      <c r="C1744" s="2" t="s">
        <v>594</v>
      </c>
      <c r="D1744" s="2" t="str">
        <f t="shared" si="26"/>
        <v>Error?</v>
      </c>
    </row>
    <row r="1745" spans="1:5" x14ac:dyDescent="0.2">
      <c r="A1745" s="5">
        <v>1684</v>
      </c>
      <c r="B1745" s="138">
        <f>'Tax Sched 23'!B5</f>
        <v>3026424</v>
      </c>
      <c r="C1745" s="2" t="s">
        <v>594</v>
      </c>
      <c r="D1745" s="2" t="str">
        <f t="shared" si="26"/>
        <v>Error?</v>
      </c>
    </row>
    <row r="1746" spans="1:5" x14ac:dyDescent="0.2">
      <c r="A1746" s="5">
        <v>1685</v>
      </c>
      <c r="B1746" s="138">
        <f>'Tax Sched 23'!B6</f>
        <v>3046153</v>
      </c>
      <c r="C1746" s="2" t="s">
        <v>594</v>
      </c>
      <c r="D1746" s="2" t="str">
        <f t="shared" si="26"/>
        <v>Error?</v>
      </c>
    </row>
    <row r="1747" spans="1:5" x14ac:dyDescent="0.2">
      <c r="A1747" s="5">
        <v>1686</v>
      </c>
      <c r="B1747" s="138">
        <f>'Tax Sched 23'!B7</f>
        <v>2704869</v>
      </c>
      <c r="C1747" s="2" t="s">
        <v>594</v>
      </c>
      <c r="D1747" s="2" t="str">
        <f t="shared" si="26"/>
        <v>Error?</v>
      </c>
    </row>
    <row r="1748" spans="1:5" x14ac:dyDescent="0.2">
      <c r="A1748" s="5">
        <v>1687</v>
      </c>
      <c r="B1748" s="138">
        <f>'Tax Sched 23'!B8</f>
        <v>495578</v>
      </c>
      <c r="C1748" s="2" t="s">
        <v>594</v>
      </c>
      <c r="D1748" s="2" t="str">
        <f t="shared" si="26"/>
        <v>Error?</v>
      </c>
    </row>
    <row r="1749" spans="1:5" x14ac:dyDescent="0.2">
      <c r="A1749" s="5">
        <v>1688</v>
      </c>
      <c r="B1749" s="138">
        <f>'Tax Sched 23'!B10</f>
        <v>275088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297250</v>
      </c>
      <c r="C1752" s="2" t="s">
        <v>594</v>
      </c>
      <c r="D1752" s="2" t="str">
        <f t="shared" si="26"/>
        <v>Error?</v>
      </c>
    </row>
    <row r="1753" spans="1:5" x14ac:dyDescent="0.2">
      <c r="A1753" s="5">
        <v>1692</v>
      </c>
      <c r="B1753" s="138">
        <f>'Tax Sched 23'!B12</f>
        <v>5035</v>
      </c>
      <c r="C1753" s="2" t="s">
        <v>594</v>
      </c>
      <c r="D1753" s="2" t="str">
        <f t="shared" si="26"/>
        <v>Error?</v>
      </c>
    </row>
    <row r="1754" spans="1:5" x14ac:dyDescent="0.2">
      <c r="A1754" s="5">
        <v>1693</v>
      </c>
      <c r="B1754" s="138">
        <f>'Tax Sched 23'!B14</f>
        <v>978521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33575562</v>
      </c>
      <c r="C1759" s="2" t="s">
        <v>594</v>
      </c>
      <c r="D1759" s="2" t="str">
        <f t="shared" si="26"/>
        <v>Error?</v>
      </c>
    </row>
    <row r="1760" spans="1:5" x14ac:dyDescent="0.2">
      <c r="A1760" s="5">
        <v>1699</v>
      </c>
      <c r="B1760" s="138">
        <f>'Tax Sched 23'!D4</f>
        <v>8538497</v>
      </c>
      <c r="C1760" s="2" t="s">
        <v>594</v>
      </c>
      <c r="D1760" s="2" t="str">
        <f t="shared" si="26"/>
        <v>Error?</v>
      </c>
    </row>
    <row r="1761" spans="1:5" x14ac:dyDescent="0.2">
      <c r="A1761" s="5">
        <v>1700</v>
      </c>
      <c r="B1761" s="138">
        <f>'Tax Sched 23'!D5</f>
        <v>1341672</v>
      </c>
      <c r="C1761" s="2" t="s">
        <v>594</v>
      </c>
      <c r="D1761" s="2" t="str">
        <f t="shared" si="26"/>
        <v>Error?</v>
      </c>
    </row>
    <row r="1762" spans="1:5" s="8" customFormat="1" x14ac:dyDescent="0.2">
      <c r="A1762" s="5">
        <v>1701</v>
      </c>
      <c r="B1762" s="138">
        <f>'Tax Sched 23'!D6</f>
        <v>1378648</v>
      </c>
      <c r="C1762" s="2" t="s">
        <v>594</v>
      </c>
      <c r="D1762" s="2" t="str">
        <f t="shared" si="26"/>
        <v>Error?</v>
      </c>
      <c r="E1762" s="9"/>
    </row>
    <row r="1763" spans="1:5" x14ac:dyDescent="0.2">
      <c r="A1763" s="5">
        <v>1702</v>
      </c>
      <c r="B1763" s="138">
        <f>'Tax Sched 23'!D7</f>
        <v>1833472</v>
      </c>
      <c r="C1763" s="2" t="s">
        <v>594</v>
      </c>
      <c r="D1763" s="2" t="str">
        <f t="shared" si="26"/>
        <v>Error?</v>
      </c>
    </row>
    <row r="1764" spans="1:5" x14ac:dyDescent="0.2">
      <c r="A1764" s="5">
        <v>1703</v>
      </c>
      <c r="B1764" s="138">
        <f>'Tax Sched 23'!D8</f>
        <v>200909</v>
      </c>
      <c r="C1764" s="2" t="s">
        <v>594</v>
      </c>
      <c r="D1764" s="2" t="str">
        <f t="shared" si="26"/>
        <v>Error?</v>
      </c>
    </row>
    <row r="1765" spans="1:5" x14ac:dyDescent="0.2">
      <c r="A1765" s="5">
        <v>1704</v>
      </c>
      <c r="B1765" s="138">
        <f>'Tax Sched 23'!D10</f>
        <v>121911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133504</v>
      </c>
      <c r="C1768" s="2" t="s">
        <v>594</v>
      </c>
      <c r="D1768" s="2" t="str">
        <f t="shared" si="26"/>
        <v>Error?</v>
      </c>
    </row>
    <row r="1769" spans="1:5" x14ac:dyDescent="0.2">
      <c r="A1769" s="5">
        <v>1708</v>
      </c>
      <c r="B1769" s="138">
        <f>'Tax Sched 23'!D12</f>
        <v>2641</v>
      </c>
      <c r="C1769" s="2" t="s">
        <v>594</v>
      </c>
      <c r="D1769" s="2" t="str">
        <f t="shared" si="26"/>
        <v>Error?</v>
      </c>
    </row>
    <row r="1770" spans="1:5" x14ac:dyDescent="0.2">
      <c r="A1770" s="5">
        <v>1709</v>
      </c>
      <c r="B1770" s="138">
        <f>'Tax Sched 23'!D14</f>
        <v>975739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15031630</v>
      </c>
      <c r="C1775" s="2" t="s">
        <v>594</v>
      </c>
      <c r="D1775" s="2" t="str">
        <f t="shared" si="26"/>
        <v>Error?</v>
      </c>
    </row>
    <row r="1776" spans="1:5" x14ac:dyDescent="0.2">
      <c r="A1776" s="5">
        <v>1715</v>
      </c>
      <c r="B1776" s="138">
        <f>'Tax Sched 23'!C4</f>
        <v>13378801</v>
      </c>
      <c r="D1776" s="2" t="str">
        <f t="shared" si="26"/>
        <v>Error?</v>
      </c>
    </row>
    <row r="1777" spans="1:4" x14ac:dyDescent="0.2">
      <c r="A1777" s="5">
        <v>1716</v>
      </c>
      <c r="B1777" s="138">
        <f>'Tax Sched 23'!C5</f>
        <v>1684752</v>
      </c>
      <c r="D1777" s="2" t="str">
        <f t="shared" si="26"/>
        <v>Error?</v>
      </c>
    </row>
    <row r="1778" spans="1:4" x14ac:dyDescent="0.2">
      <c r="A1778" s="5">
        <v>1717</v>
      </c>
      <c r="B1778" s="138">
        <f>'Tax Sched 23'!C6</f>
        <v>1667505</v>
      </c>
      <c r="D1778" s="2" t="str">
        <f t="shared" si="26"/>
        <v>Error?</v>
      </c>
    </row>
    <row r="1779" spans="1:4" x14ac:dyDescent="0.2">
      <c r="A1779" s="5">
        <v>1718</v>
      </c>
      <c r="B1779" s="138">
        <f>'Tax Sched 23'!C7</f>
        <v>871397</v>
      </c>
      <c r="D1779" s="2" t="str">
        <f t="shared" si="26"/>
        <v>Error?</v>
      </c>
    </row>
    <row r="1780" spans="1:4" x14ac:dyDescent="0.2">
      <c r="A1780" s="5">
        <v>1719</v>
      </c>
      <c r="B1780" s="138">
        <f>'Tax Sched 23'!C8</f>
        <v>294669</v>
      </c>
      <c r="D1780" s="2" t="str">
        <f t="shared" si="26"/>
        <v>Error?</v>
      </c>
    </row>
    <row r="1781" spans="1:4" x14ac:dyDescent="0.2">
      <c r="A1781" s="5">
        <v>1720</v>
      </c>
      <c r="B1781" s="138">
        <f>'Tax Sched 23'!C10</f>
        <v>153177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163746</v>
      </c>
      <c r="D1784" s="2" t="str">
        <f t="shared" si="26"/>
        <v>Error?</v>
      </c>
    </row>
    <row r="1785" spans="1:4" x14ac:dyDescent="0.2">
      <c r="A1785" s="5">
        <v>1724</v>
      </c>
      <c r="B1785" s="138">
        <f>'Tax Sched 23'!C12</f>
        <v>2394</v>
      </c>
      <c r="D1785" s="2" t="str">
        <f t="shared" si="26"/>
        <v>Error?</v>
      </c>
    </row>
    <row r="1786" spans="1:4" x14ac:dyDescent="0.2">
      <c r="A1786" s="5">
        <v>1725</v>
      </c>
      <c r="B1786" s="138">
        <f>'Tax Sched 23'!C14</f>
        <v>2782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18543932</v>
      </c>
      <c r="C1791" s="2" t="s">
        <v>594</v>
      </c>
      <c r="D1791" s="2" t="str">
        <f t="shared" ref="D1791:D1854" si="27">IF(ISBLANK(B1791),"OK",IF(A1791-B1791=0,"OK","Error?"))</f>
        <v>Error?</v>
      </c>
    </row>
    <row r="1792" spans="1:4" x14ac:dyDescent="0.2">
      <c r="A1792" s="5">
        <v>1731</v>
      </c>
      <c r="B1792" s="138">
        <f>'Tax Sched 23'!F4</f>
        <v>11849898</v>
      </c>
      <c r="C1792" s="2" t="s">
        <v>594</v>
      </c>
      <c r="D1792" s="2" t="str">
        <f t="shared" si="27"/>
        <v>Error?</v>
      </c>
    </row>
    <row r="1793" spans="1:4" x14ac:dyDescent="0.2">
      <c r="A1793" s="5">
        <v>1732</v>
      </c>
      <c r="B1793" s="138">
        <f>'Tax Sched 23'!F5</f>
        <v>1492511</v>
      </c>
      <c r="C1793" s="2" t="s">
        <v>594</v>
      </c>
      <c r="D1793" s="2" t="str">
        <f t="shared" si="27"/>
        <v>Error?</v>
      </c>
    </row>
    <row r="1794" spans="1:4" x14ac:dyDescent="0.2">
      <c r="A1794" s="5">
        <v>1733</v>
      </c>
      <c r="B1794" s="138">
        <f>'Tax Sched 23'!F6</f>
        <v>1479393</v>
      </c>
      <c r="C1794" s="2" t="s">
        <v>594</v>
      </c>
      <c r="D1794" s="2" t="str">
        <f t="shared" si="27"/>
        <v>Error?</v>
      </c>
    </row>
    <row r="1795" spans="1:4" x14ac:dyDescent="0.2">
      <c r="A1795" s="5">
        <v>1734</v>
      </c>
      <c r="B1795" s="138">
        <f>'Tax Sched 23'!F7</f>
        <v>776603</v>
      </c>
      <c r="C1795" s="2" t="s">
        <v>594</v>
      </c>
      <c r="D1795" s="2" t="str">
        <f t="shared" si="27"/>
        <v>Error?</v>
      </c>
    </row>
    <row r="1796" spans="1:4" x14ac:dyDescent="0.2">
      <c r="A1796" s="5">
        <v>1735</v>
      </c>
      <c r="B1796" s="138">
        <f>'Tax Sched 23'!F8</f>
        <v>261531</v>
      </c>
      <c r="C1796" s="2" t="s">
        <v>594</v>
      </c>
      <c r="D1796" s="2" t="str">
        <f t="shared" si="27"/>
        <v>Error?</v>
      </c>
    </row>
    <row r="1797" spans="1:4" x14ac:dyDescent="0.2">
      <c r="A1797" s="5">
        <v>1736</v>
      </c>
      <c r="B1797" s="138">
        <f>'Tax Sched 23'!F10</f>
        <v>135665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145254</v>
      </c>
      <c r="C1800" s="2" t="s">
        <v>594</v>
      </c>
      <c r="D1800" s="2" t="str">
        <f t="shared" si="27"/>
        <v>Error?</v>
      </c>
    </row>
    <row r="1801" spans="1:4" x14ac:dyDescent="0.2">
      <c r="A1801" s="5">
        <v>1740</v>
      </c>
      <c r="B1801" s="138">
        <f>'Tax Sched 23'!F12</f>
        <v>2756</v>
      </c>
      <c r="C1801" s="2" t="s">
        <v>594</v>
      </c>
      <c r="D1801" s="2" t="str">
        <f t="shared" si="27"/>
        <v>Error?</v>
      </c>
    </row>
    <row r="1802" spans="1:4" x14ac:dyDescent="0.2">
      <c r="A1802" s="5">
        <v>1741</v>
      </c>
      <c r="B1802" s="138">
        <f>'Tax Sched 23'!F14</f>
        <v>2368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16434120</v>
      </c>
      <c r="C1807" s="2" t="s">
        <v>594</v>
      </c>
      <c r="D1807" s="2" t="str">
        <f t="shared" si="27"/>
        <v>Error?</v>
      </c>
    </row>
    <row r="1808" spans="1:4" x14ac:dyDescent="0.2">
      <c r="A1808" s="5">
        <v>1747</v>
      </c>
      <c r="B1808" s="138">
        <f>'Tax Sched 23'!E4</f>
        <v>25228699</v>
      </c>
      <c r="D1808" s="2" t="str">
        <f t="shared" si="27"/>
        <v>Error?</v>
      </c>
    </row>
    <row r="1809" spans="1:4" x14ac:dyDescent="0.2">
      <c r="A1809" s="5">
        <v>1748</v>
      </c>
      <c r="B1809" s="138">
        <f>'Tax Sched 23'!E5</f>
        <v>3177263</v>
      </c>
      <c r="D1809" s="2" t="str">
        <f t="shared" si="27"/>
        <v>Error?</v>
      </c>
    </row>
    <row r="1810" spans="1:4" x14ac:dyDescent="0.2">
      <c r="A1810" s="5">
        <v>1749</v>
      </c>
      <c r="B1810" s="138">
        <f>'Tax Sched 23'!E6</f>
        <v>3146898</v>
      </c>
      <c r="D1810" s="2" t="str">
        <f t="shared" si="27"/>
        <v>Error?</v>
      </c>
    </row>
    <row r="1811" spans="1:4" x14ac:dyDescent="0.2">
      <c r="A1811" s="5">
        <v>1750</v>
      </c>
      <c r="B1811" s="138">
        <f>'Tax Sched 23'!E7</f>
        <v>1648000</v>
      </c>
      <c r="D1811" s="2" t="str">
        <f t="shared" si="27"/>
        <v>Error?</v>
      </c>
    </row>
    <row r="1812" spans="1:4" x14ac:dyDescent="0.2">
      <c r="A1812" s="5">
        <v>1751</v>
      </c>
      <c r="B1812" s="138">
        <f>'Tax Sched 23'!E8</f>
        <v>556200</v>
      </c>
      <c r="D1812" s="2" t="str">
        <f t="shared" si="27"/>
        <v>Error?</v>
      </c>
    </row>
    <row r="1813" spans="1:4" x14ac:dyDescent="0.2">
      <c r="A1813" s="5">
        <v>1752</v>
      </c>
      <c r="B1813" s="138">
        <f>'Tax Sched 23'!E10</f>
        <v>288842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309000</v>
      </c>
      <c r="D1816" s="2" t="str">
        <f t="shared" si="27"/>
        <v>Error?</v>
      </c>
    </row>
    <row r="1817" spans="1:4" x14ac:dyDescent="0.2">
      <c r="A1817" s="5">
        <v>1756</v>
      </c>
      <c r="B1817" s="138">
        <f>'Tax Sched 23'!E12</f>
        <v>5150</v>
      </c>
      <c r="D1817" s="2" t="str">
        <f t="shared" si="27"/>
        <v>Error?</v>
      </c>
    </row>
    <row r="1818" spans="1:4" x14ac:dyDescent="0.2">
      <c r="A1818" s="5">
        <v>1757</v>
      </c>
      <c r="B1818" s="138">
        <f>'Tax Sched 23'!E14</f>
        <v>5150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34978052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16635000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978521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978521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978521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5311469</v>
      </c>
      <c r="D2008" s="2" t="str">
        <f t="shared" si="30"/>
        <v>Error?</v>
      </c>
    </row>
    <row r="2009" spans="1:4" x14ac:dyDescent="0.2">
      <c r="A2009" s="5">
        <v>1948</v>
      </c>
      <c r="B2009" s="138">
        <f>'Cap Outlay Deprec 26'!C8</f>
        <v>45754550</v>
      </c>
      <c r="D2009" s="2" t="str">
        <f t="shared" si="30"/>
        <v>Error?</v>
      </c>
    </row>
    <row r="2010" spans="1:4" x14ac:dyDescent="0.2">
      <c r="A2010" s="5">
        <v>1949</v>
      </c>
      <c r="B2010" s="138">
        <f>'Cap Outlay Deprec 26'!C10</f>
        <v>8251004</v>
      </c>
      <c r="D2010" s="2" t="str">
        <f t="shared" si="30"/>
        <v>Error?</v>
      </c>
    </row>
    <row r="2011" spans="1:4" x14ac:dyDescent="0.2">
      <c r="A2011" s="5">
        <v>1950</v>
      </c>
      <c r="B2011" s="138">
        <f>'Cap Outlay Deprec 26'!C12</f>
        <v>14074027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73391050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141701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1562848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5311469</v>
      </c>
      <c r="C2026" s="2" t="s">
        <v>594</v>
      </c>
      <c r="D2026" s="2" t="str">
        <f t="shared" si="30"/>
        <v>Error?</v>
      </c>
    </row>
    <row r="2027" spans="1:4" x14ac:dyDescent="0.2">
      <c r="A2027" s="5">
        <v>1966</v>
      </c>
      <c r="B2027" s="138">
        <f>'Cap Outlay Deprec 26'!F8</f>
        <v>45754550</v>
      </c>
      <c r="C2027" s="2" t="s">
        <v>594</v>
      </c>
      <c r="D2027" s="2" t="str">
        <f t="shared" si="30"/>
        <v>Error?</v>
      </c>
    </row>
    <row r="2028" spans="1:4" x14ac:dyDescent="0.2">
      <c r="A2028" s="5">
        <v>1967</v>
      </c>
      <c r="B2028" s="138">
        <f>'Cap Outlay Deprec 26'!F10</f>
        <v>8251004</v>
      </c>
      <c r="C2028" s="2" t="s">
        <v>594</v>
      </c>
      <c r="D2028" s="2" t="str">
        <f t="shared" si="30"/>
        <v>Error?</v>
      </c>
    </row>
    <row r="2029" spans="1:4" x14ac:dyDescent="0.2">
      <c r="A2029" s="5">
        <v>1968</v>
      </c>
      <c r="B2029" s="138">
        <f>'Cap Outlay Deprec 26'!F12</f>
        <v>14215728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74953898</v>
      </c>
      <c r="C2031" s="2" t="s">
        <v>594</v>
      </c>
      <c r="D2031" s="2" t="str">
        <f t="shared" si="30"/>
        <v>Error?</v>
      </c>
    </row>
    <row r="2032" spans="1:4" x14ac:dyDescent="0.2">
      <c r="A2032" s="10">
        <v>1971</v>
      </c>
      <c r="D2032" s="2" t="str">
        <f t="shared" si="30"/>
        <v>OK</v>
      </c>
    </row>
    <row r="2033" spans="1:4" x14ac:dyDescent="0.2">
      <c r="A2033" s="5">
        <v>1972</v>
      </c>
      <c r="B2033" s="138">
        <f>'Cap Outlay Deprec 26'!H8</f>
        <v>14259066</v>
      </c>
      <c r="D2033" s="2" t="str">
        <f t="shared" si="30"/>
        <v>Error?</v>
      </c>
    </row>
    <row r="2034" spans="1:4" x14ac:dyDescent="0.2">
      <c r="A2034" s="5">
        <v>1973</v>
      </c>
      <c r="B2034" s="138">
        <f>'Cap Outlay Deprec 26'!H10</f>
        <v>2748809</v>
      </c>
      <c r="D2034" s="2" t="str">
        <f t="shared" si="30"/>
        <v>Error?</v>
      </c>
    </row>
    <row r="2035" spans="1:4" x14ac:dyDescent="0.2">
      <c r="A2035" s="5">
        <v>1974</v>
      </c>
      <c r="B2035" s="138">
        <f>'Cap Outlay Deprec 26'!H12</f>
        <v>13085996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30093871</v>
      </c>
      <c r="C2037" s="2" t="s">
        <v>594</v>
      </c>
      <c r="D2037" s="2" t="str">
        <f t="shared" si="30"/>
        <v>Error?</v>
      </c>
    </row>
    <row r="2038" spans="1:4" x14ac:dyDescent="0.2">
      <c r="A2038" s="10">
        <v>1977</v>
      </c>
      <c r="D2038" s="2" t="str">
        <f t="shared" si="30"/>
        <v>OK</v>
      </c>
    </row>
    <row r="2039" spans="1:4" x14ac:dyDescent="0.2">
      <c r="A2039" s="5">
        <v>1978</v>
      </c>
      <c r="B2039" s="138">
        <f>'Cap Outlay Deprec 26'!I8</f>
        <v>941738</v>
      </c>
      <c r="D2039" s="2" t="str">
        <f t="shared" si="30"/>
        <v>Error?</v>
      </c>
    </row>
    <row r="2040" spans="1:4" x14ac:dyDescent="0.2">
      <c r="A2040" s="5">
        <v>1979</v>
      </c>
      <c r="B2040" s="138">
        <f>'Cap Outlay Deprec 26'!I10</f>
        <v>299035</v>
      </c>
      <c r="D2040" s="2" t="str">
        <f t="shared" si="30"/>
        <v>Error?</v>
      </c>
    </row>
    <row r="2041" spans="1:4" x14ac:dyDescent="0.2">
      <c r="A2041" s="5">
        <v>1980</v>
      </c>
      <c r="B2041" s="138">
        <f>'Cap Outlay Deprec 26'!I12</f>
        <v>183242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1424015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15200804</v>
      </c>
      <c r="C2051" s="2" t="s">
        <v>594</v>
      </c>
      <c r="D2051" s="2" t="str">
        <f t="shared" si="31"/>
        <v>Error?</v>
      </c>
    </row>
    <row r="2052" spans="1:4" x14ac:dyDescent="0.2">
      <c r="A2052" s="5">
        <v>1991</v>
      </c>
      <c r="B2052" s="138">
        <f>'Cap Outlay Deprec 26'!K10</f>
        <v>3047844</v>
      </c>
      <c r="C2052" s="2" t="s">
        <v>594</v>
      </c>
      <c r="D2052" s="2" t="str">
        <f t="shared" si="31"/>
        <v>Error?</v>
      </c>
    </row>
    <row r="2053" spans="1:4" x14ac:dyDescent="0.2">
      <c r="A2053" s="5">
        <v>1992</v>
      </c>
      <c r="B2053" s="138">
        <f>'Cap Outlay Deprec 26'!K12</f>
        <v>13269238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31517886</v>
      </c>
      <c r="C2055" s="2" t="s">
        <v>594</v>
      </c>
      <c r="D2055" s="2" t="str">
        <f t="shared" si="31"/>
        <v>Error?</v>
      </c>
    </row>
    <row r="2056" spans="1:4" x14ac:dyDescent="0.2">
      <c r="A2056" s="5">
        <v>1995</v>
      </c>
      <c r="B2056" s="138">
        <f>'Cap Outlay Deprec 26'!L5</f>
        <v>5311469</v>
      </c>
      <c r="C2056" s="2" t="s">
        <v>594</v>
      </c>
      <c r="D2056" s="2" t="str">
        <f t="shared" si="31"/>
        <v>Error?</v>
      </c>
    </row>
    <row r="2057" spans="1:4" x14ac:dyDescent="0.2">
      <c r="A2057" s="5">
        <v>1996</v>
      </c>
      <c r="B2057" s="138">
        <f>'Cap Outlay Deprec 26'!L8</f>
        <v>30553746</v>
      </c>
      <c r="C2057" s="2" t="s">
        <v>594</v>
      </c>
      <c r="D2057" s="2" t="str">
        <f t="shared" si="31"/>
        <v>Error?</v>
      </c>
    </row>
    <row r="2058" spans="1:4" x14ac:dyDescent="0.2">
      <c r="A2058" s="5">
        <v>1997</v>
      </c>
      <c r="B2058" s="138">
        <f>'Cap Outlay Deprec 26'!L10</f>
        <v>5203160</v>
      </c>
      <c r="C2058" s="2" t="s">
        <v>594</v>
      </c>
      <c r="D2058" s="2" t="str">
        <f t="shared" si="31"/>
        <v>Error?</v>
      </c>
    </row>
    <row r="2059" spans="1:4" x14ac:dyDescent="0.2">
      <c r="A2059" s="5">
        <v>1998</v>
      </c>
      <c r="B2059" s="138">
        <f>'Cap Outlay Deprec 26'!L12</f>
        <v>946490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43436012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992413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996633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11997181</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2928533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1234963</v>
      </c>
      <c r="D2475" s="2" t="str">
        <f t="shared" si="37"/>
        <v>Error?</v>
      </c>
    </row>
    <row r="2476" spans="1:4" x14ac:dyDescent="0.2">
      <c r="A2476" s="10">
        <v>2415</v>
      </c>
      <c r="D2476" s="2" t="str">
        <f t="shared" si="37"/>
        <v>OK</v>
      </c>
    </row>
    <row r="2477" spans="1:4" x14ac:dyDescent="0.2">
      <c r="A2477" s="5">
        <v>2416</v>
      </c>
      <c r="B2477" s="138">
        <f>'Assets-Liab 5-6'!G38</f>
        <v>717266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3187430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4852023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24005629</v>
      </c>
      <c r="C2551" s="2" t="s">
        <v>594</v>
      </c>
      <c r="D2551" s="2" t="str">
        <f t="shared" si="38"/>
        <v>Error?</v>
      </c>
    </row>
    <row r="2552" spans="1:4" x14ac:dyDescent="0.2">
      <c r="A2552" s="10">
        <v>2491</v>
      </c>
      <c r="D2552" s="2" t="str">
        <f t="shared" si="38"/>
        <v>OK</v>
      </c>
    </row>
    <row r="2553" spans="1:4" x14ac:dyDescent="0.2">
      <c r="A2553" s="5">
        <v>2492</v>
      </c>
      <c r="B2553" s="138">
        <f>'Acct Summary 7-8'!C6</f>
        <v>3142133</v>
      </c>
      <c r="C2553" s="2" t="s">
        <v>594</v>
      </c>
      <c r="D2553" s="2" t="str">
        <f t="shared" si="38"/>
        <v>Error?</v>
      </c>
    </row>
    <row r="2554" spans="1:4" x14ac:dyDescent="0.2">
      <c r="A2554" s="5">
        <v>2493</v>
      </c>
      <c r="B2554" s="138">
        <f>'Acct Summary 7-8'!C7</f>
        <v>1982425</v>
      </c>
      <c r="C2554" s="2" t="s">
        <v>594</v>
      </c>
      <c r="D2554" s="2" t="str">
        <f t="shared" si="38"/>
        <v>Error?</v>
      </c>
    </row>
    <row r="2555" spans="1:4" x14ac:dyDescent="0.2">
      <c r="A2555" s="5">
        <v>2494</v>
      </c>
      <c r="B2555" s="138">
        <f>'Acct Summary 7-8'!C8</f>
        <v>29130187</v>
      </c>
      <c r="C2555" s="2" t="s">
        <v>594</v>
      </c>
      <c r="D2555" s="2" t="str">
        <f t="shared" si="38"/>
        <v>Error?</v>
      </c>
    </row>
    <row r="2556" spans="1:4" x14ac:dyDescent="0.2">
      <c r="A2556" s="5">
        <v>2495</v>
      </c>
      <c r="B2556" s="138">
        <f>'Acct Summary 7-8'!C12</f>
        <v>21336009</v>
      </c>
      <c r="C2556" s="2" t="s">
        <v>594</v>
      </c>
      <c r="D2556" s="2" t="str">
        <f t="shared" si="38"/>
        <v>Error?</v>
      </c>
    </row>
    <row r="2557" spans="1:4" x14ac:dyDescent="0.2">
      <c r="A2557" s="5">
        <v>2496</v>
      </c>
      <c r="B2557" s="138">
        <f>'Acct Summary 7-8'!C13</f>
        <v>7620791</v>
      </c>
      <c r="C2557" s="2" t="s">
        <v>594</v>
      </c>
      <c r="D2557" s="2" t="str">
        <f t="shared" si="38"/>
        <v>Error?</v>
      </c>
    </row>
    <row r="2558" spans="1:4" x14ac:dyDescent="0.2">
      <c r="A2558" s="5">
        <v>2497</v>
      </c>
      <c r="B2558" s="138">
        <f>'Acct Summary 7-8'!C14</f>
        <v>227034</v>
      </c>
      <c r="C2558" s="2" t="s">
        <v>594</v>
      </c>
      <c r="D2558" s="2" t="str">
        <f t="shared" si="38"/>
        <v>Error?</v>
      </c>
    </row>
    <row r="2559" spans="1:4" x14ac:dyDescent="0.2">
      <c r="A2559" s="5">
        <v>2498</v>
      </c>
      <c r="B2559" s="138">
        <f>'Acct Summary 7-8'!C15</f>
        <v>996633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30180467</v>
      </c>
      <c r="C2561" s="2" t="s">
        <v>594</v>
      </c>
      <c r="D2561" s="2" t="str">
        <f t="shared" si="39"/>
        <v>Error?</v>
      </c>
    </row>
    <row r="2562" spans="1:4" x14ac:dyDescent="0.2">
      <c r="A2562" s="5">
        <v>2501</v>
      </c>
      <c r="B2562" s="138">
        <f>'Acct Summary 7-8'!C20</f>
        <v>-1050280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3090743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3090743</v>
      </c>
      <c r="C2568" s="2" t="s">
        <v>594</v>
      </c>
      <c r="D2568" s="2" t="str">
        <f t="shared" si="39"/>
        <v>Error?</v>
      </c>
    </row>
    <row r="2569" spans="1:4" x14ac:dyDescent="0.2">
      <c r="A2569" s="5">
        <v>2508</v>
      </c>
      <c r="B2569" s="138">
        <f>'Acct Summary 7-8'!D13</f>
        <v>3233346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3233346</v>
      </c>
      <c r="C2573" s="2" t="s">
        <v>594</v>
      </c>
      <c r="D2573" s="2" t="str">
        <f t="shared" si="39"/>
        <v>Error?</v>
      </c>
    </row>
    <row r="2574" spans="1:4" x14ac:dyDescent="0.2">
      <c r="A2574" s="5">
        <v>2513</v>
      </c>
      <c r="B2574" s="138">
        <f>'Acct Summary 7-8'!D20</f>
        <v>-142603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2842883</v>
      </c>
      <c r="C2591" s="2" t="s">
        <v>594</v>
      </c>
      <c r="D2591" s="2" t="str">
        <f t="shared" si="39"/>
        <v>Error?</v>
      </c>
    </row>
    <row r="2592" spans="1:4" x14ac:dyDescent="0.2">
      <c r="A2592" s="10">
        <v>2531</v>
      </c>
      <c r="D2592" s="2" t="str">
        <f t="shared" si="39"/>
        <v>OK</v>
      </c>
    </row>
    <row r="2593" spans="1:4" x14ac:dyDescent="0.2">
      <c r="A2593" s="5">
        <v>2532</v>
      </c>
      <c r="B2593" s="138">
        <f>'Acct Summary 7-8'!F6</f>
        <v>666844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3509727</v>
      </c>
      <c r="C2595" s="2" t="s">
        <v>594</v>
      </c>
      <c r="D2595" s="2" t="str">
        <f t="shared" si="39"/>
        <v>Error?</v>
      </c>
    </row>
    <row r="2596" spans="1:4" x14ac:dyDescent="0.2">
      <c r="A2596" s="5">
        <v>2535</v>
      </c>
      <c r="B2596" s="138">
        <f>'Acct Summary 7-8'!F13</f>
        <v>1613744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1613744</v>
      </c>
      <c r="C2600" s="2" t="s">
        <v>594</v>
      </c>
      <c r="D2600" s="2" t="str">
        <f t="shared" si="39"/>
        <v>Error?</v>
      </c>
    </row>
    <row r="2601" spans="1:4" x14ac:dyDescent="0.2">
      <c r="A2601" s="5">
        <v>2540</v>
      </c>
      <c r="B2601" s="138">
        <f>'Acct Summary 7-8'!F20</f>
        <v>1895983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1086537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1086537</v>
      </c>
      <c r="C2606" s="2" t="s">
        <v>594</v>
      </c>
      <c r="D2606" s="2" t="str">
        <f t="shared" si="39"/>
        <v>Error?</v>
      </c>
    </row>
    <row r="2607" spans="1:4" x14ac:dyDescent="0.2">
      <c r="A2607" s="5">
        <v>2546</v>
      </c>
      <c r="B2607" s="138">
        <f>'Acct Summary 7-8'!G12</f>
        <v>553266</v>
      </c>
      <c r="C2607" s="2" t="s">
        <v>594</v>
      </c>
      <c r="D2607" s="2" t="str">
        <f t="shared" si="39"/>
        <v>Error?</v>
      </c>
    </row>
    <row r="2608" spans="1:4" x14ac:dyDescent="0.2">
      <c r="A2608" s="5">
        <v>2547</v>
      </c>
      <c r="B2608" s="138">
        <f>'Acct Summary 7-8'!G13</f>
        <v>539831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1093097</v>
      </c>
      <c r="C2612" s="2" t="s">
        <v>594</v>
      </c>
      <c r="D2612" s="2" t="str">
        <f t="shared" si="39"/>
        <v>Error?</v>
      </c>
    </row>
    <row r="2613" spans="1:4" x14ac:dyDescent="0.2">
      <c r="A2613" s="5">
        <v>2552</v>
      </c>
      <c r="B2613" s="138">
        <f>'Acct Summary 7-8'!G20</f>
        <v>-6560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3089447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3089447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2921714</v>
      </c>
      <c r="C2634" s="2" t="s">
        <v>594</v>
      </c>
      <c r="D2634" s="2" t="str">
        <f t="shared" si="40"/>
        <v>Error?</v>
      </c>
    </row>
    <row r="2635" spans="1:4" x14ac:dyDescent="0.2">
      <c r="A2635" s="5">
        <v>2574</v>
      </c>
      <c r="B2635" s="138">
        <f>'Acct Summary 7-8'!E17</f>
        <v>2921714</v>
      </c>
      <c r="C2635" s="2" t="s">
        <v>594</v>
      </c>
      <c r="D2635" s="2" t="str">
        <f t="shared" si="40"/>
        <v>Error?</v>
      </c>
    </row>
    <row r="2636" spans="1:4" x14ac:dyDescent="0.2">
      <c r="A2636" s="5">
        <v>2575</v>
      </c>
      <c r="B2636" s="138">
        <f>'Acct Summary 7-8'!E20</f>
        <v>167733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41012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41012</v>
      </c>
      <c r="C2658" s="2" t="s">
        <v>594</v>
      </c>
      <c r="D2658" s="2" t="str">
        <f t="shared" si="40"/>
        <v>Error?</v>
      </c>
    </row>
    <row r="2659" spans="1:4" x14ac:dyDescent="0.2">
      <c r="A2659" s="5">
        <v>2598</v>
      </c>
      <c r="B2659" s="138">
        <f>'Acct Summary 7-8'!H13</f>
        <v>1490753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1490753</v>
      </c>
      <c r="C2661" s="2" t="s">
        <v>594</v>
      </c>
      <c r="D2661" s="2" t="str">
        <f t="shared" si="40"/>
        <v>Error?</v>
      </c>
    </row>
    <row r="2662" spans="1:4" x14ac:dyDescent="0.2">
      <c r="A2662" s="5">
        <v>2601</v>
      </c>
      <c r="B2662" s="138">
        <f>'Acct Summary 7-8'!H20</f>
        <v>-1449741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248262</v>
      </c>
      <c r="D2718" s="2" t="str">
        <f t="shared" si="41"/>
        <v>Error?</v>
      </c>
    </row>
    <row r="2719" spans="1:4" x14ac:dyDescent="0.2">
      <c r="A2719" s="5">
        <v>2658</v>
      </c>
      <c r="B2719" s="138">
        <f>'Expenditures 15-22'!D51</f>
        <v>63661</v>
      </c>
      <c r="D2719" s="2" t="str">
        <f t="shared" si="41"/>
        <v>Error?</v>
      </c>
    </row>
    <row r="2720" spans="1:4" x14ac:dyDescent="0.2">
      <c r="A2720" s="5">
        <v>2659</v>
      </c>
      <c r="B2720" s="138">
        <f>'Expenditures 15-22'!E51</f>
        <v>6635</v>
      </c>
      <c r="D2720" s="2" t="str">
        <f t="shared" si="41"/>
        <v>Error?</v>
      </c>
    </row>
    <row r="2721" spans="1:4" x14ac:dyDescent="0.2">
      <c r="A2721" s="5">
        <v>2660</v>
      </c>
      <c r="B2721" s="138">
        <f>'Expenditures 15-22'!F51</f>
        <v>1546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89</v>
      </c>
      <c r="D2723" s="2" t="str">
        <f t="shared" si="41"/>
        <v>Error?</v>
      </c>
    </row>
    <row r="2724" spans="1:4" x14ac:dyDescent="0.2">
      <c r="A2724" s="5">
        <v>2663</v>
      </c>
      <c r="B2724" s="138">
        <f>'Expenditures 15-22'!K51</f>
        <v>320193</v>
      </c>
      <c r="C2724" s="2" t="s">
        <v>594</v>
      </c>
      <c r="D2724" s="2" t="str">
        <f t="shared" si="41"/>
        <v>Error?</v>
      </c>
    </row>
    <row r="2725" spans="1:4" x14ac:dyDescent="0.2">
      <c r="A2725" s="5">
        <v>2664</v>
      </c>
      <c r="B2725" s="138">
        <f>'Expenditures 15-22'!D247</f>
        <v>11657</v>
      </c>
      <c r="D2725" s="2" t="str">
        <f t="shared" si="41"/>
        <v>Error?</v>
      </c>
    </row>
    <row r="2726" spans="1:4" x14ac:dyDescent="0.2">
      <c r="A2726" s="5">
        <v>2665</v>
      </c>
      <c r="B2726" s="138">
        <f>'Expenditures 15-22'!K247</f>
        <v>11657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4220</v>
      </c>
      <c r="C2789" s="2" t="s">
        <v>594</v>
      </c>
      <c r="D2789" s="2" t="str">
        <f t="shared" si="42"/>
        <v>Error?</v>
      </c>
    </row>
    <row r="2790" spans="1:4" x14ac:dyDescent="0.2">
      <c r="A2790" s="5">
        <v>2729</v>
      </c>
      <c r="B2790" s="138">
        <f>'Expenditures 15-22'!E102</f>
        <v>4220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646714</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646714</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1421147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130220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408943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86831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140088</v>
      </c>
      <c r="D2908" s="2" t="str">
        <f t="shared" si="44"/>
        <v>Error?</v>
      </c>
    </row>
    <row r="2909" spans="1:4" x14ac:dyDescent="0.2">
      <c r="A2909" s="10">
        <v>2848</v>
      </c>
      <c r="D2909" s="2" t="str">
        <f t="shared" si="44"/>
        <v>OK</v>
      </c>
    </row>
    <row r="2910" spans="1:4" x14ac:dyDescent="0.2">
      <c r="A2910" s="5">
        <v>2849</v>
      </c>
      <c r="B2910" s="138">
        <f>'Assets-Liab 5-6'!I34</f>
        <v>140088</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268855</v>
      </c>
      <c r="D2912" s="2" t="str">
        <f t="shared" si="44"/>
        <v>Error?</v>
      </c>
    </row>
    <row r="2913" spans="1:4" x14ac:dyDescent="0.2">
      <c r="A2913" s="5">
        <v>2852</v>
      </c>
      <c r="B2913" s="138">
        <f>'Assets-Liab 5-6'!I41</f>
        <v>408943</v>
      </c>
      <c r="C2913" s="2" t="s">
        <v>594</v>
      </c>
      <c r="D2913" s="2" t="str">
        <f t="shared" si="44"/>
        <v>Error?</v>
      </c>
    </row>
    <row r="2914" spans="1:4" x14ac:dyDescent="0.2">
      <c r="A2914" s="5">
        <v>2853</v>
      </c>
      <c r="B2914" s="138">
        <f>'Assets-Liab 5-6'!L33</f>
        <v>86831</v>
      </c>
      <c r="D2914" s="2" t="str">
        <f t="shared" si="44"/>
        <v>Error?</v>
      </c>
    </row>
    <row r="2915" spans="1:4" x14ac:dyDescent="0.2">
      <c r="A2915" s="10">
        <v>2854</v>
      </c>
      <c r="D2915" s="2" t="str">
        <f t="shared" si="44"/>
        <v>OK</v>
      </c>
    </row>
    <row r="2916" spans="1:4" x14ac:dyDescent="0.2">
      <c r="A2916" s="5">
        <v>2855</v>
      </c>
      <c r="B2916" s="138">
        <f>'Assets-Liab 5-6'!L34</f>
        <v>86831</v>
      </c>
      <c r="C2916" s="2" t="s">
        <v>594</v>
      </c>
      <c r="D2916" s="2" t="str">
        <f t="shared" si="44"/>
        <v>Error?</v>
      </c>
    </row>
    <row r="2917" spans="1:4" x14ac:dyDescent="0.2">
      <c r="A2917" s="5">
        <v>2856</v>
      </c>
      <c r="B2917" s="138">
        <f>'Assets-Liab 5-6'!L41</f>
        <v>86831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4220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992413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4220</v>
      </c>
      <c r="C2973" s="2" t="s">
        <v>594</v>
      </c>
      <c r="D2973" s="2" t="str">
        <f t="shared" si="45"/>
        <v>Error?</v>
      </c>
    </row>
    <row r="2974" spans="1:4" x14ac:dyDescent="0.2">
      <c r="A2974" s="5">
        <v>2913</v>
      </c>
      <c r="B2974" s="138">
        <f>'Expenditures 15-22'!K79</f>
        <v>992413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406932</v>
      </c>
      <c r="D3055" s="2" t="str">
        <f t="shared" si="46"/>
        <v>Error?</v>
      </c>
    </row>
    <row r="3056" spans="1:4" x14ac:dyDescent="0.2">
      <c r="A3056" s="5">
        <v>2995</v>
      </c>
      <c r="B3056" s="138">
        <f>'Expenditures 15-22'!D10</f>
        <v>71910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478842</v>
      </c>
      <c r="C3062" s="2" t="s">
        <v>594</v>
      </c>
      <c r="D3062" s="2" t="str">
        <f t="shared" si="46"/>
        <v>Error?</v>
      </c>
    </row>
    <row r="3063" spans="1:4" x14ac:dyDescent="0.2">
      <c r="A3063" s="10">
        <v>3002</v>
      </c>
      <c r="D3063" s="2" t="str">
        <f t="shared" si="46"/>
        <v>OK</v>
      </c>
    </row>
    <row r="3064" spans="1:4" x14ac:dyDescent="0.2">
      <c r="A3064" s="5">
        <v>3003</v>
      </c>
      <c r="B3064" s="138">
        <f>'Expenditures 15-22'!D219</f>
        <v>3292</v>
      </c>
      <c r="D3064" s="2" t="str">
        <f t="shared" si="46"/>
        <v>Error?</v>
      </c>
    </row>
    <row r="3065" spans="1:4" x14ac:dyDescent="0.2">
      <c r="A3065" s="5">
        <v>3004</v>
      </c>
      <c r="B3065" s="138">
        <f>'Expenditures 15-22'!K219</f>
        <v>3292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366654</v>
      </c>
      <c r="C3225" s="2" t="s">
        <v>594</v>
      </c>
      <c r="D3225" s="2" t="str">
        <f t="shared" si="49"/>
        <v>Error?</v>
      </c>
    </row>
    <row r="3226" spans="1:4" x14ac:dyDescent="0.2">
      <c r="A3226" s="5">
        <v>3165</v>
      </c>
      <c r="B3226" s="138">
        <f>'Acct Summary 7-8'!I8</f>
        <v>366654</v>
      </c>
      <c r="C3226" s="2" t="s">
        <v>594</v>
      </c>
      <c r="D3226" s="2" t="str">
        <f t="shared" si="49"/>
        <v>Error?</v>
      </c>
    </row>
    <row r="3227" spans="1:4" x14ac:dyDescent="0.2">
      <c r="A3227" s="5">
        <v>3166</v>
      </c>
      <c r="B3227" s="138">
        <f>'Acct Summary 7-8'!I20</f>
        <v>366654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7797181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7797181</v>
      </c>
      <c r="C3232" s="2" t="s">
        <v>594</v>
      </c>
      <c r="D3232" s="2" t="str">
        <f t="shared" si="49"/>
        <v>Error?</v>
      </c>
    </row>
    <row r="3233" spans="1:4" x14ac:dyDescent="0.2">
      <c r="A3233" s="5">
        <v>3172</v>
      </c>
      <c r="B3233" s="138">
        <f>'Acct Summary 7-8'!C78</f>
        <v>6746901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6000000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6000000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-142603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1800000</v>
      </c>
      <c r="C3254" s="2" t="s">
        <v>594</v>
      </c>
      <c r="D3254" s="2" t="str">
        <f t="shared" si="49"/>
        <v>Error?</v>
      </c>
    </row>
    <row r="3255" spans="1:4" x14ac:dyDescent="0.2">
      <c r="A3255" s="5">
        <v>3194</v>
      </c>
      <c r="B3255" s="138">
        <f>'Acct Summary 7-8'!F77</f>
        <v>-1800000</v>
      </c>
      <c r="C3255" s="2" t="s">
        <v>594</v>
      </c>
      <c r="D3255" s="2" t="str">
        <f t="shared" si="49"/>
        <v>Error?</v>
      </c>
    </row>
    <row r="3256" spans="1:4" x14ac:dyDescent="0.2">
      <c r="A3256" s="5">
        <v>3195</v>
      </c>
      <c r="B3256" s="138">
        <f>'Acct Summary 7-8'!F78</f>
        <v>95983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-6560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167733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6000000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6000000</v>
      </c>
      <c r="C3299" s="2" t="s">
        <v>594</v>
      </c>
      <c r="D3299" s="2" t="str">
        <f t="shared" si="50"/>
        <v>Error?</v>
      </c>
    </row>
    <row r="3300" spans="1:4" x14ac:dyDescent="0.2">
      <c r="A3300" s="5">
        <v>3239</v>
      </c>
      <c r="B3300" s="138">
        <f>'Acct Summary 7-8'!H78</f>
        <v>4550259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11997181</v>
      </c>
      <c r="C3318" s="2" t="s">
        <v>594</v>
      </c>
      <c r="D3318" s="2" t="str">
        <f t="shared" si="50"/>
        <v>Error?</v>
      </c>
    </row>
    <row r="3319" spans="1:4" x14ac:dyDescent="0.2">
      <c r="A3319" s="5">
        <v>3258</v>
      </c>
      <c r="B3319" s="138">
        <f>'Acct Summary 7-8'!I77</f>
        <v>-11997181</v>
      </c>
      <c r="C3319" s="2" t="s">
        <v>594</v>
      </c>
      <c r="D3319" s="2" t="str">
        <f t="shared" si="50"/>
        <v>Error?</v>
      </c>
    </row>
    <row r="3320" spans="1:4" x14ac:dyDescent="0.2">
      <c r="A3320" s="5">
        <v>3259</v>
      </c>
      <c r="B3320" s="138">
        <f>'Acct Summary 7-8'!I78</f>
        <v>-11630527</v>
      </c>
      <c r="C3320" s="2" t="s">
        <v>594</v>
      </c>
      <c r="D3320" s="2" t="str">
        <f t="shared" si="50"/>
        <v>Error?</v>
      </c>
    </row>
    <row r="3321" spans="1:4" x14ac:dyDescent="0.2">
      <c r="A3321" s="5">
        <v>3260</v>
      </c>
      <c r="B3321" s="138">
        <f>'Acct Summary 7-8'!I79</f>
        <v>11899382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268855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2907631</v>
      </c>
      <c r="D3366" s="2" t="str">
        <f t="shared" si="51"/>
        <v>Error?</v>
      </c>
    </row>
    <row r="3367" spans="1:4" x14ac:dyDescent="0.2">
      <c r="A3367" s="5">
        <v>3306</v>
      </c>
      <c r="B3367" s="138">
        <f>'Expenditures 15-22'!C19</f>
        <v>4525</v>
      </c>
      <c r="D3367" s="2" t="str">
        <f t="shared" si="51"/>
        <v>Error?</v>
      </c>
    </row>
    <row r="3368" spans="1:4" x14ac:dyDescent="0.2">
      <c r="A3368" s="5">
        <v>3307</v>
      </c>
      <c r="B3368" s="138">
        <f>'Expenditures 15-22'!D8</f>
        <v>808107</v>
      </c>
      <c r="D3368" s="2" t="str">
        <f t="shared" si="51"/>
        <v>Error?</v>
      </c>
    </row>
    <row r="3369" spans="1:4" x14ac:dyDescent="0.2">
      <c r="A3369" s="5">
        <v>3308</v>
      </c>
      <c r="B3369" s="138">
        <f>'Expenditures 15-22'!D19</f>
        <v>53</v>
      </c>
      <c r="D3369" s="2" t="str">
        <f t="shared" si="51"/>
        <v>Error?</v>
      </c>
    </row>
    <row r="3370" spans="1:4" x14ac:dyDescent="0.2">
      <c r="A3370" s="5">
        <v>3309</v>
      </c>
      <c r="B3370" s="138">
        <f>'Expenditures 15-22'!E8</f>
        <v>35916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3751654</v>
      </c>
      <c r="C3380" s="2" t="s">
        <v>594</v>
      </c>
      <c r="D3380" s="2" t="str">
        <f t="shared" si="51"/>
        <v>Error?</v>
      </c>
    </row>
    <row r="3381" spans="1:4" x14ac:dyDescent="0.2">
      <c r="A3381" s="5">
        <v>3320</v>
      </c>
      <c r="B3381" s="138">
        <f>'Expenditures 15-22'!K19</f>
        <v>4578</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218803</v>
      </c>
      <c r="D3387" s="2" t="str">
        <f t="shared" si="51"/>
        <v>Error?</v>
      </c>
    </row>
    <row r="3388" spans="1:4" x14ac:dyDescent="0.2">
      <c r="A3388" s="5">
        <v>3327</v>
      </c>
      <c r="B3388" s="138">
        <f>'Expenditures 15-22'!D217</f>
        <v>258865</v>
      </c>
      <c r="D3388" s="2" t="str">
        <f t="shared" si="51"/>
        <v>Error?</v>
      </c>
    </row>
    <row r="3389" spans="1:4" x14ac:dyDescent="0.2">
      <c r="A3389" s="5">
        <v>3328</v>
      </c>
      <c r="B3389" s="138">
        <f>'Expenditures 15-22'!D228</f>
        <v>51</v>
      </c>
      <c r="D3389" s="2" t="str">
        <f t="shared" si="51"/>
        <v>Error?</v>
      </c>
    </row>
    <row r="3390" spans="1:4" x14ac:dyDescent="0.2">
      <c r="A3390" s="5">
        <v>3329</v>
      </c>
      <c r="B3390" s="138">
        <f>'Expenditures 15-22'!K215</f>
        <v>218803</v>
      </c>
      <c r="C3390" s="2" t="s">
        <v>594</v>
      </c>
      <c r="D3390" s="2" t="str">
        <f t="shared" si="51"/>
        <v>Error?</v>
      </c>
    </row>
    <row r="3391" spans="1:4" x14ac:dyDescent="0.2">
      <c r="A3391" s="5">
        <v>3330</v>
      </c>
      <c r="B3391" s="138">
        <f>'Expenditures 15-22'!K217</f>
        <v>258865</v>
      </c>
      <c r="C3391" s="2" t="s">
        <v>594</v>
      </c>
      <c r="D3391" s="2" t="str">
        <f t="shared" ref="D3391:D3454" si="52">IF(ISBLANK(B3391),"OK",IF(A3391-B3391=0,"OK","Error?"))</f>
        <v>Error?</v>
      </c>
    </row>
    <row r="3392" spans="1:4" x14ac:dyDescent="0.2">
      <c r="A3392" s="5">
        <v>3331</v>
      </c>
      <c r="B3392" s="138">
        <f>'Expenditures 15-22'!K228</f>
        <v>51</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24843380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3066414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3277396</v>
      </c>
      <c r="D3417" s="2" t="str">
        <f t="shared" si="52"/>
        <v>Error?</v>
      </c>
    </row>
    <row r="3418" spans="1:4" x14ac:dyDescent="0.2">
      <c r="A3418" s="10">
        <v>3357</v>
      </c>
      <c r="D3418" s="2" t="str">
        <f t="shared" si="52"/>
        <v>OK</v>
      </c>
    </row>
    <row r="3419" spans="1:4" x14ac:dyDescent="0.2">
      <c r="A3419" s="5">
        <v>3358</v>
      </c>
      <c r="B3419" s="138">
        <f>'Assets-Liab 5-6'!F4</f>
        <v>1097771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752820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5014650</v>
      </c>
      <c r="D3425" s="2" t="str">
        <f t="shared" si="52"/>
        <v>Error?</v>
      </c>
    </row>
    <row r="3426" spans="1:4" x14ac:dyDescent="0.2">
      <c r="A3426" s="10">
        <v>3365</v>
      </c>
      <c r="D3426" s="2" t="str">
        <f t="shared" si="52"/>
        <v>OK</v>
      </c>
    </row>
    <row r="3427" spans="1:4" x14ac:dyDescent="0.2">
      <c r="A3427" s="5">
        <v>3366</v>
      </c>
      <c r="B3427" s="138">
        <f>'Assets-Liab 5-6'!I4</f>
        <v>246103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86831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582551</v>
      </c>
      <c r="C3446" s="2" t="s">
        <v>594</v>
      </c>
      <c r="D3446" s="2" t="str">
        <f t="shared" si="52"/>
        <v>Error?</v>
      </c>
    </row>
    <row r="3447" spans="1:4" x14ac:dyDescent="0.2">
      <c r="A3447" s="5">
        <v>3386</v>
      </c>
      <c r="B3447" s="138">
        <f>'Tax Sched 23'!D16</f>
        <v>260622</v>
      </c>
      <c r="C3447" s="2" t="s">
        <v>594</v>
      </c>
      <c r="D3447" s="2" t="str">
        <f t="shared" si="52"/>
        <v>Error?</v>
      </c>
    </row>
    <row r="3448" spans="1:4" x14ac:dyDescent="0.2">
      <c r="A3448" s="5">
        <v>3387</v>
      </c>
      <c r="B3448" s="138">
        <f>'Tax Sched 23'!C16</f>
        <v>321929</v>
      </c>
      <c r="D3448" s="2" t="str">
        <f t="shared" si="52"/>
        <v>Error?</v>
      </c>
    </row>
    <row r="3449" spans="1:4" x14ac:dyDescent="0.2">
      <c r="A3449" s="5">
        <v>3388</v>
      </c>
      <c r="B3449" s="138">
        <f>'Tax Sched 23'!F16</f>
        <v>285771</v>
      </c>
      <c r="C3449" s="2" t="s">
        <v>594</v>
      </c>
      <c r="D3449" s="2" t="str">
        <f t="shared" si="52"/>
        <v>Error?</v>
      </c>
    </row>
    <row r="3450" spans="1:4" x14ac:dyDescent="0.2">
      <c r="A3450" s="5">
        <v>3389</v>
      </c>
      <c r="B3450" s="138">
        <f>'Tax Sched 23'!E16</f>
        <v>607700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1421147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1421147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1421147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336114</v>
      </c>
      <c r="D3546" s="2" t="str">
        <f t="shared" si="54"/>
        <v>Error?</v>
      </c>
    </row>
    <row r="3547" spans="1:4" x14ac:dyDescent="0.2">
      <c r="A3547" s="10">
        <v>3486</v>
      </c>
      <c r="D3547" s="2" t="str">
        <f t="shared" si="54"/>
        <v>OK</v>
      </c>
    </row>
    <row r="3548" spans="1:4" x14ac:dyDescent="0.2">
      <c r="A3548" s="5">
        <v>3487</v>
      </c>
      <c r="B3548" s="138">
        <f>'Assets-Liab 5-6'!K6</f>
        <v>2341</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340254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2498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2498</v>
      </c>
      <c r="C3565" s="2" t="s">
        <v>594</v>
      </c>
      <c r="D3565" s="2" t="str">
        <f t="shared" si="54"/>
        <v>Error?</v>
      </c>
    </row>
    <row r="3566" spans="1:4" x14ac:dyDescent="0.2">
      <c r="A3566" s="5">
        <v>3505</v>
      </c>
      <c r="B3566" s="138">
        <f>'Assets-Liab 5-6'!K38</f>
        <v>337756</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340254</v>
      </c>
      <c r="C3568" s="2" t="s">
        <v>594</v>
      </c>
      <c r="D3568" s="2" t="str">
        <f t="shared" si="54"/>
        <v>Error?</v>
      </c>
    </row>
    <row r="3569" spans="1:4" x14ac:dyDescent="0.2">
      <c r="A3569" s="5">
        <v>3508</v>
      </c>
      <c r="B3569" s="138">
        <f>'Acct Summary 7-8'!K4</f>
        <v>10133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10133</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10133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10133</v>
      </c>
      <c r="C3588" s="2" t="s">
        <v>594</v>
      </c>
      <c r="D3588" s="2" t="str">
        <f t="shared" si="55"/>
        <v>Error?</v>
      </c>
    </row>
    <row r="3589" spans="1:4" x14ac:dyDescent="0.2">
      <c r="A3589" s="5">
        <v>3528</v>
      </c>
      <c r="B3589" s="138">
        <f>'Acct Summary 7-8'!K79</f>
        <v>327623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337756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10133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246795</v>
      </c>
      <c r="C3725" s="2" t="s">
        <v>594</v>
      </c>
      <c r="D3725" s="2" t="str">
        <f t="shared" si="57"/>
        <v>Error?</v>
      </c>
    </row>
    <row r="3726" spans="1:4" x14ac:dyDescent="0.2">
      <c r="A3726" s="5">
        <v>3665</v>
      </c>
      <c r="B3726" s="138">
        <f>'Tax Sched 23'!D13</f>
        <v>244015</v>
      </c>
      <c r="C3726" s="2" t="s">
        <v>594</v>
      </c>
      <c r="D3726" s="2" t="str">
        <f t="shared" si="57"/>
        <v>Error?</v>
      </c>
    </row>
    <row r="3727" spans="1:4" x14ac:dyDescent="0.2">
      <c r="A3727" s="5">
        <v>3666</v>
      </c>
      <c r="B3727" s="138">
        <f>'Tax Sched 23'!C13</f>
        <v>2780</v>
      </c>
      <c r="D3727" s="2" t="str">
        <f t="shared" si="57"/>
        <v>Error?</v>
      </c>
    </row>
    <row r="3728" spans="1:4" x14ac:dyDescent="0.2">
      <c r="A3728" s="5">
        <v>3667</v>
      </c>
      <c r="B3728" s="138">
        <f>'Tax Sched 23'!F13</f>
        <v>2370</v>
      </c>
      <c r="C3728" s="2" t="s">
        <v>594</v>
      </c>
      <c r="D3728" s="2" t="str">
        <f t="shared" si="57"/>
        <v>Error?</v>
      </c>
    </row>
    <row r="3729" spans="1:4" x14ac:dyDescent="0.2">
      <c r="A3729" s="5">
        <v>3668</v>
      </c>
      <c r="B3729" s="138">
        <f>'Tax Sched 23'!E13</f>
        <v>5150</v>
      </c>
      <c r="D3729" s="2" t="str">
        <f t="shared" si="57"/>
        <v>Error?</v>
      </c>
    </row>
    <row r="3730" spans="1:4" x14ac:dyDescent="0.2">
      <c r="A3730" s="5">
        <v>3669</v>
      </c>
      <c r="B3730" s="138">
        <f>'ICR Computation 30'!E10</f>
        <v>369140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7822693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36952880</v>
      </c>
      <c r="C4122" s="2" t="s">
        <v>594</v>
      </c>
      <c r="D4122" s="2" t="str">
        <f t="shared" si="63"/>
        <v>Error?</v>
      </c>
    </row>
    <row r="4123" spans="1:4" x14ac:dyDescent="0.2">
      <c r="A4123" s="5">
        <v>4062</v>
      </c>
      <c r="B4123" s="138">
        <f>'Acct Summary 7-8'!D10</f>
        <v>3090743</v>
      </c>
      <c r="C4123" s="2" t="s">
        <v>594</v>
      </c>
      <c r="D4123" s="2" t="str">
        <f t="shared" si="63"/>
        <v>Error?</v>
      </c>
    </row>
    <row r="4124" spans="1:4" x14ac:dyDescent="0.2">
      <c r="A4124" s="5">
        <v>4063</v>
      </c>
      <c r="B4124" s="138">
        <f>'Acct Summary 7-8'!E10</f>
        <v>3089447</v>
      </c>
      <c r="C4124" s="2" t="s">
        <v>594</v>
      </c>
      <c r="D4124" s="2" t="str">
        <f t="shared" si="63"/>
        <v>Error?</v>
      </c>
    </row>
    <row r="4125" spans="1:4" x14ac:dyDescent="0.2">
      <c r="A4125" s="5">
        <v>4064</v>
      </c>
      <c r="B4125" s="138">
        <f>'Acct Summary 7-8'!F10</f>
        <v>3509727</v>
      </c>
      <c r="C4125" s="2" t="s">
        <v>594</v>
      </c>
      <c r="D4125" s="2" t="str">
        <f t="shared" si="63"/>
        <v>Error?</v>
      </c>
    </row>
    <row r="4126" spans="1:4" x14ac:dyDescent="0.2">
      <c r="A4126" s="5">
        <v>4065</v>
      </c>
      <c r="B4126" s="138">
        <f>'Acct Summary 7-8'!G10</f>
        <v>1086537</v>
      </c>
      <c r="C4126" s="2" t="s">
        <v>594</v>
      </c>
      <c r="D4126" s="2" t="str">
        <f t="shared" si="63"/>
        <v>Error?</v>
      </c>
    </row>
    <row r="4127" spans="1:4" x14ac:dyDescent="0.2">
      <c r="A4127" s="5">
        <v>4066</v>
      </c>
      <c r="B4127" s="138">
        <f>'Acct Summary 7-8'!H10</f>
        <v>41012</v>
      </c>
      <c r="C4127" s="2" t="s">
        <v>594</v>
      </c>
      <c r="D4127" s="2" t="str">
        <f t="shared" si="63"/>
        <v>Error?</v>
      </c>
    </row>
    <row r="4128" spans="1:4" x14ac:dyDescent="0.2">
      <c r="A4128" s="5">
        <v>4067</v>
      </c>
      <c r="B4128" s="138">
        <f>'Acct Summary 7-8'!I10</f>
        <v>366654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10133</v>
      </c>
      <c r="C4130" s="2" t="s">
        <v>594</v>
      </c>
      <c r="D4130" s="2" t="str">
        <f t="shared" si="63"/>
        <v>Error?</v>
      </c>
    </row>
    <row r="4131" spans="1:4" x14ac:dyDescent="0.2">
      <c r="A4131" s="5">
        <v>4070</v>
      </c>
      <c r="B4131" s="138">
        <f>'Acct Summary 7-8'!C18</f>
        <v>7822693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38003160</v>
      </c>
      <c r="C4136" s="2" t="s">
        <v>594</v>
      </c>
      <c r="D4136" s="2" t="str">
        <f t="shared" si="63"/>
        <v>Error?</v>
      </c>
    </row>
    <row r="4137" spans="1:4" x14ac:dyDescent="0.2">
      <c r="A4137" s="5">
        <v>4076</v>
      </c>
      <c r="B4137" s="138">
        <f>'Acct Summary 7-8'!D19</f>
        <v>3233346</v>
      </c>
      <c r="C4137" s="2" t="s">
        <v>594</v>
      </c>
      <c r="D4137" s="2" t="str">
        <f t="shared" si="63"/>
        <v>Error?</v>
      </c>
    </row>
    <row r="4138" spans="1:4" x14ac:dyDescent="0.2">
      <c r="A4138" s="5">
        <v>4077</v>
      </c>
      <c r="B4138" s="138">
        <f>'Acct Summary 7-8'!E19</f>
        <v>2921714</v>
      </c>
      <c r="C4138" s="2" t="s">
        <v>594</v>
      </c>
      <c r="D4138" s="2" t="str">
        <f t="shared" si="63"/>
        <v>Error?</v>
      </c>
    </row>
    <row r="4139" spans="1:4" x14ac:dyDescent="0.2">
      <c r="A4139" s="5">
        <v>4078</v>
      </c>
      <c r="B4139" s="138">
        <f>'Acct Summary 7-8'!F19</f>
        <v>1613744</v>
      </c>
      <c r="C4139" s="2" t="s">
        <v>594</v>
      </c>
      <c r="D4139" s="2" t="str">
        <f t="shared" si="63"/>
        <v>Error?</v>
      </c>
    </row>
    <row r="4140" spans="1:4" x14ac:dyDescent="0.2">
      <c r="A4140" s="5">
        <v>4079</v>
      </c>
      <c r="B4140" s="138">
        <f>'Acct Summary 7-8'!G19</f>
        <v>1093097</v>
      </c>
      <c r="C4140" s="2" t="s">
        <v>594</v>
      </c>
      <c r="D4140" s="2" t="str">
        <f t="shared" si="63"/>
        <v>Error?</v>
      </c>
    </row>
    <row r="4141" spans="1:4" x14ac:dyDescent="0.2">
      <c r="A4141" s="5">
        <v>4080</v>
      </c>
      <c r="B4141" s="138">
        <f>'Acct Summary 7-8'!H19</f>
        <v>1490753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14360000</v>
      </c>
      <c r="C4171" s="2" t="s">
        <v>594</v>
      </c>
      <c r="D4171" s="2" t="str">
        <f t="shared" si="64"/>
        <v>Error?</v>
      </c>
    </row>
    <row r="4172" spans="1:4" x14ac:dyDescent="0.2">
      <c r="A4172" s="5">
        <v>4111</v>
      </c>
      <c r="B4172" s="138">
        <f>'Short-Term Long-Term Debt 24'!J49</f>
        <v>11172570</v>
      </c>
      <c r="C4172" s="2" t="s">
        <v>594</v>
      </c>
      <c r="D4172" s="2" t="str">
        <f t="shared" si="64"/>
        <v>Error?</v>
      </c>
    </row>
    <row r="4173" spans="1:4" x14ac:dyDescent="0.2">
      <c r="A4173" s="5">
        <v>4112</v>
      </c>
      <c r="B4173" s="138">
        <f>'Short-Term Long-Term Debt 24'!H49</f>
        <v>2275000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3155</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3948</v>
      </c>
      <c r="C4265" s="2" t="s">
        <v>594</v>
      </c>
      <c r="D4265" s="2" t="str">
        <f t="shared" si="65"/>
        <v>Error?</v>
      </c>
      <c r="E4265" s="128"/>
    </row>
    <row r="4266" spans="1:5" x14ac:dyDescent="0.2">
      <c r="A4266" s="12">
        <v>4205</v>
      </c>
      <c r="B4266" s="138">
        <f>('FP Info 3'!F10)*100000</f>
        <v>497.2</v>
      </c>
      <c r="C4266" s="2" t="s">
        <v>594</v>
      </c>
      <c r="D4266" s="2" t="str">
        <f t="shared" si="65"/>
        <v>Error?</v>
      </c>
      <c r="E4266" s="128"/>
    </row>
    <row r="4267" spans="1:5" x14ac:dyDescent="0.2">
      <c r="A4267" s="12">
        <v>4206</v>
      </c>
      <c r="B4267" s="138">
        <f>('FP Info 3'!H10)*100000</f>
        <v>257.90000000000003</v>
      </c>
      <c r="C4267" s="2" t="s">
        <v>594</v>
      </c>
      <c r="D4267" s="2" t="str">
        <f t="shared" si="65"/>
        <v>Error?</v>
      </c>
      <c r="E4267" s="128"/>
    </row>
    <row r="4268" spans="1:5" x14ac:dyDescent="0.2">
      <c r="A4268" s="12">
        <v>4207</v>
      </c>
      <c r="B4268" s="138">
        <f>('FP Info 3'!J10)*100000</f>
        <v>4703</v>
      </c>
      <c r="C4268" s="2" t="s">
        <v>594</v>
      </c>
      <c r="D4268" s="2" t="str">
        <f t="shared" si="65"/>
        <v>Error?</v>
      </c>
    </row>
    <row r="4269" spans="1:5" x14ac:dyDescent="0.2">
      <c r="A4269" s="12">
        <v>4208</v>
      </c>
      <c r="B4269" s="138">
        <f>'FP Info 3'!J16</f>
        <v>28816638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74144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269236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15751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25404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81742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45.199999999999996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639018693</v>
      </c>
      <c r="D4995" s="2" t="str">
        <f t="shared" si="77"/>
        <v>Error?</v>
      </c>
    </row>
    <row r="4996" spans="1:4" x14ac:dyDescent="0.2">
      <c r="A4996" s="12">
        <v>4935</v>
      </c>
      <c r="B4996" s="138">
        <f>'FP Info 3'!H31</f>
        <v>44092289.817000002</v>
      </c>
      <c r="D4996" s="2" t="str">
        <f t="shared" si="77"/>
        <v>Error?</v>
      </c>
    </row>
    <row r="4997" spans="1:4" x14ac:dyDescent="0.2">
      <c r="A4997" s="12">
        <v>4936</v>
      </c>
      <c r="B4997" s="138">
        <f>'FP Info 3'!H37</f>
        <v>14360000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1800000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1800000</v>
      </c>
      <c r="D5024" s="2" t="str">
        <f t="shared" si="77"/>
        <v>Error?</v>
      </c>
    </row>
    <row r="5025" spans="1:4" x14ac:dyDescent="0.2">
      <c r="A5025" s="10">
        <v>4964</v>
      </c>
      <c r="C5025" s="2" t="s">
        <v>594</v>
      </c>
      <c r="D5025" s="2" t="str">
        <f t="shared" si="77"/>
        <v>OK</v>
      </c>
    </row>
    <row r="5026" spans="1:4" x14ac:dyDescent="0.2">
      <c r="A5026" s="5">
        <v>4965</v>
      </c>
      <c r="B5026" s="138">
        <f>'Revenues 9-14'!C6</f>
        <v>269830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21686139</v>
      </c>
      <c r="D5061" s="2" t="str">
        <f t="shared" si="78"/>
        <v>Error?</v>
      </c>
    </row>
    <row r="5062" spans="1:4" x14ac:dyDescent="0.2">
      <c r="A5062" s="10">
        <v>5001</v>
      </c>
      <c r="D5062" s="2" t="str">
        <f t="shared" si="78"/>
        <v>OK</v>
      </c>
    </row>
    <row r="5063" spans="1:4" x14ac:dyDescent="0.2">
      <c r="A5063" s="5">
        <v>5002</v>
      </c>
      <c r="B5063" s="138">
        <f>'Revenues 9-14'!C7</f>
        <v>978521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22934490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218895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218895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9543</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10949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20492</v>
      </c>
      <c r="C5087" s="2" t="s">
        <v>594</v>
      </c>
      <c r="D5087" s="2" t="str">
        <f t="shared" si="78"/>
        <v>Error?</v>
      </c>
    </row>
    <row r="5088" spans="1:4" x14ac:dyDescent="0.2">
      <c r="A5088" s="5">
        <v>5027</v>
      </c>
      <c r="B5088" s="138">
        <f>'Revenues 9-14'!C65</f>
        <v>323864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323864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195015</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15</v>
      </c>
      <c r="D5101" s="2" t="str">
        <f t="shared" si="78"/>
        <v>Error?</v>
      </c>
    </row>
    <row r="5102" spans="1:4" x14ac:dyDescent="0.2">
      <c r="A5102" s="5">
        <v>5041</v>
      </c>
      <c r="B5102" s="138">
        <f>'Revenues 9-14'!C82</f>
        <v>15</v>
      </c>
      <c r="C5102" s="2" t="s">
        <v>594</v>
      </c>
      <c r="D5102" s="2" t="str">
        <f t="shared" si="78"/>
        <v>Error?</v>
      </c>
    </row>
    <row r="5103" spans="1:4" x14ac:dyDescent="0.2">
      <c r="A5103" s="5">
        <v>5042</v>
      </c>
      <c r="B5103" s="138">
        <f>'Revenues 9-14'!C84</f>
        <v>166496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166496</v>
      </c>
      <c r="C5112" s="2" t="s">
        <v>594</v>
      </c>
      <c r="D5112" s="2" t="str">
        <f t="shared" si="78"/>
        <v>Error?</v>
      </c>
    </row>
    <row r="5113" spans="1:4" x14ac:dyDescent="0.2">
      <c r="A5113" s="5">
        <v>5052</v>
      </c>
      <c r="B5113" s="138">
        <f>'Revenues 9-14'!C95</f>
        <v>1200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143949</v>
      </c>
      <c r="D5119" s="2" t="str">
        <f t="shared" ref="D5119:D5182" si="79">IF(ISBLANK(B5119),"OK",IF(A5119-B5119=0,"OK","Error?"))</f>
        <v>Error?</v>
      </c>
    </row>
    <row r="5120" spans="1:4" x14ac:dyDescent="0.2">
      <c r="A5120" s="5">
        <v>5059</v>
      </c>
      <c r="B5120" s="138">
        <f>'Revenues 9-14'!C108</f>
        <v>146362</v>
      </c>
      <c r="C5120" s="2" t="s">
        <v>594</v>
      </c>
      <c r="D5120" s="2" t="str">
        <f t="shared" si="79"/>
        <v>Error?</v>
      </c>
    </row>
    <row r="5121" spans="1:4" x14ac:dyDescent="0.2">
      <c r="A5121" s="5">
        <v>5060</v>
      </c>
      <c r="B5121" s="138">
        <f>'Revenues 9-14'!C109</f>
        <v>24005629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2510686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2510686</v>
      </c>
      <c r="C5132" s="2" t="s">
        <v>594</v>
      </c>
      <c r="D5132" s="2" t="str">
        <f t="shared" si="79"/>
        <v>Error?</v>
      </c>
    </row>
    <row r="5133" spans="1:4" x14ac:dyDescent="0.2">
      <c r="A5133" s="5">
        <v>5072</v>
      </c>
      <c r="B5133" s="138">
        <f>'Revenues 9-14'!C124</f>
        <v>84272</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11810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96082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3155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4841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527369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631447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3142133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272754</v>
      </c>
      <c r="D5239" s="2" t="str">
        <f t="shared" si="80"/>
        <v>Error?</v>
      </c>
    </row>
    <row r="5240" spans="1:4" x14ac:dyDescent="0.2">
      <c r="A5240" s="5">
        <v>5179</v>
      </c>
      <c r="B5240" s="138">
        <f>'Revenues 9-14'!C195</f>
        <v>6912</v>
      </c>
      <c r="D5240" s="2" t="str">
        <f t="shared" si="80"/>
        <v>Error?</v>
      </c>
    </row>
    <row r="5241" spans="1:4" x14ac:dyDescent="0.2">
      <c r="A5241" s="5">
        <v>5180</v>
      </c>
      <c r="B5241" s="138">
        <f>'Revenues 9-14'!C196</f>
        <v>89474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369140</v>
      </c>
      <c r="C5246" s="2" t="s">
        <v>594</v>
      </c>
      <c r="D5246" s="2" t="str">
        <f t="shared" si="80"/>
        <v>Error?</v>
      </c>
    </row>
    <row r="5247" spans="1:4" x14ac:dyDescent="0.2">
      <c r="A5247" s="5">
        <v>5186</v>
      </c>
      <c r="B5247" s="138">
        <f>'Revenues 9-14'!C203</f>
        <v>484831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15751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484831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39806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619731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659537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2640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1982425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1982425</v>
      </c>
      <c r="C5326" s="2" t="s">
        <v>594</v>
      </c>
      <c r="D5326" s="2" t="str">
        <f t="shared" si="82"/>
        <v>Error?</v>
      </c>
    </row>
    <row r="5327" spans="1:4" x14ac:dyDescent="0.2">
      <c r="A5327" s="5">
        <v>5266</v>
      </c>
      <c r="B5327" s="138">
        <f>'Revenues 9-14'!C275</f>
        <v>29130187</v>
      </c>
      <c r="C5327" s="2" t="s">
        <v>594</v>
      </c>
      <c r="D5327" s="2" t="str">
        <f t="shared" si="82"/>
        <v>Error?</v>
      </c>
    </row>
    <row r="5328" spans="1:4" x14ac:dyDescent="0.2">
      <c r="A5328" s="5">
        <v>5267</v>
      </c>
      <c r="B5328" s="138">
        <f>'Revenues 9-14'!D5</f>
        <v>3012411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3012411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47813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47813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23591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6928</v>
      </c>
      <c r="D5354" s="2" t="str">
        <f t="shared" si="82"/>
        <v>Error?</v>
      </c>
    </row>
    <row r="5355" spans="1:4" x14ac:dyDescent="0.2">
      <c r="A5355" s="5">
        <v>5294</v>
      </c>
      <c r="B5355" s="138">
        <f>'Revenues 9-14'!D108</f>
        <v>30519</v>
      </c>
      <c r="C5355" s="2" t="s">
        <v>594</v>
      </c>
      <c r="D5355" s="2" t="str">
        <f t="shared" si="82"/>
        <v>Error?</v>
      </c>
    </row>
    <row r="5356" spans="1:4" x14ac:dyDescent="0.2">
      <c r="A5356" s="5">
        <v>5295</v>
      </c>
      <c r="B5356" s="138">
        <f>'Revenues 9-14'!D109</f>
        <v>3090743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3090743</v>
      </c>
      <c r="C5508" s="2" t="s">
        <v>594</v>
      </c>
      <c r="D5508" s="2" t="str">
        <f t="shared" si="85"/>
        <v>Error?</v>
      </c>
    </row>
    <row r="5509" spans="1:4" x14ac:dyDescent="0.2">
      <c r="A5509" s="5">
        <v>5448</v>
      </c>
      <c r="B5509" s="138">
        <f>'Revenues 9-14'!E5</f>
        <v>3039929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3039929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49518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49518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3089447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3089447</v>
      </c>
      <c r="C5552" s="2" t="s">
        <v>594</v>
      </c>
      <c r="D5552" s="2" t="str">
        <f t="shared" si="85"/>
        <v>Error?</v>
      </c>
    </row>
    <row r="5553" spans="1:4" x14ac:dyDescent="0.2">
      <c r="A5553" s="5">
        <v>5492</v>
      </c>
      <c r="B5553" s="138">
        <f>'Revenues 9-14'!F5</f>
        <v>2805438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2805438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21852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21852</v>
      </c>
      <c r="C5579" s="2" t="s">
        <v>594</v>
      </c>
      <c r="D5579" s="2" t="str">
        <f t="shared" si="86"/>
        <v>Error?</v>
      </c>
    </row>
    <row r="5580" spans="1:4" x14ac:dyDescent="0.2">
      <c r="A5580" s="5">
        <v>5519</v>
      </c>
      <c r="B5580" s="138">
        <f>'Revenues 9-14'!F65</f>
        <v>15593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15593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2842883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236809</v>
      </c>
      <c r="D5615" s="2" t="str">
        <f t="shared" si="86"/>
        <v>Error?</v>
      </c>
    </row>
    <row r="5616" spans="1:4" x14ac:dyDescent="0.2">
      <c r="A5616" s="10">
        <v>5555</v>
      </c>
      <c r="D5616" s="2" t="str">
        <f t="shared" si="86"/>
        <v>OK</v>
      </c>
    </row>
    <row r="5617" spans="1:4" x14ac:dyDescent="0.2">
      <c r="A5617" s="5">
        <v>5556</v>
      </c>
      <c r="B5617" s="138">
        <f>'Revenues 9-14'!F152</f>
        <v>430035</v>
      </c>
      <c r="D5617" s="2" t="str">
        <f t="shared" si="86"/>
        <v>Error?</v>
      </c>
    </row>
    <row r="5618" spans="1:4" x14ac:dyDescent="0.2">
      <c r="A5618" s="5">
        <v>5557</v>
      </c>
      <c r="B5618" s="138">
        <f>'Revenues 9-14'!F154</f>
        <v>666844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666844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666844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3509727</v>
      </c>
      <c r="C5720" s="2" t="s">
        <v>594</v>
      </c>
      <c r="D5720" s="2" t="str">
        <f t="shared" si="88"/>
        <v>Error?</v>
      </c>
    </row>
    <row r="5721" spans="1:4" x14ac:dyDescent="0.2">
      <c r="A5721" s="5">
        <v>5660</v>
      </c>
      <c r="B5721" s="138">
        <f>'Revenues 9-14'!G5</f>
        <v>493084</v>
      </c>
      <c r="D5721" s="2" t="str">
        <f t="shared" si="88"/>
        <v>Error?</v>
      </c>
    </row>
    <row r="5722" spans="1:4" x14ac:dyDescent="0.2">
      <c r="A5722" s="5">
        <v>5661</v>
      </c>
      <c r="B5722" s="138">
        <f>'Revenues 9-14'!G7</f>
        <v>0</v>
      </c>
      <c r="D5722" s="2" t="str">
        <f t="shared" si="88"/>
        <v>Error?</v>
      </c>
    </row>
    <row r="5723" spans="1:4" x14ac:dyDescent="0.2">
      <c r="A5723" s="5">
        <v>5662</v>
      </c>
      <c r="B5723" s="138">
        <f>'Revenues 9-14'!G8</f>
        <v>581797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1074881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11656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11656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1086537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41012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41012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41012</v>
      </c>
      <c r="C5915" s="2" t="s">
        <v>594</v>
      </c>
      <c r="D5915" s="2" t="str">
        <f t="shared" si="91"/>
        <v>Error?</v>
      </c>
    </row>
    <row r="5916" spans="1:4" x14ac:dyDescent="0.2">
      <c r="A5916" s="5">
        <v>5855</v>
      </c>
      <c r="B5916" s="138">
        <f>'Revenues 9-14'!I5</f>
        <v>273754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273754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92900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92900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366654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5015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5015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5118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5118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10133</v>
      </c>
      <c r="C6023" s="2" t="s">
        <v>594</v>
      </c>
      <c r="D6023" s="2" t="str">
        <f t="shared" si="93"/>
        <v>Error?</v>
      </c>
    </row>
    <row r="6024" spans="1:5" x14ac:dyDescent="0.2">
      <c r="A6024" s="5">
        <v>5963</v>
      </c>
      <c r="B6024" s="138">
        <f>'Revenues 9-14'!G109</f>
        <v>1086537</v>
      </c>
      <c r="C6024" s="2" t="s">
        <v>594</v>
      </c>
      <c r="D6024" s="2" t="str">
        <f t="shared" si="93"/>
        <v>Error?</v>
      </c>
    </row>
    <row r="6025" spans="1:5" x14ac:dyDescent="0.2">
      <c r="A6025" s="5">
        <v>5964</v>
      </c>
      <c r="B6025" s="138">
        <f>'Revenues 9-14'!H109</f>
        <v>41012</v>
      </c>
      <c r="C6025" s="2" t="s">
        <v>594</v>
      </c>
      <c r="D6025" s="2" t="str">
        <f t="shared" si="93"/>
        <v>Error?</v>
      </c>
    </row>
    <row r="6026" spans="1:5" x14ac:dyDescent="0.2">
      <c r="A6026" s="5">
        <v>5965</v>
      </c>
      <c r="B6026" s="138">
        <f>'Revenues 9-14'!I109</f>
        <v>366654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10133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195015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46419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2185.96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462127</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188053</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113718</v>
      </c>
      <c r="D6099" s="2" t="str">
        <f t="shared" si="94"/>
        <v>Error?</v>
      </c>
      <c r="E6099" s="2" t="s">
        <v>199</v>
      </c>
    </row>
    <row r="6100" spans="1:5" x14ac:dyDescent="0.2">
      <c r="A6100">
        <v>6039</v>
      </c>
      <c r="B6100" s="138">
        <f>'Assets-Liab 5-6'!D9</f>
        <v>16788</v>
      </c>
      <c r="D6100" s="2" t="str">
        <f t="shared" si="94"/>
        <v>Error?</v>
      </c>
      <c r="E6100" s="2" t="s">
        <v>199</v>
      </c>
    </row>
    <row r="6101" spans="1:5" x14ac:dyDescent="0.2">
      <c r="A6101">
        <v>6040</v>
      </c>
      <c r="B6101" s="138">
        <f>'Assets-Liab 5-6'!E9</f>
        <v>17387</v>
      </c>
      <c r="D6101" s="2" t="str">
        <f t="shared" si="94"/>
        <v>Error?</v>
      </c>
      <c r="E6101" s="2" t="s">
        <v>199</v>
      </c>
    </row>
    <row r="6102" spans="1:5" x14ac:dyDescent="0.2">
      <c r="A6102">
        <v>6041</v>
      </c>
      <c r="B6102" s="138">
        <f>'Assets-Liab 5-6'!F9</f>
        <v>5475</v>
      </c>
      <c r="D6102" s="2" t="str">
        <f t="shared" si="94"/>
        <v>Error?</v>
      </c>
      <c r="E6102" s="2" t="s">
        <v>199</v>
      </c>
    </row>
    <row r="6103" spans="1:5" x14ac:dyDescent="0.2">
      <c r="A6103">
        <f>A6102+1</f>
        <v>6042</v>
      </c>
      <c r="B6103" s="138">
        <f>'Assets-Liab 5-6'!G9</f>
        <v>4093</v>
      </c>
      <c r="D6103" s="2" t="str">
        <f t="shared" si="94"/>
        <v>Error?</v>
      </c>
      <c r="E6103" s="2" t="s">
        <v>199</v>
      </c>
    </row>
    <row r="6104" spans="1:5" x14ac:dyDescent="0.2">
      <c r="A6104">
        <v>6043</v>
      </c>
      <c r="B6104" s="138">
        <f>'Assets-Liab 5-6'!H9</f>
        <v>14401</v>
      </c>
      <c r="D6104" s="2" t="str">
        <f t="shared" si="94"/>
        <v>Error?</v>
      </c>
      <c r="E6104" s="2" t="s">
        <v>199</v>
      </c>
    </row>
    <row r="6105" spans="1:5" x14ac:dyDescent="0.2">
      <c r="A6105">
        <v>6044</v>
      </c>
      <c r="B6105" s="138">
        <f>'Assets-Liab 5-6'!I9</f>
        <v>32620</v>
      </c>
      <c r="D6105" s="2" t="str">
        <f t="shared" si="94"/>
        <v>Error?</v>
      </c>
      <c r="E6105" s="2" t="s">
        <v>199</v>
      </c>
    </row>
    <row r="6106" spans="1:5" x14ac:dyDescent="0.2">
      <c r="A6106">
        <v>6045</v>
      </c>
      <c r="B6106" s="138">
        <f>'Assets-Liab 5-6'!J9</f>
        <v>2882</v>
      </c>
      <c r="D6106" s="2" t="str">
        <f t="shared" si="94"/>
        <v>Error?</v>
      </c>
      <c r="E6106" s="2" t="s">
        <v>199</v>
      </c>
    </row>
    <row r="6107" spans="1:5" x14ac:dyDescent="0.2">
      <c r="A6107">
        <v>6046</v>
      </c>
      <c r="B6107" s="138">
        <f>'Assets-Liab 5-6'!K9</f>
        <v>1799</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57416</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748795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172559</v>
      </c>
      <c r="D6142" s="2" t="str">
        <f t="shared" si="94"/>
        <v>Error?</v>
      </c>
      <c r="E6142" s="2" t="s">
        <v>199</v>
      </c>
    </row>
    <row r="6143" spans="1:5" x14ac:dyDescent="0.2">
      <c r="A6143">
        <v>6082</v>
      </c>
      <c r="B6143" s="138">
        <f>'Assets-Liab 5-6'!D27</f>
        <v>46118</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177028</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149865</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149865</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598930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748795</v>
      </c>
      <c r="D6216" s="2" t="str">
        <f t="shared" si="96"/>
        <v>Error?</v>
      </c>
      <c r="E6216" s="2" t="s">
        <v>199</v>
      </c>
    </row>
    <row r="6217" spans="1:5" x14ac:dyDescent="0.2">
      <c r="A6217">
        <v>6156</v>
      </c>
      <c r="B6217" s="138">
        <f>'Assets-Liab 5-6'!J4</f>
        <v>549340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139157</v>
      </c>
      <c r="D6219" s="2" t="str">
        <f t="shared" si="96"/>
        <v>Error?</v>
      </c>
      <c r="E6219" s="2" t="s">
        <v>199</v>
      </c>
    </row>
    <row r="6220" spans="1:5" x14ac:dyDescent="0.2">
      <c r="A6220">
        <v>6159</v>
      </c>
      <c r="B6220" s="138">
        <f>'Acct Summary 7-8'!J4</f>
        <v>306362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306362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306362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258691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258691</v>
      </c>
      <c r="D6229" s="2" t="str">
        <f t="shared" si="96"/>
        <v>Error?</v>
      </c>
      <c r="E6229" s="2" t="s">
        <v>199</v>
      </c>
    </row>
    <row r="6230" spans="1:5" x14ac:dyDescent="0.2">
      <c r="A6230">
        <v>6169</v>
      </c>
      <c r="B6230" s="138">
        <f>'Acct Summary 7-8'!J20</f>
        <v>47671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47671</v>
      </c>
      <c r="D6263" s="2" t="str">
        <f t="shared" si="96"/>
        <v>Error?</v>
      </c>
      <c r="E6263" s="2" t="s">
        <v>199</v>
      </c>
    </row>
    <row r="6264" spans="1:5" x14ac:dyDescent="0.2">
      <c r="A6264">
        <v>6203</v>
      </c>
      <c r="B6264" s="138">
        <f>'Acct Summary 7-8'!J79</f>
        <v>551259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598930</v>
      </c>
      <c r="D6266" s="2" t="str">
        <f t="shared" si="96"/>
        <v>Error?</v>
      </c>
      <c r="E6266" s="2" t="s">
        <v>199</v>
      </c>
    </row>
    <row r="6267" spans="1:5" x14ac:dyDescent="0.2">
      <c r="A6267">
        <v>6206</v>
      </c>
      <c r="B6267" s="138">
        <f>'Acct Summary 7-8'!C82</f>
        <v>6746901</v>
      </c>
      <c r="D6267" s="2" t="str">
        <f t="shared" si="96"/>
        <v>Error?</v>
      </c>
      <c r="E6267" s="2" t="s">
        <v>199</v>
      </c>
    </row>
    <row r="6268" spans="1:5" x14ac:dyDescent="0.2">
      <c r="A6268">
        <v>6207</v>
      </c>
      <c r="B6268" s="138">
        <f>'Acct Summary 7-8'!D82</f>
        <v>-142603</v>
      </c>
      <c r="D6268" s="2" t="str">
        <f t="shared" si="96"/>
        <v>Error?</v>
      </c>
      <c r="E6268" s="2" t="s">
        <v>199</v>
      </c>
    </row>
    <row r="6269" spans="1:5" x14ac:dyDescent="0.2">
      <c r="A6269">
        <v>6208</v>
      </c>
      <c r="B6269" s="138">
        <f>'Acct Summary 7-8'!E82</f>
        <v>167733</v>
      </c>
      <c r="D6269" s="2" t="str">
        <f t="shared" si="96"/>
        <v>Error?</v>
      </c>
      <c r="E6269" s="2" t="s">
        <v>199</v>
      </c>
    </row>
    <row r="6270" spans="1:5" x14ac:dyDescent="0.2">
      <c r="A6270">
        <v>6209</v>
      </c>
      <c r="B6270" s="138">
        <f>'Acct Summary 7-8'!F82</f>
        <v>95983</v>
      </c>
      <c r="D6270" s="2" t="str">
        <f t="shared" si="96"/>
        <v>Error?</v>
      </c>
      <c r="E6270" s="2" t="s">
        <v>199</v>
      </c>
    </row>
    <row r="6271" spans="1:5" x14ac:dyDescent="0.2">
      <c r="A6271">
        <v>6210</v>
      </c>
      <c r="B6271" s="138">
        <f>'Acct Summary 7-8'!G82</f>
        <v>-6560</v>
      </c>
      <c r="D6271" s="2" t="str">
        <f t="shared" ref="D6271:D6334" si="97">IF(ISBLANK(B6271),"OK",IF(A6271-B6271=0,"OK","Error?"))</f>
        <v>Error?</v>
      </c>
      <c r="E6271" s="2" t="s">
        <v>199</v>
      </c>
    </row>
    <row r="6272" spans="1:5" x14ac:dyDescent="0.2">
      <c r="A6272">
        <v>6211</v>
      </c>
      <c r="B6272" s="138">
        <f>'Acct Summary 7-8'!H82</f>
        <v>4550259</v>
      </c>
      <c r="D6272" s="2" t="str">
        <f t="shared" si="97"/>
        <v>Error?</v>
      </c>
      <c r="E6272" s="2" t="s">
        <v>199</v>
      </c>
    </row>
    <row r="6273" spans="1:5" x14ac:dyDescent="0.2">
      <c r="A6273">
        <v>6212</v>
      </c>
      <c r="B6273" s="138">
        <f>'Acct Summary 7-8'!I82</f>
        <v>-11630527</v>
      </c>
      <c r="D6273" s="2" t="str">
        <f t="shared" si="97"/>
        <v>Error?</v>
      </c>
      <c r="E6273" s="2" t="s">
        <v>199</v>
      </c>
    </row>
    <row r="6274" spans="1:5" x14ac:dyDescent="0.2">
      <c r="A6274">
        <v>6213</v>
      </c>
      <c r="B6274" s="138">
        <f>'Acct Summary 7-8'!J82</f>
        <v>47671</v>
      </c>
      <c r="D6274" s="2" t="str">
        <f t="shared" si="97"/>
        <v>Error?</v>
      </c>
      <c r="E6274" s="2" t="s">
        <v>199</v>
      </c>
    </row>
    <row r="6275" spans="1:5" x14ac:dyDescent="0.2">
      <c r="A6275">
        <v>6214</v>
      </c>
      <c r="B6275" s="138">
        <f>'Acct Summary 7-8'!K82</f>
        <v>10133</v>
      </c>
      <c r="D6275" s="2" t="str">
        <f t="shared" si="97"/>
        <v>Error?</v>
      </c>
      <c r="E6275" s="2" t="s">
        <v>199</v>
      </c>
    </row>
    <row r="6276" spans="1:5" x14ac:dyDescent="0.2">
      <c r="A6276">
        <v>6215</v>
      </c>
      <c r="B6276" s="138">
        <f>'Acct Summary 7-8'!C83</f>
        <v>0.27669051795527178</v>
      </c>
      <c r="D6276" s="2" t="str">
        <f t="shared" si="97"/>
        <v>Error?</v>
      </c>
      <c r="E6276" s="2" t="s">
        <v>199</v>
      </c>
    </row>
    <row r="6277" spans="1:5" x14ac:dyDescent="0.2">
      <c r="A6277">
        <v>6216</v>
      </c>
      <c r="B6277" s="138">
        <f>'Acct Summary 7-8'!D83</f>
        <v>-4.8694346281909745E-2</v>
      </c>
      <c r="D6277" s="2" t="str">
        <f t="shared" si="97"/>
        <v>Error?</v>
      </c>
      <c r="E6277" s="2" t="s">
        <v>199</v>
      </c>
    </row>
    <row r="6278" spans="1:5" x14ac:dyDescent="0.2">
      <c r="A6278">
        <v>6217</v>
      </c>
      <c r="B6278" s="138">
        <f>'Acct Summary 7-8'!E83</f>
        <v>5.2623273295413546E-2</v>
      </c>
      <c r="D6278" s="2" t="str">
        <f t="shared" si="97"/>
        <v>Error?</v>
      </c>
      <c r="E6278" s="2" t="s">
        <v>199</v>
      </c>
    </row>
    <row r="6279" spans="1:5" x14ac:dyDescent="0.2">
      <c r="A6279">
        <v>6218</v>
      </c>
      <c r="B6279" s="138">
        <f>'Acct Summary 7-8'!F83</f>
        <v>7.7721356834172362E-2</v>
      </c>
      <c r="D6279" s="2" t="str">
        <f t="shared" si="97"/>
        <v>Error?</v>
      </c>
      <c r="E6279" s="2" t="s">
        <v>199</v>
      </c>
    </row>
    <row r="6280" spans="1:5" x14ac:dyDescent="0.2">
      <c r="A6280">
        <v>6219</v>
      </c>
      <c r="B6280" s="138">
        <f>'Acct Summary 7-8'!G83</f>
        <v>-9.1458398976112069E-3</v>
      </c>
      <c r="D6280" s="2" t="str">
        <f t="shared" si="97"/>
        <v>Error?</v>
      </c>
      <c r="E6280" s="2" t="s">
        <v>199</v>
      </c>
    </row>
    <row r="6281" spans="1:5" x14ac:dyDescent="0.2">
      <c r="A6281">
        <v>6220</v>
      </c>
      <c r="B6281" s="138">
        <f>'Acct Summary 7-8'!H83</f>
        <v>0.93780656027393106</v>
      </c>
      <c r="D6281" s="2" t="str">
        <f t="shared" si="97"/>
        <v>Error?</v>
      </c>
      <c r="E6281" s="2" t="s">
        <v>199</v>
      </c>
    </row>
    <row r="6282" spans="1:5" x14ac:dyDescent="0.2">
      <c r="A6282">
        <v>6221</v>
      </c>
      <c r="B6282" s="138">
        <f>'Acct Summary 7-8'!I83</f>
        <v>-43.25947815737107</v>
      </c>
      <c r="D6282" s="2" t="str">
        <f t="shared" si="97"/>
        <v>Error?</v>
      </c>
      <c r="E6282" s="2" t="s">
        <v>199</v>
      </c>
    </row>
    <row r="6283" spans="1:5" x14ac:dyDescent="0.2">
      <c r="A6283">
        <v>6222</v>
      </c>
      <c r="B6283" s="138">
        <f>'Acct Summary 7-8'!J83</f>
        <v>7.9593608602006913E-2</v>
      </c>
      <c r="D6283" s="2" t="str">
        <f t="shared" si="97"/>
        <v>Error?</v>
      </c>
      <c r="E6283" s="2" t="s">
        <v>199</v>
      </c>
    </row>
    <row r="6284" spans="1:5" x14ac:dyDescent="0.2">
      <c r="A6284">
        <v>6223</v>
      </c>
      <c r="B6284" s="138">
        <f>'Acct Summary 7-8'!K83</f>
        <v>3.0000947429505324E-2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6000000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298154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298154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8208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8208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1213</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306362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460703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322839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337265</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660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312764</v>
      </c>
      <c r="D6880" s="2" t="str">
        <f t="shared" si="106"/>
        <v>Error?</v>
      </c>
    </row>
    <row r="6881" spans="1:4" x14ac:dyDescent="0.2">
      <c r="A6881">
        <v>6820</v>
      </c>
      <c r="B6881" s="138">
        <f>'Expenditures 15-22'!K22</f>
        <v>312764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461363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1624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1624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19354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19354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20978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482341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104518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104518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104518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258691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104518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306362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34086</v>
      </c>
      <c r="D7075" s="2" t="str">
        <f t="shared" si="109"/>
        <v>Error?</v>
      </c>
    </row>
    <row r="7076" spans="1:4" x14ac:dyDescent="0.2">
      <c r="A7076">
        <v>7015</v>
      </c>
      <c r="B7076" s="138">
        <f>'Expenditures 15-22'!K218</f>
        <v>34086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99635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99635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16764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16764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125200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125200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445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445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16647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16647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258691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258691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258691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258691</v>
      </c>
      <c r="D7224" s="2" t="str">
        <f t="shared" si="111"/>
        <v>Error?</v>
      </c>
    </row>
    <row r="7225" spans="1:4" x14ac:dyDescent="0.2">
      <c r="A7225">
        <v>7164</v>
      </c>
      <c r="B7225" s="138">
        <f>'Expenditures 15-22'!K343</f>
        <v>47671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243800</v>
      </c>
      <c r="D7251" s="2" t="str">
        <f t="shared" si="112"/>
        <v>Error?</v>
      </c>
    </row>
    <row r="7252" spans="1:4" x14ac:dyDescent="0.2">
      <c r="A7252">
        <f t="shared" si="113"/>
        <v>7191</v>
      </c>
      <c r="B7252" s="138">
        <f>'Expenditures 15-22'!D9</f>
        <v>79039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270003</v>
      </c>
      <c r="D7257" s="2" t="str">
        <f t="shared" si="112"/>
        <v>Error?</v>
      </c>
    </row>
    <row r="7258" spans="1:4" x14ac:dyDescent="0.2">
      <c r="A7258">
        <f t="shared" si="113"/>
        <v>7197</v>
      </c>
      <c r="B7258" s="138">
        <f>'Expenditures 15-22'!D11</f>
        <v>53994</v>
      </c>
      <c r="D7258" s="2" t="str">
        <f t="shared" si="112"/>
        <v>Error?</v>
      </c>
    </row>
    <row r="7259" spans="1:4" x14ac:dyDescent="0.2">
      <c r="A7259">
        <f t="shared" si="113"/>
        <v>7198</v>
      </c>
      <c r="B7259" s="138">
        <f>'Expenditures 15-22'!E11</f>
        <v>3651</v>
      </c>
      <c r="D7259" s="2" t="str">
        <f t="shared" si="112"/>
        <v>Error?</v>
      </c>
    </row>
    <row r="7260" spans="1:4" x14ac:dyDescent="0.2">
      <c r="A7260">
        <f t="shared" si="113"/>
        <v>7199</v>
      </c>
      <c r="B7260" s="138">
        <f>'Expenditures 15-22'!F11</f>
        <v>9617</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586859</v>
      </c>
      <c r="D7624" s="2" t="str">
        <f t="shared" si="124"/>
        <v>Error?</v>
      </c>
      <c r="E7624" s="2" t="s">
        <v>19</v>
      </c>
    </row>
    <row r="7625" spans="1:5" x14ac:dyDescent="0.2">
      <c r="A7625">
        <f t="shared" si="123"/>
        <v>7564</v>
      </c>
      <c r="B7625" s="138">
        <f>'Cap Outlay Deprec 26'!I17</f>
        <v>58685.9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1482700.9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6000000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978521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5997181</v>
      </c>
      <c r="D7748" s="2" t="str">
        <f t="shared" si="127"/>
        <v>Error?</v>
      </c>
      <c r="E7748" s="4" t="s">
        <v>1400</v>
      </c>
    </row>
    <row r="7749" spans="1:6" x14ac:dyDescent="0.2">
      <c r="A7749">
        <v>7688</v>
      </c>
      <c r="B7749" s="138">
        <f>'Acct Summary 7-8'!D25</f>
        <v>6000000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762926</v>
      </c>
      <c r="D7759" s="2" t="str">
        <f t="shared" si="127"/>
        <v>Error?</v>
      </c>
      <c r="E7759" s="4" t="s">
        <v>1400</v>
      </c>
    </row>
    <row r="7760" spans="1:6" x14ac:dyDescent="0.2">
      <c r="A7760">
        <v>7699</v>
      </c>
      <c r="B7760" s="138">
        <f>'Aud Quest 2'!J90</f>
        <v>762926</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4067625.16</v>
      </c>
      <c r="D7797" s="2" t="str">
        <f t="shared" si="127"/>
        <v>Error?</v>
      </c>
      <c r="E7797" s="4" t="s">
        <v>2016</v>
      </c>
    </row>
    <row r="7798" spans="1:5" x14ac:dyDescent="0.2">
      <c r="A7798">
        <v>7737</v>
      </c>
      <c r="B7798" s="138">
        <f>'Contracts Paid in CY 29'!F141</f>
        <v>275000</v>
      </c>
      <c r="D7798" s="2" t="str">
        <f t="shared" si="127"/>
        <v>Error?</v>
      </c>
      <c r="E7798" s="4" t="s">
        <v>2016</v>
      </c>
    </row>
    <row r="7799" spans="1:5" x14ac:dyDescent="0.2">
      <c r="A7799">
        <v>7738</v>
      </c>
      <c r="B7799" s="138">
        <f>'Contracts Paid in CY 29'!G141</f>
        <v>2529247.31</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7" zoomScale="110" zoomScaleNormal="110" workbookViewId="0">
      <selection activeCell="B66" sqref="B6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50" t="s">
        <v>1253</v>
      </c>
      <c r="B2" s="2450"/>
      <c r="C2" s="2450"/>
      <c r="D2" s="2450"/>
      <c r="E2" s="2450"/>
      <c r="F2" s="2450"/>
      <c r="G2" s="2450"/>
      <c r="H2" s="2450"/>
      <c r="I2" s="2450"/>
      <c r="J2" s="2450"/>
      <c r="K2" s="2450"/>
      <c r="L2" s="2450"/>
    </row>
    <row r="3" spans="1:29" ht="13.5" customHeight="1" x14ac:dyDescent="0.2">
      <c r="A3" s="2436" t="s">
        <v>1252</v>
      </c>
      <c r="B3" s="2436"/>
      <c r="C3" s="2436"/>
      <c r="D3" s="2436"/>
      <c r="E3" s="2436"/>
      <c r="F3" s="2436"/>
      <c r="G3" s="2436"/>
      <c r="H3" s="2436"/>
      <c r="I3" s="2436"/>
      <c r="J3" s="2436"/>
      <c r="K3" s="2436"/>
      <c r="L3" s="2436"/>
    </row>
    <row r="4" spans="1:29" ht="13.5" customHeight="1" x14ac:dyDescent="0.2">
      <c r="A4" s="2450" t="s">
        <v>1799</v>
      </c>
      <c r="B4" s="2467"/>
      <c r="C4" s="2467"/>
      <c r="D4" s="2467"/>
      <c r="E4" s="2467"/>
      <c r="F4" s="2467"/>
      <c r="G4" s="2467"/>
      <c r="H4" s="2467"/>
      <c r="I4" s="2467"/>
      <c r="J4" s="2467"/>
      <c r="K4" s="2467"/>
      <c r="L4" s="246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30" t="str">
        <f>COVER!A17</f>
        <v>CCSD 146 Tinley Park</v>
      </c>
      <c r="B7" s="2431"/>
      <c r="C7" s="2431"/>
      <c r="D7" s="2468"/>
      <c r="E7" s="2469">
        <f>COVER!A13</f>
        <v>7016146004</v>
      </c>
      <c r="F7" s="2470"/>
      <c r="G7" s="2437" t="str">
        <f>COVER!T23</f>
        <v>066-003328</v>
      </c>
      <c r="H7" s="2438"/>
      <c r="I7" s="2438"/>
      <c r="J7" s="2438"/>
      <c r="K7" s="2438"/>
      <c r="L7" s="243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40"/>
      <c r="B9" s="2441"/>
      <c r="C9" s="2441"/>
      <c r="D9" s="2441"/>
      <c r="E9" s="2441"/>
      <c r="F9" s="2442"/>
      <c r="G9" s="2443" t="str">
        <f>COVER!T13</f>
        <v xml:space="preserve">Mueller &amp; Co., LLP </v>
      </c>
      <c r="H9" s="2444"/>
      <c r="I9" s="2444"/>
      <c r="J9" s="2444"/>
      <c r="K9" s="2444"/>
      <c r="L9" s="2445"/>
    </row>
    <row r="10" spans="1:29" ht="13.5" customHeight="1" x14ac:dyDescent="0.2">
      <c r="A10" s="2427" t="str">
        <f>COVER!A38</f>
        <v xml:space="preserve">DR. JEFF STAWICK </v>
      </c>
      <c r="B10" s="2428"/>
      <c r="C10" s="2428"/>
      <c r="D10" s="2428"/>
      <c r="E10" s="2428"/>
      <c r="F10" s="2429"/>
      <c r="G10" s="2443" t="str">
        <f>COVER!T17</f>
        <v xml:space="preserve">14300 RAVINIA AVE. </v>
      </c>
      <c r="H10" s="2456"/>
      <c r="I10" s="2456"/>
      <c r="J10" s="2456"/>
      <c r="K10" s="2456"/>
      <c r="L10" s="2457"/>
    </row>
    <row r="11" spans="1:29" ht="13.5" customHeight="1" x14ac:dyDescent="0.2">
      <c r="A11" s="1185" t="s">
        <v>1599</v>
      </c>
      <c r="B11" s="1186"/>
      <c r="C11" s="1187"/>
      <c r="D11" s="1192"/>
      <c r="E11" s="1187"/>
      <c r="F11" s="1191"/>
      <c r="G11" s="2443" t="str">
        <f>COVER!T19</f>
        <v xml:space="preserve">ORLAND PARK </v>
      </c>
      <c r="H11" s="2456"/>
      <c r="I11" s="2456"/>
      <c r="J11" s="2456"/>
      <c r="K11" s="2456"/>
      <c r="L11" s="2457"/>
    </row>
    <row r="12" spans="1:29" ht="13.5" customHeight="1" x14ac:dyDescent="0.2">
      <c r="A12" s="2461" t="s">
        <v>1598</v>
      </c>
      <c r="B12" s="2462"/>
      <c r="C12" s="2462"/>
      <c r="D12" s="2462"/>
      <c r="E12" s="2462"/>
      <c r="F12" s="2463"/>
      <c r="G12" s="2458"/>
      <c r="H12" s="2459"/>
      <c r="I12" s="2459"/>
      <c r="J12" s="2459"/>
      <c r="K12" s="2459"/>
      <c r="L12" s="2460"/>
    </row>
    <row r="13" spans="1:29" ht="13.5" customHeight="1" x14ac:dyDescent="0.2">
      <c r="A13" s="2443"/>
      <c r="B13" s="2456"/>
      <c r="C13" s="2456"/>
      <c r="D13" s="2456"/>
      <c r="E13" s="2456"/>
      <c r="F13" s="2457"/>
      <c r="G13" s="2451" t="s">
        <v>1600</v>
      </c>
      <c r="H13" s="2452"/>
      <c r="I13" s="2464" t="str">
        <f>COVER!T25</f>
        <v>Ed McCormick &lt;emccormick@muellercpa.com&gt;</v>
      </c>
      <c r="J13" s="2465"/>
      <c r="K13" s="2465"/>
      <c r="L13" s="2466"/>
    </row>
    <row r="14" spans="1:29" ht="13.5" customHeight="1" x14ac:dyDescent="0.2">
      <c r="A14" s="2443" t="str">
        <f>COVER!A19</f>
        <v>6611 W.171ST STREET</v>
      </c>
      <c r="B14" s="2456"/>
      <c r="C14" s="2456"/>
      <c r="D14" s="2456"/>
      <c r="E14" s="2456"/>
      <c r="F14" s="2457"/>
      <c r="G14" s="1196" t="s">
        <v>1247</v>
      </c>
      <c r="H14" s="1194"/>
      <c r="I14" s="1194"/>
      <c r="J14" s="1194"/>
      <c r="K14" s="1194"/>
      <c r="L14" s="1195"/>
    </row>
    <row r="15" spans="1:29" ht="13.5" customHeight="1" x14ac:dyDescent="0.2">
      <c r="A15" s="2443" t="str">
        <f>COVER!A21</f>
        <v>TINLEY PARK</v>
      </c>
      <c r="B15" s="2456"/>
      <c r="C15" s="2456"/>
      <c r="D15" s="2456"/>
      <c r="E15" s="2456"/>
      <c r="F15" s="2457"/>
      <c r="G15" s="2453" t="str">
        <f>COVER!T15</f>
        <v>ED MCCORMICK</v>
      </c>
      <c r="H15" s="2454"/>
      <c r="I15" s="2454"/>
      <c r="J15" s="2454"/>
      <c r="K15" s="2454"/>
      <c r="L15" s="2455"/>
    </row>
    <row r="16" spans="1:29" ht="12.2" customHeight="1" x14ac:dyDescent="0.2">
      <c r="A16" s="2433">
        <f>COVER!A25</f>
        <v>60477</v>
      </c>
      <c r="B16" s="2434"/>
      <c r="C16" s="2434"/>
      <c r="D16" s="2434"/>
      <c r="E16" s="2434"/>
      <c r="F16" s="2435"/>
      <c r="G16" s="2446"/>
      <c r="H16" s="2447"/>
      <c r="I16" s="2447"/>
      <c r="J16" s="2447"/>
      <c r="K16" s="2447"/>
      <c r="L16" s="2448"/>
    </row>
    <row r="17" spans="1:13" ht="12.2" customHeight="1" x14ac:dyDescent="0.2">
      <c r="A17" s="2449"/>
      <c r="B17" s="2434"/>
      <c r="C17" s="2434"/>
      <c r="D17" s="2434"/>
      <c r="E17" s="2434"/>
      <c r="F17" s="2435"/>
      <c r="G17" s="1196" t="s">
        <v>1246</v>
      </c>
      <c r="H17" s="1194"/>
      <c r="I17" s="1194"/>
      <c r="J17" s="1194"/>
      <c r="K17" s="1198" t="s">
        <v>1245</v>
      </c>
      <c r="L17" s="1191"/>
      <c r="M17" s="1184"/>
    </row>
    <row r="18" spans="1:13" ht="12.2" customHeight="1" x14ac:dyDescent="0.2">
      <c r="A18" s="2427"/>
      <c r="B18" s="2428"/>
      <c r="C18" s="2428"/>
      <c r="D18" s="2428"/>
      <c r="E18" s="2428"/>
      <c r="F18" s="2429"/>
      <c r="G18" s="2430" t="str">
        <f>COVER!T21</f>
        <v>708-349-6999</v>
      </c>
      <c r="H18" s="2431"/>
      <c r="I18" s="2431"/>
      <c r="J18" s="2431"/>
      <c r="K18" s="2430" t="str">
        <f>COVER!X21</f>
        <v>708-349-6639</v>
      </c>
      <c r="L18" s="243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2077</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2077</v>
      </c>
      <c r="C26" s="1203" t="s">
        <v>1801</v>
      </c>
    </row>
    <row r="27" spans="1:13" s="1199" customFormat="1" ht="9" customHeight="1" x14ac:dyDescent="0.2">
      <c r="B27" s="1204"/>
      <c r="C27" s="1203"/>
    </row>
    <row r="28" spans="1:13" s="1199" customFormat="1" ht="12.2" customHeight="1" x14ac:dyDescent="0.2">
      <c r="A28" s="1206"/>
      <c r="B28" s="1202" t="s">
        <v>2077</v>
      </c>
      <c r="C28" s="1203" t="s">
        <v>1802</v>
      </c>
    </row>
    <row r="29" spans="1:13" s="1199" customFormat="1" ht="9" customHeight="1" x14ac:dyDescent="0.2">
      <c r="A29" s="1206"/>
      <c r="B29" s="1204"/>
      <c r="C29" s="1203"/>
    </row>
    <row r="30" spans="1:13" s="1199" customFormat="1" ht="12.2" customHeight="1" x14ac:dyDescent="0.2">
      <c r="B30" s="1202" t="s">
        <v>2077</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2077</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2077</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2077</v>
      </c>
      <c r="C38" s="1203" t="s">
        <v>1647</v>
      </c>
    </row>
    <row r="39" spans="1:8" ht="9" customHeight="1" x14ac:dyDescent="0.2">
      <c r="B39" s="1204"/>
      <c r="C39" s="1207"/>
    </row>
    <row r="40" spans="1:8" s="1199" customFormat="1" ht="13.5" customHeight="1" x14ac:dyDescent="0.2">
      <c r="B40" s="1202" t="s">
        <v>2077</v>
      </c>
      <c r="C40" s="1203" t="s">
        <v>1648</v>
      </c>
    </row>
    <row r="41" spans="1:8" ht="9" customHeight="1" x14ac:dyDescent="0.2">
      <c r="A41" s="1208"/>
      <c r="B41" s="1204"/>
      <c r="C41" s="1207"/>
    </row>
    <row r="42" spans="1:8" s="1199" customFormat="1" ht="13.5" customHeight="1" x14ac:dyDescent="0.2">
      <c r="B42" s="1202" t="s">
        <v>2077</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1" zoomScale="125" zoomScaleNormal="125" workbookViewId="0">
      <selection activeCell="B134" sqref="B134"/>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1" t="str">
        <f>'Single Audit Cover'!A7</f>
        <v>CCSD 146 Tinley Park</v>
      </c>
      <c r="B1" s="2467"/>
      <c r="C1" s="2467"/>
      <c r="D1" s="2467"/>
    </row>
    <row r="2" spans="1:11" s="1215" customFormat="1" ht="12.75" x14ac:dyDescent="0.2">
      <c r="A2" s="2472">
        <f>'Single Audit Cover'!E7</f>
        <v>7016146004</v>
      </c>
      <c r="B2" s="2473"/>
      <c r="C2" s="2473"/>
      <c r="D2" s="2473"/>
    </row>
    <row r="3" spans="1:11" s="1215" customFormat="1" ht="12.75" x14ac:dyDescent="0.2">
      <c r="A3" s="2471" t="s">
        <v>1593</v>
      </c>
      <c r="B3" s="2467"/>
      <c r="C3" s="2467"/>
      <c r="D3" s="246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2077</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2077</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2077</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2077</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2077</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2077</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2077</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2077</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2077</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2088</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2088</v>
      </c>
      <c r="C42" s="1232">
        <v>11</v>
      </c>
      <c r="D42" s="1243" t="s">
        <v>1655</v>
      </c>
      <c r="E42" s="312"/>
    </row>
    <row r="43" spans="1:5" ht="3" customHeight="1" x14ac:dyDescent="0.2">
      <c r="A43" s="1222"/>
      <c r="B43" s="1239"/>
      <c r="C43" s="1240"/>
      <c r="D43" s="1221"/>
    </row>
    <row r="44" spans="1:5" x14ac:dyDescent="0.2">
      <c r="A44" s="1222"/>
      <c r="B44" s="1225" t="s">
        <v>2077</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2077</v>
      </c>
      <c r="C48" s="1226">
        <f>C44+1</f>
        <v>13</v>
      </c>
      <c r="D48" s="1237" t="s">
        <v>1656</v>
      </c>
    </row>
    <row r="49" spans="1:4" ht="3" customHeight="1" x14ac:dyDescent="0.2">
      <c r="A49" s="1222"/>
      <c r="B49" s="1229"/>
      <c r="C49" s="1226"/>
      <c r="D49" s="1237"/>
    </row>
    <row r="50" spans="1:4" x14ac:dyDescent="0.2">
      <c r="A50" s="1222"/>
      <c r="B50" s="1225" t="s">
        <v>2077</v>
      </c>
      <c r="C50" s="1226">
        <f>C48+1</f>
        <v>14</v>
      </c>
      <c r="D50" s="1237" t="s">
        <v>1274</v>
      </c>
    </row>
    <row r="51" spans="1:4" ht="3" customHeight="1" x14ac:dyDescent="0.2">
      <c r="A51" s="1222"/>
      <c r="B51" s="1229"/>
      <c r="C51" s="1226"/>
      <c r="D51" s="1237"/>
    </row>
    <row r="52" spans="1:4" x14ac:dyDescent="0.2">
      <c r="A52" s="1222"/>
      <c r="B52" s="1225" t="s">
        <v>2077</v>
      </c>
      <c r="C52" s="1226">
        <f>C50+1</f>
        <v>15</v>
      </c>
      <c r="D52" s="1237" t="s">
        <v>1273</v>
      </c>
    </row>
    <row r="53" spans="1:4" ht="3" customHeight="1" x14ac:dyDescent="0.2">
      <c r="A53" s="1222"/>
      <c r="B53" s="1229"/>
      <c r="C53" s="1226"/>
      <c r="D53" s="1237"/>
    </row>
    <row r="54" spans="1:4" x14ac:dyDescent="0.2">
      <c r="A54" s="1222"/>
      <c r="B54" s="1225" t="s">
        <v>2088</v>
      </c>
      <c r="C54" s="1226">
        <f>C52+1</f>
        <v>16</v>
      </c>
      <c r="D54" s="1237" t="s">
        <v>1272</v>
      </c>
    </row>
    <row r="55" spans="1:4" ht="3" customHeight="1" x14ac:dyDescent="0.2">
      <c r="A55" s="1222"/>
      <c r="B55" s="1229"/>
      <c r="C55" s="1226"/>
      <c r="D55" s="1237"/>
    </row>
    <row r="56" spans="1:4" x14ac:dyDescent="0.2">
      <c r="A56" s="1222"/>
      <c r="B56" s="1225" t="s">
        <v>2077</v>
      </c>
      <c r="C56" s="1226">
        <f>C54+1</f>
        <v>17</v>
      </c>
      <c r="D56" s="1221" t="s">
        <v>1811</v>
      </c>
    </row>
    <row r="57" spans="1:4" ht="10.5" customHeight="1" x14ac:dyDescent="0.2">
      <c r="A57" s="1222"/>
      <c r="D57" s="1237" t="s">
        <v>1812</v>
      </c>
    </row>
    <row r="58" spans="1:4" x14ac:dyDescent="0.2">
      <c r="A58" s="1222"/>
      <c r="C58" s="1244" t="s">
        <v>2088</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2088</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2077</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2077</v>
      </c>
      <c r="D69" s="1237" t="s">
        <v>1816</v>
      </c>
    </row>
    <row r="70" spans="1:4" x14ac:dyDescent="0.2">
      <c r="A70" s="1222"/>
      <c r="D70" s="1246" t="s">
        <v>1268</v>
      </c>
    </row>
    <row r="71" spans="1:4" ht="3" customHeight="1" x14ac:dyDescent="0.2">
      <c r="A71" s="1222"/>
      <c r="D71" s="1221"/>
    </row>
    <row r="72" spans="1:4" x14ac:dyDescent="0.2">
      <c r="A72" s="1222"/>
      <c r="B72" s="1225" t="s">
        <v>2077</v>
      </c>
      <c r="C72" s="1226">
        <f>C56+1</f>
        <v>18</v>
      </c>
      <c r="D72" s="1247" t="s">
        <v>1817</v>
      </c>
    </row>
    <row r="73" spans="1:4" ht="3" customHeight="1" x14ac:dyDescent="0.2">
      <c r="A73" s="1222"/>
      <c r="B73" s="1229"/>
      <c r="C73" s="1226"/>
      <c r="D73" s="1247"/>
    </row>
    <row r="74" spans="1:4" x14ac:dyDescent="0.2">
      <c r="A74" s="1222"/>
      <c r="B74" s="1225" t="s">
        <v>2088</v>
      </c>
      <c r="C74" s="1226">
        <f>C72+1</f>
        <v>19</v>
      </c>
      <c r="D74" s="1237" t="s">
        <v>1267</v>
      </c>
    </row>
    <row r="75" spans="1:4" ht="3" customHeight="1" x14ac:dyDescent="0.2">
      <c r="A75" s="1222"/>
      <c r="B75" s="1229"/>
      <c r="C75" s="1226"/>
      <c r="D75" s="1237"/>
    </row>
    <row r="76" spans="1:4" x14ac:dyDescent="0.2">
      <c r="A76" s="1222"/>
      <c r="B76" s="1225" t="s">
        <v>2077</v>
      </c>
      <c r="C76" s="1226">
        <f>C74+1</f>
        <v>20</v>
      </c>
      <c r="D76" s="1248" t="s">
        <v>1818</v>
      </c>
    </row>
    <row r="77" spans="1:4" ht="3" customHeight="1" x14ac:dyDescent="0.2">
      <c r="A77" s="1222"/>
      <c r="B77" s="1229"/>
      <c r="C77" s="1226"/>
      <c r="D77" s="1248"/>
    </row>
    <row r="78" spans="1:4" x14ac:dyDescent="0.2">
      <c r="A78" s="1222"/>
      <c r="B78" s="1225" t="s">
        <v>2077</v>
      </c>
      <c r="C78" s="1226">
        <f>C76+1</f>
        <v>21</v>
      </c>
      <c r="D78" s="1221" t="s">
        <v>1819</v>
      </c>
    </row>
    <row r="79" spans="1:4" ht="3" customHeight="1" x14ac:dyDescent="0.2">
      <c r="A79" s="1222"/>
      <c r="B79" s="1229"/>
      <c r="C79" s="1226"/>
      <c r="D79" s="1221"/>
    </row>
    <row r="80" spans="1:4" x14ac:dyDescent="0.2">
      <c r="A80" s="1222"/>
      <c r="B80" s="1225" t="s">
        <v>2077</v>
      </c>
      <c r="C80" s="1226">
        <f>C78+1</f>
        <v>22</v>
      </c>
      <c r="D80" s="1249" t="s">
        <v>1820</v>
      </c>
    </row>
    <row r="81" spans="1:4" ht="3" customHeight="1" x14ac:dyDescent="0.2">
      <c r="A81" s="1222"/>
      <c r="B81" s="1229"/>
      <c r="C81" s="1226"/>
      <c r="D81" s="1249"/>
    </row>
    <row r="82" spans="1:4" x14ac:dyDescent="0.2">
      <c r="A82" s="1222"/>
      <c r="B82" s="1225" t="s">
        <v>2077</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2077</v>
      </c>
      <c r="C85" s="1226">
        <f>C82+1</f>
        <v>24</v>
      </c>
      <c r="D85" s="1237" t="s">
        <v>1265</v>
      </c>
    </row>
    <row r="86" spans="1:4" ht="3" customHeight="1" x14ac:dyDescent="0.2">
      <c r="A86" s="1222"/>
      <c r="B86" s="1229"/>
      <c r="C86" s="1226"/>
      <c r="D86" s="1237"/>
    </row>
    <row r="87" spans="1:4" x14ac:dyDescent="0.2">
      <c r="A87" s="1222"/>
      <c r="B87" s="1225" t="s">
        <v>2077</v>
      </c>
      <c r="C87" s="1226">
        <f>C85+1</f>
        <v>25</v>
      </c>
      <c r="D87" s="1237" t="s">
        <v>1264</v>
      </c>
    </row>
    <row r="88" spans="1:4" ht="3" customHeight="1" x14ac:dyDescent="0.2">
      <c r="A88" s="1222"/>
      <c r="B88" s="1229"/>
      <c r="C88" s="1226"/>
      <c r="D88" s="1237"/>
    </row>
    <row r="89" spans="1:4" x14ac:dyDescent="0.2">
      <c r="A89" s="1222"/>
      <c r="B89" s="1225" t="s">
        <v>2077</v>
      </c>
      <c r="C89" s="1226">
        <f>C87+1</f>
        <v>26</v>
      </c>
      <c r="D89" s="1237" t="s">
        <v>1263</v>
      </c>
    </row>
    <row r="90" spans="1:4" ht="3" customHeight="1" x14ac:dyDescent="0.2">
      <c r="A90" s="1222"/>
      <c r="B90" s="1229"/>
      <c r="C90" s="1226"/>
      <c r="D90" s="1237"/>
    </row>
    <row r="91" spans="1:4" x14ac:dyDescent="0.2">
      <c r="A91" s="1222"/>
      <c r="B91" s="1225" t="s">
        <v>2088</v>
      </c>
      <c r="C91" s="1226">
        <f>C89+1</f>
        <v>27</v>
      </c>
      <c r="D91" s="1237" t="s">
        <v>1822</v>
      </c>
    </row>
    <row r="92" spans="1:4" x14ac:dyDescent="0.2">
      <c r="A92" s="1222"/>
      <c r="B92" s="1250"/>
      <c r="C92" s="1244" t="s">
        <v>2088</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2077</v>
      </c>
      <c r="C96" s="1226">
        <f>C91+1</f>
        <v>28</v>
      </c>
      <c r="D96" s="1237" t="s">
        <v>1823</v>
      </c>
    </row>
    <row r="97" spans="1:4" ht="3" customHeight="1" x14ac:dyDescent="0.2">
      <c r="A97" s="1222"/>
      <c r="B97" s="1229"/>
      <c r="C97" s="1226"/>
      <c r="D97" s="1237"/>
    </row>
    <row r="98" spans="1:4" x14ac:dyDescent="0.2">
      <c r="A98" s="1222"/>
      <c r="B98" s="1225" t="s">
        <v>2077</v>
      </c>
      <c r="C98" s="1226">
        <f>C96+1</f>
        <v>29</v>
      </c>
      <c r="D98" s="1251" t="s">
        <v>1824</v>
      </c>
    </row>
    <row r="99" spans="1:4" ht="3" customHeight="1" x14ac:dyDescent="0.2">
      <c r="A99" s="1222"/>
      <c r="B99" s="1229"/>
      <c r="C99" s="1226"/>
      <c r="D99" s="1251"/>
    </row>
    <row r="100" spans="1:4" x14ac:dyDescent="0.2">
      <c r="A100" s="1222"/>
      <c r="B100" s="1225" t="s">
        <v>2077</v>
      </c>
      <c r="C100" s="1226">
        <f>C98+1</f>
        <v>30</v>
      </c>
      <c r="D100" s="1237" t="s">
        <v>1825</v>
      </c>
    </row>
    <row r="101" spans="1:4" ht="3" customHeight="1" x14ac:dyDescent="0.2">
      <c r="A101" s="1222"/>
      <c r="B101" s="1229"/>
      <c r="C101" s="1226"/>
      <c r="D101" s="1252"/>
    </row>
    <row r="102" spans="1:4" x14ac:dyDescent="0.2">
      <c r="A102" s="1222"/>
      <c r="B102" s="1225" t="s">
        <v>2077</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2077</v>
      </c>
      <c r="C106" s="1226">
        <f>C102+1</f>
        <v>32</v>
      </c>
      <c r="D106" s="1221" t="s">
        <v>1661</v>
      </c>
    </row>
    <row r="107" spans="1:4" ht="3" customHeight="1" x14ac:dyDescent="0.2">
      <c r="A107" s="1222"/>
      <c r="B107" s="1229"/>
      <c r="C107" s="1226"/>
      <c r="D107" s="1221"/>
    </row>
    <row r="108" spans="1:4" x14ac:dyDescent="0.2">
      <c r="A108" s="1222"/>
      <c r="B108" s="1225" t="s">
        <v>2077</v>
      </c>
      <c r="C108" s="1226">
        <v>33</v>
      </c>
      <c r="D108" s="1221" t="s">
        <v>1826</v>
      </c>
    </row>
    <row r="109" spans="1:4" ht="3" customHeight="1" x14ac:dyDescent="0.2">
      <c r="A109" s="1222"/>
      <c r="B109" s="1229"/>
      <c r="C109" s="1226"/>
      <c r="D109" s="1221"/>
    </row>
    <row r="110" spans="1:4" x14ac:dyDescent="0.2">
      <c r="A110" s="1222"/>
      <c r="B110" s="1225" t="s">
        <v>2077</v>
      </c>
      <c r="C110" s="1226">
        <f>C108+1</f>
        <v>34</v>
      </c>
      <c r="D110" s="1221" t="s">
        <v>1260</v>
      </c>
    </row>
    <row r="111" spans="1:4" ht="3" customHeight="1" x14ac:dyDescent="0.2">
      <c r="A111" s="1222"/>
      <c r="B111" s="1229"/>
      <c r="C111" s="1226"/>
      <c r="D111" s="1221"/>
    </row>
    <row r="112" spans="1:4" x14ac:dyDescent="0.2">
      <c r="A112" s="1222"/>
      <c r="B112" s="1225" t="s">
        <v>2077</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2088</v>
      </c>
      <c r="C115" s="1226">
        <f>C112+1</f>
        <v>36</v>
      </c>
      <c r="D115" s="1237" t="s">
        <v>1257</v>
      </c>
    </row>
    <row r="116" spans="1:4" ht="3" customHeight="1" x14ac:dyDescent="0.2">
      <c r="A116" s="1222"/>
      <c r="B116" s="1229"/>
      <c r="C116" s="1226"/>
      <c r="D116" s="1237"/>
    </row>
    <row r="117" spans="1:4" x14ac:dyDescent="0.2">
      <c r="A117" s="1222"/>
      <c r="B117" s="1225" t="s">
        <v>2088</v>
      </c>
      <c r="C117" s="1226">
        <f>C115+1</f>
        <v>37</v>
      </c>
      <c r="D117" s="1237" t="s">
        <v>1827</v>
      </c>
    </row>
    <row r="118" spans="1:4" ht="3" customHeight="1" x14ac:dyDescent="0.2">
      <c r="A118" s="1222"/>
      <c r="B118" s="1229"/>
      <c r="C118" s="1226"/>
      <c r="D118" s="1237"/>
    </row>
    <row r="119" spans="1:4" x14ac:dyDescent="0.2">
      <c r="A119" s="1222"/>
      <c r="B119" s="1225" t="s">
        <v>2088</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2077</v>
      </c>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5" t="str">
        <f>'Single Audit Cover'!A7</f>
        <v>CCSD 146 Tinley Park</v>
      </c>
      <c r="B1" s="2475"/>
      <c r="C1" s="2475"/>
      <c r="D1" s="2475"/>
      <c r="E1" s="2475"/>
    </row>
    <row r="2" spans="1:5" x14ac:dyDescent="0.2">
      <c r="A2" s="2476">
        <f>'Single Audit Cover'!E7</f>
        <v>7016146004</v>
      </c>
      <c r="B2" s="2476"/>
      <c r="C2" s="2476"/>
      <c r="D2" s="2476"/>
      <c r="E2" s="2476"/>
    </row>
    <row r="3" spans="1:5" ht="4.5" customHeight="1" x14ac:dyDescent="0.2"/>
    <row r="4" spans="1:5" x14ac:dyDescent="0.2">
      <c r="A4" s="2475" t="s">
        <v>1307</v>
      </c>
      <c r="B4" s="2475"/>
      <c r="C4" s="2475"/>
      <c r="D4" s="2475"/>
      <c r="E4" s="2475"/>
    </row>
    <row r="5" spans="1:5" x14ac:dyDescent="0.2">
      <c r="A5" s="2478" t="str">
        <f>'Single Audit Cover'!A4</f>
        <v>Year Ending June 30, 2018</v>
      </c>
      <c r="B5" s="2478"/>
      <c r="C5" s="2478"/>
      <c r="D5" s="2478"/>
      <c r="E5" s="2478"/>
    </row>
    <row r="6" spans="1:5" x14ac:dyDescent="0.2">
      <c r="A6" s="2475" t="s">
        <v>1306</v>
      </c>
      <c r="B6" s="2475"/>
      <c r="C6" s="2475"/>
      <c r="D6" s="2475"/>
      <c r="E6" s="2475"/>
    </row>
    <row r="8" spans="1:5" x14ac:dyDescent="0.2">
      <c r="A8" s="1260" t="s">
        <v>1305</v>
      </c>
    </row>
    <row r="10" spans="1:5" x14ac:dyDescent="0.2">
      <c r="A10" s="1261" t="s">
        <v>1304</v>
      </c>
      <c r="B10" s="1262" t="s">
        <v>1303</v>
      </c>
      <c r="C10" s="1262"/>
      <c r="D10" s="1263">
        <f>SUM('Acct Summary 7-8'!C7:K7)</f>
        <v>1982425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46419</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-269236</v>
      </c>
    </row>
    <row r="19" spans="1:4" ht="13.5" thickBot="1" x14ac:dyDescent="0.25">
      <c r="A19" s="1265" t="s">
        <v>1297</v>
      </c>
      <c r="D19" s="1266">
        <f>SUM(D10:D17)</f>
        <v>1759608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7"/>
      <c r="B24" s="2477"/>
      <c r="D24" s="1268"/>
    </row>
    <row r="25" spans="1:4" x14ac:dyDescent="0.2">
      <c r="A25" s="2474"/>
      <c r="B25" s="2474"/>
      <c r="D25" s="1268"/>
    </row>
    <row r="26" spans="1:4" x14ac:dyDescent="0.2">
      <c r="A26" s="2474"/>
      <c r="B26" s="2474"/>
      <c r="D26" s="1268"/>
    </row>
    <row r="27" spans="1:4" x14ac:dyDescent="0.2">
      <c r="A27" s="2474"/>
      <c r="B27" s="2474"/>
      <c r="D27" s="1268"/>
    </row>
    <row r="28" spans="1:4" x14ac:dyDescent="0.2">
      <c r="A28" s="2474"/>
      <c r="B28" s="2474"/>
      <c r="D28" s="1268"/>
    </row>
    <row r="29" spans="1:4" x14ac:dyDescent="0.2">
      <c r="A29" s="2474"/>
      <c r="B29" s="2474"/>
      <c r="D29" s="1268"/>
    </row>
    <row r="30" spans="1:4" x14ac:dyDescent="0.2">
      <c r="A30" s="2474"/>
      <c r="B30" s="2474"/>
      <c r="D30" s="1268"/>
    </row>
    <row r="32" spans="1:4" x14ac:dyDescent="0.2">
      <c r="A32" s="1260" t="s">
        <v>1295</v>
      </c>
      <c r="D32" s="1263">
        <f>SUM(D19:D30)</f>
        <v>1759608</v>
      </c>
    </row>
    <row r="33" spans="1:4" x14ac:dyDescent="0.2">
      <c r="D33" s="1269"/>
    </row>
    <row r="34" spans="1:4" x14ac:dyDescent="0.2">
      <c r="A34" s="317" t="s">
        <v>1294</v>
      </c>
    </row>
    <row r="35" spans="1:4" x14ac:dyDescent="0.2">
      <c r="A35" s="317" t="s">
        <v>1293</v>
      </c>
      <c r="B35" s="1258" t="s">
        <v>1292</v>
      </c>
      <c r="D35" s="1270">
        <f>+' SEFA-1 (2)'!F27</f>
        <v>1759607</v>
      </c>
    </row>
    <row r="37" spans="1:4" x14ac:dyDescent="0.2">
      <c r="A37" s="1260" t="s">
        <v>1291</v>
      </c>
    </row>
    <row r="39" spans="1:4" ht="13.35" customHeight="1" x14ac:dyDescent="0.2">
      <c r="A39" s="1267" t="s">
        <v>1290</v>
      </c>
    </row>
    <row r="40" spans="1:4" x14ac:dyDescent="0.2">
      <c r="A40" s="2474" t="s">
        <v>2174</v>
      </c>
      <c r="B40" s="2474"/>
      <c r="D40" s="1268">
        <v>1</v>
      </c>
    </row>
    <row r="41" spans="1:4" x14ac:dyDescent="0.2">
      <c r="A41" s="2474"/>
      <c r="B41" s="2474"/>
      <c r="D41" s="1271"/>
    </row>
    <row r="42" spans="1:4" x14ac:dyDescent="0.2">
      <c r="A42" s="2474"/>
      <c r="B42" s="2474"/>
      <c r="D42" s="1271"/>
    </row>
    <row r="43" spans="1:4" x14ac:dyDescent="0.2">
      <c r="A43" s="2474"/>
      <c r="B43" s="2474"/>
      <c r="D43" s="1271"/>
    </row>
    <row r="44" spans="1:4" x14ac:dyDescent="0.2">
      <c r="A44" s="2474"/>
      <c r="B44" s="2474"/>
      <c r="D44" s="1271"/>
    </row>
    <row r="45" spans="1:4" x14ac:dyDescent="0.2">
      <c r="A45" s="2474"/>
      <c r="B45" s="2474"/>
      <c r="D45" s="1271"/>
    </row>
    <row r="47" spans="1:4" x14ac:dyDescent="0.2">
      <c r="B47" s="1272" t="s">
        <v>1289</v>
      </c>
      <c r="C47" s="1272"/>
      <c r="D47" s="1273">
        <f>SUM(D35:D45)</f>
        <v>1759608</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A32" sqref="A32:F3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0" t="str">
        <f>'Single Audit Cover'!A7</f>
        <v>CCSD 146 Tinley Park</v>
      </c>
      <c r="B1" s="2480"/>
      <c r="C1" s="2480"/>
      <c r="D1" s="2480"/>
      <c r="E1" s="2480"/>
      <c r="F1" s="2480"/>
    </row>
    <row r="2" spans="1:7" ht="13.5" customHeight="1" x14ac:dyDescent="0.2">
      <c r="A2" s="2481">
        <f>'Single Audit Cover'!E7</f>
        <v>7016146004</v>
      </c>
      <c r="B2" s="2481"/>
      <c r="C2" s="2481"/>
      <c r="D2" s="2481"/>
      <c r="E2" s="2481"/>
      <c r="F2" s="2481"/>
      <c r="G2" s="1275"/>
    </row>
    <row r="3" spans="1:7" ht="15.75" customHeight="1" x14ac:dyDescent="0.2">
      <c r="A3" s="2482" t="s">
        <v>1333</v>
      </c>
      <c r="B3" s="2482"/>
      <c r="C3" s="2482"/>
      <c r="D3" s="2482"/>
      <c r="E3" s="2482"/>
      <c r="F3" s="2482"/>
    </row>
    <row r="4" spans="1:7" ht="13.5" customHeight="1" x14ac:dyDescent="0.2">
      <c r="A4" s="2483" t="str">
        <f>'Single Audit Cover'!A4</f>
        <v>Year Ending June 30, 2018</v>
      </c>
      <c r="B4" s="2483"/>
      <c r="C4" s="2483"/>
      <c r="D4" s="2483"/>
      <c r="E4" s="2483"/>
      <c r="F4" s="2483"/>
    </row>
    <row r="5" spans="1:7" ht="8.25" customHeight="1" x14ac:dyDescent="0.2">
      <c r="C5" s="317"/>
      <c r="D5" s="317"/>
    </row>
    <row r="6" spans="1:7" ht="13.5" customHeight="1" x14ac:dyDescent="0.2">
      <c r="A6" s="1276" t="s">
        <v>1831</v>
      </c>
      <c r="C6" s="317"/>
      <c r="D6" s="317"/>
    </row>
    <row r="7" spans="1:7" ht="60.95" customHeight="1" x14ac:dyDescent="0.2">
      <c r="A7" s="2479" t="s">
        <v>2089</v>
      </c>
      <c r="B7" s="2479"/>
      <c r="C7" s="2479"/>
      <c r="D7" s="2479"/>
      <c r="E7" s="2479"/>
      <c r="F7" s="247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2077</v>
      </c>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23.25" customHeight="1" x14ac:dyDescent="0.2">
      <c r="A13" s="2479" t="s">
        <v>2090</v>
      </c>
      <c r="B13" s="2479"/>
      <c r="C13" s="2479"/>
      <c r="D13" s="2479"/>
      <c r="E13" s="2479"/>
      <c r="F13" s="2479"/>
    </row>
    <row r="14" spans="1:7" ht="9.75" customHeight="1" x14ac:dyDescent="0.2">
      <c r="C14" s="1260"/>
      <c r="D14" s="1260"/>
    </row>
    <row r="15" spans="1:7" ht="13.5" customHeight="1" x14ac:dyDescent="0.2">
      <c r="C15" s="1868" t="s">
        <v>1332</v>
      </c>
      <c r="D15" s="2485" t="s">
        <v>1331</v>
      </c>
      <c r="E15" s="2485"/>
      <c r="F15" s="2485"/>
    </row>
    <row r="16" spans="1:7" ht="13.5" customHeight="1" x14ac:dyDescent="0.2">
      <c r="A16" s="1282"/>
      <c r="B16" s="1276" t="s">
        <v>1330</v>
      </c>
      <c r="C16" s="1868" t="s">
        <v>1329</v>
      </c>
      <c r="D16" s="2486" t="s">
        <v>1670</v>
      </c>
      <c r="E16" s="2486"/>
      <c r="F16" s="2486"/>
    </row>
    <row r="17" spans="1:6" ht="20.45" customHeight="1" x14ac:dyDescent="0.2">
      <c r="A17" s="1283"/>
      <c r="B17" s="1284" t="s">
        <v>2091</v>
      </c>
      <c r="C17" s="1285"/>
      <c r="D17" s="2484"/>
      <c r="E17" s="2484"/>
      <c r="F17" s="2484"/>
    </row>
    <row r="18" spans="1:6" ht="20.65" customHeight="1" x14ac:dyDescent="0.2">
      <c r="A18" s="1283"/>
      <c r="B18" s="1284"/>
      <c r="C18" s="1285"/>
      <c r="D18" s="2484"/>
      <c r="E18" s="2484"/>
      <c r="F18" s="2484"/>
    </row>
    <row r="19" spans="1:6" ht="20.65" customHeight="1" x14ac:dyDescent="0.2">
      <c r="A19" s="1283"/>
      <c r="B19" s="1284"/>
      <c r="C19" s="1285"/>
      <c r="D19" s="2484"/>
      <c r="E19" s="2484"/>
      <c r="F19" s="2484"/>
    </row>
    <row r="20" spans="1:6" ht="20.65" customHeight="1" x14ac:dyDescent="0.2">
      <c r="A20" s="1283"/>
      <c r="B20" s="1284"/>
      <c r="C20" s="1285"/>
      <c r="D20" s="2484"/>
      <c r="E20" s="2484"/>
      <c r="F20" s="2484"/>
    </row>
    <row r="21" spans="1:6" ht="20.65" customHeight="1" x14ac:dyDescent="0.2">
      <c r="A21" s="1283"/>
      <c r="B21" s="1284"/>
      <c r="C21" s="1285"/>
      <c r="D21" s="2484"/>
      <c r="E21" s="2484"/>
      <c r="F21" s="2484"/>
    </row>
    <row r="22" spans="1:6" ht="20.65" customHeight="1" x14ac:dyDescent="0.2">
      <c r="A22" s="1283"/>
      <c r="B22" s="1284"/>
      <c r="C22" s="1285"/>
      <c r="D22" s="2484"/>
      <c r="E22" s="2484"/>
      <c r="F22" s="2484"/>
    </row>
    <row r="23" spans="1:6" ht="20.65" customHeight="1" x14ac:dyDescent="0.2">
      <c r="A23" s="1283"/>
      <c r="B23" s="1284"/>
      <c r="C23" s="1285"/>
      <c r="D23" s="2484"/>
      <c r="E23" s="2484"/>
      <c r="F23" s="2484"/>
    </row>
    <row r="24" spans="1:6" ht="20.65" customHeight="1" x14ac:dyDescent="0.2">
      <c r="A24" s="1283"/>
      <c r="B24" s="1284"/>
      <c r="C24" s="1285"/>
      <c r="D24" s="2484"/>
      <c r="E24" s="2484"/>
      <c r="F24" s="2484"/>
    </row>
    <row r="25" spans="1:6" ht="20.65" customHeight="1" x14ac:dyDescent="0.2">
      <c r="A25" s="1283"/>
      <c r="B25" s="1284"/>
      <c r="C25" s="1285"/>
      <c r="D25" s="2484"/>
      <c r="E25" s="2484"/>
      <c r="F25" s="2484"/>
    </row>
    <row r="26" spans="1:6" ht="20.65" customHeight="1" x14ac:dyDescent="0.2">
      <c r="A26" s="1283"/>
      <c r="B26" s="1284"/>
      <c r="C26" s="1285"/>
      <c r="D26" s="2484"/>
      <c r="E26" s="2484"/>
      <c r="F26" s="2484"/>
    </row>
    <row r="27" spans="1:6" ht="20.65" customHeight="1" x14ac:dyDescent="0.2">
      <c r="A27" s="1283"/>
      <c r="B27" s="1284"/>
      <c r="C27" s="1285"/>
      <c r="D27" s="2484"/>
      <c r="E27" s="2484"/>
      <c r="F27" s="2484"/>
    </row>
    <row r="28" spans="1:6" ht="20.65" customHeight="1" x14ac:dyDescent="0.2">
      <c r="A28" s="1283"/>
      <c r="B28" s="1284"/>
      <c r="C28" s="1285"/>
      <c r="D28" s="2484"/>
      <c r="E28" s="2484"/>
      <c r="F28" s="2484"/>
    </row>
    <row r="29" spans="1:6" ht="20.65" customHeight="1" x14ac:dyDescent="0.2">
      <c r="A29" s="1283"/>
      <c r="B29" s="1284"/>
      <c r="C29" s="1285"/>
      <c r="D29" s="2484"/>
      <c r="E29" s="2484"/>
      <c r="F29" s="2484"/>
    </row>
    <row r="30" spans="1:6" ht="12" customHeight="1" x14ac:dyDescent="0.2">
      <c r="A30" s="328"/>
      <c r="B30" s="328"/>
      <c r="C30" s="1476"/>
      <c r="D30" s="1925"/>
      <c r="E30" s="1286"/>
    </row>
    <row r="31" spans="1:6" ht="12" customHeight="1" x14ac:dyDescent="0.2">
      <c r="A31" s="1287" t="s">
        <v>1630</v>
      </c>
      <c r="B31" s="328"/>
      <c r="C31" s="1476"/>
      <c r="D31" s="1925"/>
      <c r="E31" s="1286"/>
    </row>
    <row r="32" spans="1:6" ht="30" customHeight="1" x14ac:dyDescent="0.2">
      <c r="A32" s="2488" t="s">
        <v>2187</v>
      </c>
      <c r="B32" s="2488"/>
      <c r="C32" s="2488"/>
      <c r="D32" s="2488"/>
      <c r="E32" s="2488"/>
      <c r="F32" s="2488"/>
    </row>
    <row r="33" spans="1:6" ht="13.5" customHeight="1" x14ac:dyDescent="0.2">
      <c r="A33" s="328" t="s">
        <v>1509</v>
      </c>
      <c r="B33" s="328"/>
      <c r="C33" s="1288">
        <v>6590</v>
      </c>
      <c r="D33" s="1925"/>
      <c r="E33" s="1286"/>
    </row>
    <row r="34" spans="1:6" ht="13.5" customHeight="1" x14ac:dyDescent="0.2">
      <c r="A34" s="328" t="s">
        <v>1945</v>
      </c>
      <c r="B34" s="328"/>
      <c r="C34" s="1289">
        <v>39829</v>
      </c>
      <c r="D34" s="1925" t="s">
        <v>1671</v>
      </c>
      <c r="E34" s="2489">
        <f>+C33+C34</f>
        <v>46419</v>
      </c>
      <c r="F34" s="2490"/>
    </row>
    <row r="35" spans="1:6" ht="12" customHeight="1" x14ac:dyDescent="0.2">
      <c r="A35" s="328"/>
      <c r="B35" s="328"/>
      <c r="C35" s="1926"/>
      <c r="D35" s="1925"/>
      <c r="E35" s="1290"/>
      <c r="F35" s="1291"/>
    </row>
    <row r="36" spans="1:6" ht="13.5" customHeight="1" x14ac:dyDescent="0.2">
      <c r="A36" s="1287" t="s">
        <v>1631</v>
      </c>
      <c r="B36" s="328"/>
      <c r="C36" s="1476"/>
      <c r="D36" s="1925"/>
      <c r="E36" s="1286"/>
    </row>
    <row r="37" spans="1:6" ht="14.25" customHeight="1" x14ac:dyDescent="0.2">
      <c r="A37" s="328" t="s">
        <v>1563</v>
      </c>
      <c r="B37" s="328"/>
      <c r="C37" s="1927"/>
      <c r="D37" s="1925"/>
      <c r="E37" s="1286"/>
    </row>
    <row r="38" spans="1:6" ht="14.25" customHeight="1" x14ac:dyDescent="0.2">
      <c r="A38" s="328"/>
      <c r="B38" s="328" t="s">
        <v>1510</v>
      </c>
      <c r="C38" s="1292">
        <v>0</v>
      </c>
      <c r="D38" s="1925"/>
      <c r="E38" s="1286"/>
    </row>
    <row r="39" spans="1:6" ht="14.25" customHeight="1" x14ac:dyDescent="0.2">
      <c r="A39" s="328"/>
      <c r="B39" s="328" t="s">
        <v>1511</v>
      </c>
      <c r="C39" s="1292">
        <v>0</v>
      </c>
      <c r="D39" s="1925"/>
      <c r="E39" s="1286"/>
    </row>
    <row r="40" spans="1:6" ht="14.25" customHeight="1" x14ac:dyDescent="0.2">
      <c r="A40" s="328"/>
      <c r="B40" s="328" t="s">
        <v>1512</v>
      </c>
      <c r="C40" s="1292">
        <v>0</v>
      </c>
      <c r="D40" s="1925"/>
      <c r="E40" s="1286"/>
    </row>
    <row r="41" spans="1:6" ht="14.25" customHeight="1" x14ac:dyDescent="0.2">
      <c r="A41" s="328"/>
      <c r="B41" s="328" t="s">
        <v>1513</v>
      </c>
      <c r="C41" s="1292">
        <v>0</v>
      </c>
      <c r="D41" s="1925"/>
      <c r="E41" s="1286"/>
    </row>
    <row r="42" spans="1:6" ht="14.25" customHeight="1" x14ac:dyDescent="0.2">
      <c r="A42" s="328" t="s">
        <v>1514</v>
      </c>
      <c r="B42" s="328"/>
      <c r="C42" s="1923">
        <v>0</v>
      </c>
      <c r="D42" s="1925"/>
      <c r="E42" s="1286"/>
    </row>
    <row r="43" spans="1:6" ht="14.25" customHeight="1" x14ac:dyDescent="0.2">
      <c r="A43" s="328" t="s">
        <v>1515</v>
      </c>
      <c r="B43" s="328"/>
      <c r="C43" s="1293" t="s">
        <v>101</v>
      </c>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91" t="s">
        <v>1672</v>
      </c>
      <c r="C49" s="2491"/>
      <c r="D49" s="2491"/>
      <c r="E49" s="1397"/>
    </row>
    <row r="50" spans="1:5" s="1300" customFormat="1" ht="3.75" customHeight="1" x14ac:dyDescent="0.2">
      <c r="A50" s="1299"/>
      <c r="B50" s="1867"/>
      <c r="C50" s="1867"/>
      <c r="D50" s="1867"/>
      <c r="E50" s="1397"/>
    </row>
    <row r="51" spans="1:5" s="1300" customFormat="1" ht="20.25" customHeight="1" x14ac:dyDescent="0.2">
      <c r="A51" s="1301">
        <v>6</v>
      </c>
      <c r="B51" s="2487" t="s">
        <v>1632</v>
      </c>
      <c r="C51" s="2487"/>
      <c r="D51" s="2487"/>
    </row>
    <row r="52" spans="1:5" ht="14.25" customHeight="1" x14ac:dyDescent="0.2">
      <c r="A52" s="1301"/>
      <c r="B52" s="2487"/>
      <c r="C52" s="2487"/>
      <c r="D52" s="248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4" sqref="I2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CCSD 146 Tinley Park</v>
      </c>
      <c r="C1" s="2492"/>
      <c r="D1" s="2492"/>
      <c r="E1" s="2492"/>
      <c r="F1" s="2492"/>
      <c r="G1" s="2492"/>
      <c r="H1" s="2492"/>
      <c r="I1" s="2492"/>
      <c r="J1" s="2492"/>
      <c r="K1" s="2492"/>
      <c r="L1" s="2492"/>
      <c r="M1" s="2492"/>
    </row>
    <row r="2" spans="2:14" ht="15" x14ac:dyDescent="0.2">
      <c r="B2" s="2481">
        <f>'Single Audit Cover'!E7</f>
        <v>7016146004</v>
      </c>
      <c r="C2" s="2481"/>
      <c r="D2" s="2481"/>
      <c r="E2" s="2481"/>
      <c r="F2" s="2481"/>
      <c r="G2" s="2481"/>
      <c r="H2" s="2481"/>
      <c r="I2" s="2481"/>
      <c r="J2" s="2481"/>
      <c r="K2" s="2481"/>
      <c r="L2" s="2481"/>
      <c r="M2" s="2481"/>
      <c r="N2" s="1302"/>
    </row>
    <row r="3" spans="2:14" ht="15" x14ac:dyDescent="0.2">
      <c r="B3" s="2493" t="s">
        <v>1281</v>
      </c>
      <c r="C3" s="2493"/>
      <c r="D3" s="2493"/>
      <c r="E3" s="2493"/>
      <c r="F3" s="2493"/>
      <c r="G3" s="2493"/>
      <c r="H3" s="2493"/>
      <c r="I3" s="2493"/>
      <c r="J3" s="2493"/>
      <c r="K3" s="2493"/>
      <c r="L3" s="2493"/>
      <c r="M3" s="2493"/>
      <c r="N3" s="1302"/>
    </row>
    <row r="4" spans="2:14" ht="15" x14ac:dyDescent="0.2">
      <c r="B4" s="2494" t="str">
        <f>'Single Audit Cover'!A4</f>
        <v>Year Ending June 30, 2018</v>
      </c>
      <c r="C4" s="2494"/>
      <c r="D4" s="2494"/>
      <c r="E4" s="2494"/>
      <c r="F4" s="2494"/>
      <c r="G4" s="2494"/>
      <c r="H4" s="2494"/>
      <c r="I4" s="2494"/>
      <c r="J4" s="2494"/>
      <c r="K4" s="2494"/>
      <c r="L4" s="2494"/>
      <c r="M4" s="249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1" t="s">
        <v>2092</v>
      </c>
      <c r="C11" s="1964"/>
      <c r="D11" s="1963"/>
      <c r="E11" s="1962"/>
      <c r="F11" s="1962"/>
      <c r="G11" s="1962"/>
      <c r="H11" s="1962"/>
      <c r="I11" s="1962"/>
      <c r="J11" s="1962"/>
      <c r="K11" s="1962"/>
      <c r="L11" s="1962"/>
      <c r="M11" s="1338"/>
    </row>
    <row r="12" spans="2:14" ht="20.100000000000001" customHeight="1" x14ac:dyDescent="0.2">
      <c r="B12" s="1961" t="s">
        <v>2093</v>
      </c>
      <c r="C12" s="1960"/>
      <c r="D12" s="1959"/>
      <c r="E12" s="1958"/>
      <c r="F12" s="1958"/>
      <c r="G12" s="1958"/>
      <c r="H12" s="1958"/>
      <c r="I12" s="1958"/>
      <c r="J12" s="1958"/>
      <c r="K12" s="1962"/>
      <c r="L12" s="1958"/>
      <c r="M12" s="1341"/>
    </row>
    <row r="13" spans="2:14" ht="20.100000000000001" customHeight="1" x14ac:dyDescent="0.2">
      <c r="B13" s="1961" t="s">
        <v>2094</v>
      </c>
      <c r="C13" s="1960">
        <v>84.01</v>
      </c>
      <c r="D13" s="1959" t="s">
        <v>2119</v>
      </c>
      <c r="E13" s="1958"/>
      <c r="F13" s="1958">
        <v>484831</v>
      </c>
      <c r="G13" s="1958"/>
      <c r="H13" s="1965"/>
      <c r="I13" s="1958">
        <v>484831</v>
      </c>
      <c r="J13" s="1958"/>
      <c r="K13" s="1965"/>
      <c r="L13" s="1962">
        <f>G13+I13+K13</f>
        <v>484831</v>
      </c>
      <c r="M13" s="1958">
        <v>499499</v>
      </c>
    </row>
    <row r="14" spans="2:14" ht="20.100000000000001" customHeight="1" x14ac:dyDescent="0.2">
      <c r="B14" s="1961" t="s">
        <v>2095</v>
      </c>
      <c r="C14" s="1960">
        <v>84.367000000000004</v>
      </c>
      <c r="D14" s="1959" t="s">
        <v>2120</v>
      </c>
      <c r="E14" s="1958"/>
      <c r="F14" s="1958">
        <v>81742</v>
      </c>
      <c r="G14" s="1958"/>
      <c r="H14" s="1965"/>
      <c r="I14" s="1958">
        <v>81742</v>
      </c>
      <c r="J14" s="1958"/>
      <c r="K14" s="1965"/>
      <c r="L14" s="1969">
        <f t="shared" ref="L14:L17" si="0">G14+I14+K14</f>
        <v>81742</v>
      </c>
      <c r="M14" s="1958">
        <v>91831</v>
      </c>
    </row>
    <row r="15" spans="2:14" ht="20.100000000000001" customHeight="1" x14ac:dyDescent="0.2">
      <c r="B15" s="1968" t="s">
        <v>2096</v>
      </c>
      <c r="C15" s="1967">
        <v>84.364999999999995</v>
      </c>
      <c r="D15" s="1966" t="s">
        <v>2123</v>
      </c>
      <c r="E15" s="1965"/>
      <c r="F15" s="1965">
        <v>25404</v>
      </c>
      <c r="G15" s="1965"/>
      <c r="H15" s="1965"/>
      <c r="I15" s="1965">
        <v>25404</v>
      </c>
      <c r="J15" s="1965"/>
      <c r="K15" s="1965"/>
      <c r="L15" s="1969">
        <f t="shared" ref="L15:L16" si="1">G15+I15+K15</f>
        <v>25404</v>
      </c>
      <c r="M15" s="1965">
        <v>45481</v>
      </c>
    </row>
    <row r="16" spans="2:14" ht="20.100000000000001" customHeight="1" x14ac:dyDescent="0.2">
      <c r="B16" s="1968" t="s">
        <v>2097</v>
      </c>
      <c r="C16" s="1967">
        <v>84.364999999999995</v>
      </c>
      <c r="D16" s="1966" t="s">
        <v>2124</v>
      </c>
      <c r="E16" s="1965"/>
      <c r="F16" s="1965">
        <v>2640</v>
      </c>
      <c r="G16" s="1965"/>
      <c r="H16" s="1965"/>
      <c r="I16" s="1965">
        <v>2640</v>
      </c>
      <c r="J16" s="1965"/>
      <c r="K16" s="1965"/>
      <c r="L16" s="1969">
        <f t="shared" si="1"/>
        <v>2640</v>
      </c>
      <c r="M16" s="1965">
        <v>5011</v>
      </c>
    </row>
    <row r="17" spans="2:14" ht="20.100000000000001" customHeight="1" x14ac:dyDescent="0.2">
      <c r="B17" s="1961" t="s">
        <v>2121</v>
      </c>
      <c r="C17" s="1960">
        <v>84.424000000000007</v>
      </c>
      <c r="D17" s="1959" t="s">
        <v>2122</v>
      </c>
      <c r="E17" s="1958"/>
      <c r="F17" s="1958">
        <v>15751</v>
      </c>
      <c r="G17" s="1958"/>
      <c r="H17" s="1965"/>
      <c r="I17" s="1958">
        <v>15751</v>
      </c>
      <c r="J17" s="1958"/>
      <c r="K17" s="1965"/>
      <c r="L17" s="1969">
        <f t="shared" si="0"/>
        <v>15751</v>
      </c>
      <c r="M17" s="1958">
        <v>17631</v>
      </c>
    </row>
    <row r="18" spans="2:14" ht="20.100000000000001" customHeight="1" x14ac:dyDescent="0.2">
      <c r="B18" s="1961" t="s">
        <v>2098</v>
      </c>
      <c r="C18" s="1960"/>
      <c r="D18" s="1959"/>
      <c r="E18" s="1965">
        <f>SUM(E13:E17)</f>
        <v>0</v>
      </c>
      <c r="F18" s="1958">
        <f>SUM(F13:F17)</f>
        <v>610368</v>
      </c>
      <c r="G18" s="1965">
        <f>SUM(G13:G17)</f>
        <v>0</v>
      </c>
      <c r="H18" s="1965">
        <v>0</v>
      </c>
      <c r="I18" s="1965">
        <f>SUM(I13:I17)</f>
        <v>610368</v>
      </c>
      <c r="J18" s="1958">
        <v>0</v>
      </c>
      <c r="K18" s="1965">
        <v>0</v>
      </c>
      <c r="L18" s="1965">
        <f>SUM(L13:L17)</f>
        <v>610368</v>
      </c>
      <c r="M18" s="1958"/>
    </row>
    <row r="19" spans="2:14" ht="20.100000000000001" customHeight="1" x14ac:dyDescent="0.2">
      <c r="B19" s="1961"/>
      <c r="C19" s="1960"/>
      <c r="D19" s="1959"/>
      <c r="E19" s="1958"/>
      <c r="F19" s="1958"/>
      <c r="G19" s="1958"/>
      <c r="H19" s="1965"/>
      <c r="I19" s="1958"/>
      <c r="J19" s="1958"/>
      <c r="K19" s="1965"/>
      <c r="L19" s="1962"/>
      <c r="M19" s="1958"/>
    </row>
    <row r="20" spans="2:14" ht="20.100000000000001" customHeight="1" x14ac:dyDescent="0.2">
      <c r="B20" s="1961" t="s">
        <v>2099</v>
      </c>
      <c r="C20" s="1960"/>
      <c r="D20" s="1959"/>
      <c r="E20" s="1958"/>
      <c r="F20" s="1958"/>
      <c r="G20" s="1958"/>
      <c r="H20" s="1965"/>
      <c r="I20" s="1958"/>
      <c r="J20" s="1958"/>
      <c r="K20" s="1965"/>
      <c r="L20" s="1962"/>
      <c r="M20" s="1958"/>
    </row>
    <row r="21" spans="2:14" ht="20.100000000000001" customHeight="1" x14ac:dyDescent="0.2">
      <c r="B21" s="1961" t="s">
        <v>2100</v>
      </c>
      <c r="C21" s="1960">
        <v>84.027000000000001</v>
      </c>
      <c r="D21" s="1959" t="s">
        <v>2125</v>
      </c>
      <c r="E21" s="1958"/>
      <c r="F21" s="1958">
        <v>619731</v>
      </c>
      <c r="G21" s="1958"/>
      <c r="H21" s="1965"/>
      <c r="I21" s="1958">
        <v>619731</v>
      </c>
      <c r="J21" s="1958"/>
      <c r="K21" s="1965"/>
      <c r="L21" s="1969">
        <f t="shared" ref="L21:L22" si="2">G21+I21+K21</f>
        <v>619731</v>
      </c>
      <c r="M21" s="1958">
        <v>685706</v>
      </c>
    </row>
    <row r="22" spans="2:14" ht="20.100000000000001" customHeight="1" x14ac:dyDescent="0.2">
      <c r="B22" s="1961" t="s">
        <v>2101</v>
      </c>
      <c r="C22" s="1960">
        <v>84.173000000000002</v>
      </c>
      <c r="D22" s="1959" t="s">
        <v>2126</v>
      </c>
      <c r="E22" s="1958"/>
      <c r="F22" s="1958">
        <v>39806</v>
      </c>
      <c r="G22" s="1958"/>
      <c r="H22" s="1965"/>
      <c r="I22" s="1958">
        <v>39806</v>
      </c>
      <c r="J22" s="1958"/>
      <c r="K22" s="1965"/>
      <c r="L22" s="1969">
        <f t="shared" si="2"/>
        <v>39806</v>
      </c>
      <c r="M22" s="1958">
        <v>48076</v>
      </c>
    </row>
    <row r="23" spans="2:14" ht="20.100000000000001" customHeight="1" x14ac:dyDescent="0.2">
      <c r="B23" s="1961" t="s">
        <v>2102</v>
      </c>
      <c r="C23" s="1960"/>
      <c r="D23" s="1959"/>
      <c r="E23" s="1958">
        <v>0</v>
      </c>
      <c r="F23" s="1958">
        <f t="shared" ref="F23:L23" si="3">SUM(F21:F22)</f>
        <v>659537</v>
      </c>
      <c r="G23" s="1965">
        <f t="shared" si="3"/>
        <v>0</v>
      </c>
      <c r="H23" s="1965">
        <f t="shared" si="3"/>
        <v>0</v>
      </c>
      <c r="I23" s="1965">
        <f t="shared" si="3"/>
        <v>659537</v>
      </c>
      <c r="J23" s="1965">
        <f t="shared" si="3"/>
        <v>0</v>
      </c>
      <c r="K23" s="1965">
        <f t="shared" si="3"/>
        <v>0</v>
      </c>
      <c r="L23" s="1965">
        <f t="shared" si="3"/>
        <v>659537</v>
      </c>
      <c r="M23" s="1958"/>
    </row>
    <row r="24" spans="2:14" s="1260" customFormat="1" ht="20.100000000000001" customHeight="1" x14ac:dyDescent="0.2">
      <c r="B24" s="1979" t="s">
        <v>2103</v>
      </c>
      <c r="C24" s="1973"/>
      <c r="D24" s="1974"/>
      <c r="E24" s="1975">
        <f t="shared" ref="E24:L24" si="4">E23+E18</f>
        <v>0</v>
      </c>
      <c r="F24" s="1975">
        <f t="shared" si="4"/>
        <v>1269905</v>
      </c>
      <c r="G24" s="1975">
        <f t="shared" si="4"/>
        <v>0</v>
      </c>
      <c r="H24" s="1975">
        <f t="shared" si="4"/>
        <v>0</v>
      </c>
      <c r="I24" s="1975">
        <f t="shared" si="4"/>
        <v>1269905</v>
      </c>
      <c r="J24" s="1975">
        <f t="shared" si="4"/>
        <v>0</v>
      </c>
      <c r="K24" s="1975">
        <f t="shared" si="4"/>
        <v>0</v>
      </c>
      <c r="L24" s="1975">
        <f t="shared" si="4"/>
        <v>1269905</v>
      </c>
      <c r="M24" s="1975"/>
    </row>
    <row r="25" spans="2:14" ht="20.100000000000001" customHeight="1" x14ac:dyDescent="0.2">
      <c r="B25" s="1337"/>
      <c r="C25" s="1339"/>
      <c r="D25" s="1340"/>
      <c r="E25" s="1341"/>
      <c r="F25" s="1341"/>
      <c r="G25" s="1341"/>
      <c r="H25" s="1341"/>
      <c r="I25" s="1341"/>
      <c r="J25" s="1341"/>
      <c r="K25" s="1341"/>
      <c r="L25" s="1338"/>
      <c r="M25" s="1341"/>
    </row>
    <row r="26" spans="2:14" ht="20.100000000000001" customHeight="1" x14ac:dyDescent="0.2">
      <c r="B26" s="1337"/>
      <c r="C26" s="1339"/>
      <c r="D26" s="1340"/>
      <c r="E26" s="1341"/>
      <c r="F26" s="1341"/>
      <c r="G26" s="1341"/>
      <c r="H26" s="1341"/>
      <c r="I26" s="1341"/>
      <c r="J26" s="1341"/>
      <c r="K26" s="1341"/>
      <c r="L26" s="1338"/>
      <c r="M26" s="1341"/>
    </row>
    <row r="27" spans="2:14" ht="20.100000000000001" customHeight="1" x14ac:dyDescent="0.2">
      <c r="B27" s="1337"/>
      <c r="C27" s="1339"/>
      <c r="D27" s="1340"/>
      <c r="E27" s="1341"/>
      <c r="F27" s="1341"/>
      <c r="G27" s="1341"/>
      <c r="H27" s="1341"/>
      <c r="I27" s="1341"/>
      <c r="J27" s="1341"/>
      <c r="K27" s="1341"/>
      <c r="L27" s="1338"/>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1947</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7" sqref="I17:I18"/>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CCSD 146 Tinley Park</v>
      </c>
      <c r="C1" s="2492"/>
      <c r="D1" s="2492"/>
      <c r="E1" s="2492"/>
      <c r="F1" s="2492"/>
      <c r="G1" s="2492"/>
      <c r="H1" s="2492"/>
      <c r="I1" s="2492"/>
      <c r="J1" s="2492"/>
      <c r="K1" s="2492"/>
      <c r="L1" s="2492"/>
      <c r="M1" s="2492"/>
    </row>
    <row r="2" spans="2:14" ht="15" x14ac:dyDescent="0.2">
      <c r="B2" s="2481">
        <f>'Single Audit Cover'!E7</f>
        <v>7016146004</v>
      </c>
      <c r="C2" s="2481"/>
      <c r="D2" s="2481"/>
      <c r="E2" s="2481"/>
      <c r="F2" s="2481"/>
      <c r="G2" s="2481"/>
      <c r="H2" s="2481"/>
      <c r="I2" s="2481"/>
      <c r="J2" s="2481"/>
      <c r="K2" s="2481"/>
      <c r="L2" s="2481"/>
      <c r="M2" s="2481"/>
      <c r="N2" s="1302"/>
    </row>
    <row r="3" spans="2:14" ht="15" x14ac:dyDescent="0.2">
      <c r="B3" s="2493" t="s">
        <v>1281</v>
      </c>
      <c r="C3" s="2493"/>
      <c r="D3" s="2493"/>
      <c r="E3" s="2493"/>
      <c r="F3" s="2493"/>
      <c r="G3" s="2493"/>
      <c r="H3" s="2493"/>
      <c r="I3" s="2493"/>
      <c r="J3" s="2493"/>
      <c r="K3" s="2493"/>
      <c r="L3" s="2493"/>
      <c r="M3" s="2493"/>
      <c r="N3" s="1302"/>
    </row>
    <row r="4" spans="2:14" ht="15" x14ac:dyDescent="0.2">
      <c r="B4" s="2494" t="str">
        <f>'Single Audit Cover'!A4</f>
        <v>Year Ending June 30, 2018</v>
      </c>
      <c r="C4" s="2494"/>
      <c r="D4" s="2494"/>
      <c r="E4" s="2494"/>
      <c r="F4" s="2494"/>
      <c r="G4" s="2494"/>
      <c r="H4" s="2494"/>
      <c r="I4" s="2494"/>
      <c r="J4" s="2494"/>
      <c r="K4" s="2494"/>
      <c r="L4" s="2494"/>
      <c r="M4" s="249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8" t="s">
        <v>2104</v>
      </c>
      <c r="C11" s="1971"/>
      <c r="D11" s="1970"/>
      <c r="E11" s="1969"/>
      <c r="F11" s="1969"/>
      <c r="G11" s="1969"/>
      <c r="H11" s="1969"/>
      <c r="I11" s="1969"/>
      <c r="J11" s="1969"/>
      <c r="K11" s="1969"/>
      <c r="L11" s="1969"/>
      <c r="M11" s="1338"/>
    </row>
    <row r="12" spans="2:14" ht="20.100000000000001" customHeight="1" x14ac:dyDescent="0.2">
      <c r="B12" s="1968" t="s">
        <v>2105</v>
      </c>
      <c r="C12" s="1967"/>
      <c r="D12" s="1966"/>
      <c r="E12" s="1965"/>
      <c r="F12" s="1965"/>
      <c r="G12" s="1965"/>
      <c r="H12" s="1965"/>
      <c r="I12" s="1965"/>
      <c r="J12" s="1965"/>
      <c r="K12" s="1969"/>
      <c r="L12" s="1965"/>
      <c r="M12" s="1341"/>
    </row>
    <row r="13" spans="2:14" ht="20.100000000000001" customHeight="1" x14ac:dyDescent="0.2">
      <c r="B13" s="1968" t="s">
        <v>2106</v>
      </c>
      <c r="C13" s="1967">
        <v>10.555</v>
      </c>
      <c r="D13" s="1966" t="s">
        <v>2107</v>
      </c>
      <c r="E13" s="1965">
        <v>232692</v>
      </c>
      <c r="F13" s="1965">
        <v>39794</v>
      </c>
      <c r="G13" s="1965">
        <v>232692</v>
      </c>
      <c r="H13" s="1965"/>
      <c r="I13" s="1965">
        <v>39794</v>
      </c>
      <c r="J13" s="1965"/>
      <c r="K13" s="1965"/>
      <c r="L13" s="1969">
        <f>G13+I13</f>
        <v>272486</v>
      </c>
      <c r="M13" s="1965" t="s">
        <v>2088</v>
      </c>
    </row>
    <row r="14" spans="2:14" ht="20.100000000000001" customHeight="1" x14ac:dyDescent="0.2">
      <c r="B14" s="1968" t="s">
        <v>2106</v>
      </c>
      <c r="C14" s="1967">
        <v>10.555</v>
      </c>
      <c r="D14" s="1966" t="s">
        <v>2127</v>
      </c>
      <c r="E14" s="1965"/>
      <c r="F14" s="1965">
        <v>232960</v>
      </c>
      <c r="G14" s="1965"/>
      <c r="H14" s="1965"/>
      <c r="I14" s="1965">
        <v>232960</v>
      </c>
      <c r="J14" s="1965"/>
      <c r="K14" s="1965"/>
      <c r="L14" s="1969">
        <f t="shared" ref="L14:L20" si="0">G14+I14</f>
        <v>232960</v>
      </c>
      <c r="M14" s="1965" t="s">
        <v>2088</v>
      </c>
    </row>
    <row r="15" spans="2:14" ht="20.100000000000001" customHeight="1" x14ac:dyDescent="0.2">
      <c r="B15" s="1968" t="s">
        <v>2108</v>
      </c>
      <c r="C15" s="1967">
        <v>10.555999999999999</v>
      </c>
      <c r="D15" s="1966" t="s">
        <v>2109</v>
      </c>
      <c r="E15" s="1965">
        <v>6219</v>
      </c>
      <c r="F15" s="1965">
        <v>896</v>
      </c>
      <c r="G15" s="1965">
        <v>6219</v>
      </c>
      <c r="H15" s="1965"/>
      <c r="I15" s="1965">
        <v>896</v>
      </c>
      <c r="J15" s="1965"/>
      <c r="K15" s="1965"/>
      <c r="L15" s="1969">
        <f t="shared" si="0"/>
        <v>7115</v>
      </c>
      <c r="M15" s="1965" t="s">
        <v>2088</v>
      </c>
    </row>
    <row r="16" spans="2:14" ht="20.100000000000001" customHeight="1" x14ac:dyDescent="0.2">
      <c r="B16" s="1968" t="s">
        <v>2108</v>
      </c>
      <c r="C16" s="1967">
        <v>10.555999999999999</v>
      </c>
      <c r="D16" s="1966" t="s">
        <v>2128</v>
      </c>
      <c r="E16" s="1965"/>
      <c r="F16" s="1965">
        <v>6016</v>
      </c>
      <c r="G16" s="1965"/>
      <c r="H16" s="1965"/>
      <c r="I16" s="1965">
        <v>6016</v>
      </c>
      <c r="J16" s="1965"/>
      <c r="K16" s="1965"/>
      <c r="L16" s="1969">
        <f t="shared" si="0"/>
        <v>6016</v>
      </c>
      <c r="M16" s="1965" t="s">
        <v>2088</v>
      </c>
    </row>
    <row r="17" spans="2:14" ht="20.100000000000001" customHeight="1" x14ac:dyDescent="0.2">
      <c r="B17" s="1968" t="s">
        <v>2110</v>
      </c>
      <c r="C17" s="1967">
        <v>10.553000000000001</v>
      </c>
      <c r="D17" s="1966" t="s">
        <v>2111</v>
      </c>
      <c r="E17" s="1965">
        <v>72226</v>
      </c>
      <c r="F17" s="1965">
        <v>11845</v>
      </c>
      <c r="G17" s="1965">
        <v>72226</v>
      </c>
      <c r="H17" s="1965"/>
      <c r="I17" s="1965">
        <v>11845</v>
      </c>
      <c r="J17" s="1965"/>
      <c r="K17" s="1965"/>
      <c r="L17" s="1969">
        <f t="shared" si="0"/>
        <v>84071</v>
      </c>
      <c r="M17" s="1965" t="s">
        <v>2088</v>
      </c>
    </row>
    <row r="18" spans="2:14" ht="20.100000000000001" customHeight="1" x14ac:dyDescent="0.2">
      <c r="B18" s="1968" t="s">
        <v>2110</v>
      </c>
      <c r="C18" s="1967">
        <v>10.553000000000001</v>
      </c>
      <c r="D18" s="1966" t="s">
        <v>2129</v>
      </c>
      <c r="E18" s="1965"/>
      <c r="F18" s="1965">
        <v>77629</v>
      </c>
      <c r="G18" s="1965"/>
      <c r="H18" s="1965"/>
      <c r="I18" s="1965">
        <v>77629</v>
      </c>
      <c r="J18" s="1965"/>
      <c r="K18" s="1965"/>
      <c r="L18" s="1969">
        <f t="shared" si="0"/>
        <v>77629</v>
      </c>
      <c r="M18" s="1965" t="s">
        <v>2088</v>
      </c>
    </row>
    <row r="19" spans="2:14" ht="20.100000000000001" customHeight="1" x14ac:dyDescent="0.2">
      <c r="B19" s="1968" t="s">
        <v>2112</v>
      </c>
      <c r="C19" s="1967">
        <v>10.555</v>
      </c>
      <c r="D19" s="1966">
        <v>2018</v>
      </c>
      <c r="E19" s="1965"/>
      <c r="F19" s="1965">
        <v>6590</v>
      </c>
      <c r="G19" s="1965"/>
      <c r="H19" s="1965"/>
      <c r="I19" s="1965">
        <v>6590</v>
      </c>
      <c r="J19" s="1965"/>
      <c r="K19" s="1965"/>
      <c r="L19" s="1969">
        <f t="shared" si="0"/>
        <v>6590</v>
      </c>
      <c r="M19" s="1965" t="s">
        <v>2088</v>
      </c>
    </row>
    <row r="20" spans="2:14" ht="20.100000000000001" customHeight="1" x14ac:dyDescent="0.2">
      <c r="B20" s="1968" t="s">
        <v>2113</v>
      </c>
      <c r="C20" s="1967">
        <v>10.555</v>
      </c>
      <c r="D20" s="1966">
        <v>2018</v>
      </c>
      <c r="E20" s="1965"/>
      <c r="F20" s="1965">
        <v>39829</v>
      </c>
      <c r="G20" s="1965"/>
      <c r="H20" s="1965"/>
      <c r="I20" s="1965">
        <v>39829</v>
      </c>
      <c r="J20" s="1965"/>
      <c r="K20" s="1965"/>
      <c r="L20" s="1969">
        <f t="shared" si="0"/>
        <v>39829</v>
      </c>
      <c r="M20" s="1965" t="s">
        <v>2088</v>
      </c>
    </row>
    <row r="21" spans="2:14" ht="20.100000000000001" customHeight="1" x14ac:dyDescent="0.2">
      <c r="B21" s="1972" t="s">
        <v>2114</v>
      </c>
      <c r="C21" s="1973"/>
      <c r="D21" s="1974"/>
      <c r="E21" s="1975">
        <f>SUM(E13:E20)</f>
        <v>311137</v>
      </c>
      <c r="F21" s="1975">
        <f>SUM(F13:F20)</f>
        <v>415559</v>
      </c>
      <c r="G21" s="1975">
        <f t="shared" ref="G21:K21" si="1">SUM(G13:G20)</f>
        <v>311137</v>
      </c>
      <c r="H21" s="1975">
        <f t="shared" si="1"/>
        <v>0</v>
      </c>
      <c r="I21" s="1975">
        <f>SUM(I13:I20)</f>
        <v>415559</v>
      </c>
      <c r="J21" s="1975">
        <f t="shared" si="1"/>
        <v>0</v>
      </c>
      <c r="K21" s="1975">
        <f t="shared" si="1"/>
        <v>0</v>
      </c>
      <c r="L21" s="1975">
        <f>SUM(L13:L20)</f>
        <v>726696</v>
      </c>
      <c r="M21" s="1975"/>
    </row>
    <row r="22" spans="2:14" ht="20.100000000000001" customHeight="1" x14ac:dyDescent="0.2">
      <c r="B22" s="1968" t="s">
        <v>2115</v>
      </c>
      <c r="C22" s="1967"/>
      <c r="D22" s="1966"/>
      <c r="E22" s="1965"/>
      <c r="F22" s="1965"/>
      <c r="G22" s="1965"/>
      <c r="H22" s="1965"/>
      <c r="I22" s="1965"/>
      <c r="J22" s="1965"/>
      <c r="K22" s="1969"/>
      <c r="L22" s="1965"/>
      <c r="M22" s="1341"/>
    </row>
    <row r="23" spans="2:14" ht="20.100000000000001" customHeight="1" x14ac:dyDescent="0.2">
      <c r="B23" s="1968" t="s">
        <v>2116</v>
      </c>
      <c r="C23" s="1967" t="s">
        <v>1231</v>
      </c>
      <c r="D23" s="1966"/>
      <c r="E23" s="1965"/>
      <c r="F23" s="1965"/>
      <c r="G23" s="1965"/>
      <c r="H23" s="1965"/>
      <c r="I23" s="1965"/>
      <c r="J23" s="1965"/>
      <c r="K23" s="1969"/>
      <c r="L23" s="1965"/>
      <c r="M23" s="1341"/>
    </row>
    <row r="24" spans="2:14" ht="20.100000000000001" customHeight="1" x14ac:dyDescent="0.2">
      <c r="B24" s="1968" t="s">
        <v>2117</v>
      </c>
      <c r="C24" s="1967">
        <v>93.778000000000006</v>
      </c>
      <c r="D24" s="1966">
        <v>2017</v>
      </c>
      <c r="E24" s="1965">
        <v>87696</v>
      </c>
      <c r="F24" s="1977">
        <v>-1255</v>
      </c>
      <c r="G24" s="1977">
        <v>86441</v>
      </c>
      <c r="H24" s="1977"/>
      <c r="I24" s="1977"/>
      <c r="J24" s="1965"/>
      <c r="K24" s="1969"/>
      <c r="L24" s="1969">
        <f t="shared" ref="L24:L25" si="2">G24+I24</f>
        <v>86441</v>
      </c>
      <c r="M24" s="1341" t="s">
        <v>2088</v>
      </c>
    </row>
    <row r="25" spans="2:14" ht="20.100000000000001" customHeight="1" x14ac:dyDescent="0.2">
      <c r="B25" s="1968" t="s">
        <v>2117</v>
      </c>
      <c r="C25" s="1967">
        <v>93.778000000000006</v>
      </c>
      <c r="D25" s="1966">
        <v>2018</v>
      </c>
      <c r="E25" s="1965"/>
      <c r="F25" s="1965">
        <v>75398</v>
      </c>
      <c r="G25" s="1965"/>
      <c r="H25" s="1965"/>
      <c r="I25" s="1965">
        <v>75398</v>
      </c>
      <c r="J25" s="1965"/>
      <c r="K25" s="1965"/>
      <c r="L25" s="1969">
        <f t="shared" si="2"/>
        <v>75398</v>
      </c>
      <c r="M25" s="1341" t="s">
        <v>2088</v>
      </c>
    </row>
    <row r="26" spans="2:14" s="1981" customFormat="1" ht="20.100000000000001" customHeight="1" x14ac:dyDescent="0.2">
      <c r="B26" s="1978" t="s">
        <v>2166</v>
      </c>
      <c r="C26" s="1973"/>
      <c r="D26" s="1974"/>
      <c r="E26" s="1975">
        <f>SUM(E24:E25)</f>
        <v>87696</v>
      </c>
      <c r="F26" s="1975">
        <f t="shared" ref="F26:K26" si="3">SUM(F24:F25)</f>
        <v>74143</v>
      </c>
      <c r="G26" s="1975">
        <f t="shared" si="3"/>
        <v>86441</v>
      </c>
      <c r="H26" s="1975">
        <f t="shared" si="3"/>
        <v>0</v>
      </c>
      <c r="I26" s="1975">
        <f t="shared" si="3"/>
        <v>75398</v>
      </c>
      <c r="J26" s="1975">
        <f t="shared" si="3"/>
        <v>0</v>
      </c>
      <c r="K26" s="1975">
        <f t="shared" si="3"/>
        <v>0</v>
      </c>
      <c r="L26" s="1976">
        <f t="shared" ref="L26:L27" si="4">+G26+I26+K26</f>
        <v>161839</v>
      </c>
      <c r="M26" s="1975"/>
    </row>
    <row r="27" spans="2:14" s="1981" customFormat="1" ht="20.100000000000001" customHeight="1" x14ac:dyDescent="0.2">
      <c r="B27" s="1972" t="s">
        <v>2118</v>
      </c>
      <c r="C27" s="1973"/>
      <c r="D27" s="1974"/>
      <c r="E27" s="1975">
        <f>+E26+E21+' SEFA-1'!E24</f>
        <v>398833</v>
      </c>
      <c r="F27" s="1975">
        <f>+F26+F21+' SEFA-1'!F24</f>
        <v>1759607</v>
      </c>
      <c r="G27" s="1975">
        <f>+G26+G21+' SEFA-1'!G24</f>
        <v>397578</v>
      </c>
      <c r="H27" s="1975">
        <f>+H26+H21+' SEFA-1'!H24</f>
        <v>0</v>
      </c>
      <c r="I27" s="1975">
        <f>+I26+I21+' SEFA-1'!I24</f>
        <v>1760862</v>
      </c>
      <c r="J27" s="1975">
        <f>+J26+J21+' SEFA-1'!J24</f>
        <v>0</v>
      </c>
      <c r="K27" s="1975">
        <f>+K26+K21+' SEFA-1'!K24</f>
        <v>0</v>
      </c>
      <c r="L27" s="1976">
        <f t="shared" si="4"/>
        <v>2158440</v>
      </c>
      <c r="M27" s="1975"/>
      <c r="N27" s="1980"/>
    </row>
    <row r="28" spans="2:14" ht="12.75" customHeight="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1947</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4" zoomScale="110" zoomScaleNormal="110" workbookViewId="0">
      <selection activeCell="G43" sqref="G43:I43"/>
    </sheetView>
  </sheetViews>
  <sheetFormatPr defaultColWidth="9.140625" defaultRowHeight="12.75" x14ac:dyDescent="0.2"/>
  <cols>
    <col min="1" max="1" width="1.42578125" style="1300" customWidth="1"/>
    <col min="2" max="2" width="24.42578125" style="1355"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9" t="str">
        <f>'Single Audit Cover'!A7</f>
        <v>CCSD 146 Tinley Park</v>
      </c>
      <c r="C1" s="2500"/>
      <c r="D1" s="2500"/>
      <c r="E1" s="2500"/>
      <c r="F1" s="2500"/>
      <c r="G1" s="2500"/>
      <c r="H1" s="2500"/>
      <c r="I1" s="2500"/>
      <c r="J1" s="1420"/>
    </row>
    <row r="2" spans="2:10" s="317" customFormat="1" ht="12.75" customHeight="1" x14ac:dyDescent="0.2">
      <c r="B2" s="2501">
        <f>'Single Audit Cover'!E7</f>
        <v>7016146004</v>
      </c>
      <c r="C2" s="2502"/>
      <c r="D2" s="2502"/>
      <c r="E2" s="2502"/>
      <c r="F2" s="2502"/>
      <c r="G2" s="2502"/>
      <c r="H2" s="2502"/>
      <c r="I2" s="2502"/>
      <c r="J2" s="1420"/>
    </row>
    <row r="3" spans="2:10" s="317" customFormat="1" ht="12.75" customHeight="1" x14ac:dyDescent="0.2">
      <c r="B3" s="2503" t="s">
        <v>1347</v>
      </c>
      <c r="C3" s="2504"/>
      <c r="D3" s="2504"/>
      <c r="E3" s="2504"/>
      <c r="F3" s="2504"/>
      <c r="G3" s="2504"/>
      <c r="H3" s="2504"/>
      <c r="I3" s="2504"/>
      <c r="J3" s="1421"/>
    </row>
    <row r="4" spans="2:10" s="317" customFormat="1" ht="12.75" customHeight="1" x14ac:dyDescent="0.2">
      <c r="B4" s="2503" t="str">
        <f>'Single Audit Cover'!A4</f>
        <v>Year Ending June 30, 2018</v>
      </c>
      <c r="C4" s="2504"/>
      <c r="D4" s="2504"/>
      <c r="E4" s="2504"/>
      <c r="F4" s="2504"/>
      <c r="G4" s="2504"/>
      <c r="H4" s="2504"/>
      <c r="I4" s="2504"/>
    </row>
    <row r="5" spans="2:10" s="317" customFormat="1" ht="6.2" customHeight="1" x14ac:dyDescent="0.2">
      <c r="B5" s="1422" t="s">
        <v>1231</v>
      </c>
      <c r="C5" s="1294"/>
      <c r="D5" s="1294"/>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03" t="s">
        <v>1346</v>
      </c>
      <c r="C7" s="2504"/>
      <c r="D7" s="2504"/>
      <c r="E7" s="2504"/>
      <c r="F7" s="2504"/>
      <c r="G7" s="2504"/>
      <c r="H7" s="2504"/>
      <c r="I7" s="2504"/>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8"/>
    </row>
    <row r="11" spans="2:10" s="317" customFormat="1" ht="13.5" customHeight="1" x14ac:dyDescent="0.2">
      <c r="B11" s="1347" t="s">
        <v>1344</v>
      </c>
      <c r="C11" s="2505" t="s">
        <v>2130</v>
      </c>
      <c r="D11" s="2505"/>
      <c r="E11" s="1430"/>
      <c r="F11" s="1430"/>
      <c r="G11" s="1430"/>
    </row>
    <row r="12" spans="2:10" s="317" customFormat="1" ht="11.45" customHeight="1" x14ac:dyDescent="0.2">
      <c r="B12" s="1355"/>
      <c r="C12" s="1431" t="s">
        <v>1517</v>
      </c>
      <c r="D12" s="1432"/>
      <c r="E12" s="1258"/>
    </row>
    <row r="13" spans="2:10" s="317" customFormat="1" ht="12.75" customHeight="1" x14ac:dyDescent="0.2">
      <c r="B13" s="1433"/>
      <c r="C13" s="1385"/>
      <c r="D13" s="1385"/>
      <c r="E13" s="1258"/>
    </row>
    <row r="14" spans="2:10" s="317" customFormat="1" ht="12.75" customHeight="1" x14ac:dyDescent="0.2">
      <c r="B14" s="1366" t="s">
        <v>1343</v>
      </c>
      <c r="C14" s="1282"/>
      <c r="E14" s="1258"/>
    </row>
    <row r="15" spans="2:10" s="317" customFormat="1" ht="13.5" customHeight="1" x14ac:dyDescent="0.2">
      <c r="B15" s="1434" t="s">
        <v>1340</v>
      </c>
      <c r="C15" s="1435"/>
      <c r="D15" s="1396"/>
      <c r="E15" s="1436"/>
      <c r="F15" s="1300" t="s">
        <v>940</v>
      </c>
      <c r="G15" s="1436" t="s">
        <v>2077</v>
      </c>
      <c r="H15" s="1300" t="s">
        <v>1338</v>
      </c>
      <c r="I15" s="1300"/>
    </row>
    <row r="16" spans="2:10" s="317" customFormat="1" ht="8.4499999999999993" customHeight="1" x14ac:dyDescent="0.2">
      <c r="B16" s="1366"/>
      <c r="C16" s="1282"/>
      <c r="E16" s="1381"/>
      <c r="F16" s="1300"/>
      <c r="G16" s="322"/>
      <c r="H16" s="1300"/>
      <c r="I16" s="1300"/>
    </row>
    <row r="17" spans="2:9" s="317" customFormat="1" ht="13.5" customHeight="1" x14ac:dyDescent="0.2">
      <c r="B17" s="1434" t="s">
        <v>1339</v>
      </c>
      <c r="C17" s="1435"/>
      <c r="D17" s="1396"/>
      <c r="E17" s="1437"/>
      <c r="F17" s="1257"/>
      <c r="G17" s="1437"/>
      <c r="H17" s="1300"/>
      <c r="I17" s="1300"/>
    </row>
    <row r="18" spans="2:9" s="317" customFormat="1" ht="12.75" customHeight="1" x14ac:dyDescent="0.2">
      <c r="B18" s="1434" t="s">
        <v>1518</v>
      </c>
      <c r="C18" s="1435"/>
      <c r="D18" s="1396"/>
      <c r="E18" s="1436" t="s">
        <v>2077</v>
      </c>
      <c r="F18" s="1300" t="s">
        <v>940</v>
      </c>
      <c r="G18" s="1436"/>
      <c r="H18" s="1300" t="s">
        <v>1338</v>
      </c>
      <c r="I18" s="1300"/>
    </row>
    <row r="19" spans="2:9" s="317" customFormat="1" ht="8.4499999999999993" customHeight="1" x14ac:dyDescent="0.2">
      <c r="B19" s="1366"/>
      <c r="C19" s="1282"/>
      <c r="E19" s="1381"/>
      <c r="F19" s="1300"/>
      <c r="G19" s="322"/>
      <c r="H19" s="1300"/>
      <c r="I19" s="1300"/>
    </row>
    <row r="20" spans="2:9" s="317" customFormat="1" ht="13.5" customHeight="1" x14ac:dyDescent="0.2">
      <c r="B20" s="1434" t="s">
        <v>1673</v>
      </c>
      <c r="C20" s="1435"/>
      <c r="D20" s="1396"/>
      <c r="E20" s="1436"/>
      <c r="F20" s="1300" t="s">
        <v>940</v>
      </c>
      <c r="G20" s="1436" t="s">
        <v>2077</v>
      </c>
      <c r="H20" s="1300" t="s">
        <v>101</v>
      </c>
      <c r="I20" s="1300"/>
    </row>
    <row r="21" spans="2:9" s="317" customFormat="1" ht="12.75" customHeight="1" x14ac:dyDescent="0.2">
      <c r="B21" s="1366"/>
      <c r="C21" s="1282"/>
      <c r="E21" s="1381"/>
      <c r="F21" s="1300"/>
      <c r="G21" s="322"/>
      <c r="H21" s="1300"/>
      <c r="I21" s="1300"/>
    </row>
    <row r="22" spans="2:9" s="317" customFormat="1" ht="12.75" customHeight="1" x14ac:dyDescent="0.2">
      <c r="B22" s="1428" t="s">
        <v>1342</v>
      </c>
      <c r="C22" s="1438"/>
      <c r="D22" s="1429"/>
      <c r="E22" s="1381"/>
      <c r="F22" s="1300"/>
      <c r="G22" s="322"/>
      <c r="H22" s="1300"/>
      <c r="I22" s="1300"/>
    </row>
    <row r="23" spans="2:9" s="317" customFormat="1" ht="12.75" customHeight="1" x14ac:dyDescent="0.2">
      <c r="B23" s="1366" t="s">
        <v>1341</v>
      </c>
      <c r="C23" s="1282"/>
      <c r="E23" s="1381"/>
      <c r="F23" s="1300"/>
      <c r="G23" s="322"/>
      <c r="H23" s="1300"/>
      <c r="I23" s="1300"/>
    </row>
    <row r="24" spans="2:9" s="317" customFormat="1" ht="13.5" customHeight="1" x14ac:dyDescent="0.2">
      <c r="B24" s="1434" t="s">
        <v>1340</v>
      </c>
      <c r="C24" s="1435"/>
      <c r="D24" s="1396"/>
      <c r="E24" s="1436"/>
      <c r="F24" s="1300" t="s">
        <v>940</v>
      </c>
      <c r="G24" s="1436" t="s">
        <v>2077</v>
      </c>
      <c r="H24" s="1300" t="s">
        <v>1338</v>
      </c>
      <c r="I24" s="1300"/>
    </row>
    <row r="25" spans="2:9" s="317" customFormat="1" ht="8.4499999999999993" customHeight="1" x14ac:dyDescent="0.2">
      <c r="B25" s="1366"/>
      <c r="C25" s="1282"/>
      <c r="E25" s="1381"/>
      <c r="F25" s="1300"/>
      <c r="G25" s="322"/>
      <c r="H25" s="1300"/>
      <c r="I25" s="1300"/>
    </row>
    <row r="26" spans="2:9" s="317" customFormat="1" ht="13.5" customHeight="1" x14ac:dyDescent="0.2">
      <c r="B26" s="1434" t="s">
        <v>1339</v>
      </c>
      <c r="C26" s="1435"/>
      <c r="D26" s="1396"/>
      <c r="E26" s="1437"/>
      <c r="F26" s="1257"/>
      <c r="G26" s="1437"/>
      <c r="H26" s="1300"/>
      <c r="I26" s="1300"/>
    </row>
    <row r="27" spans="2:9" s="317" customFormat="1" ht="12.75" customHeight="1" x14ac:dyDescent="0.2">
      <c r="B27" s="1434" t="s">
        <v>1518</v>
      </c>
      <c r="C27" s="1435"/>
      <c r="D27" s="1396"/>
      <c r="E27" s="1436" t="s">
        <v>2077</v>
      </c>
      <c r="F27" s="1300" t="s">
        <v>940</v>
      </c>
      <c r="G27" s="1436"/>
      <c r="H27" s="1300" t="s">
        <v>1338</v>
      </c>
      <c r="I27" s="1300"/>
    </row>
    <row r="28" spans="2:9" s="317" customFormat="1" ht="12.75" customHeight="1" x14ac:dyDescent="0.2">
      <c r="B28" s="1366"/>
      <c r="C28" s="1282"/>
      <c r="E28" s="1258"/>
    </row>
    <row r="29" spans="2:9" s="317" customFormat="1" ht="12.75" customHeight="1" x14ac:dyDescent="0.2">
      <c r="B29" s="1366" t="s">
        <v>1337</v>
      </c>
      <c r="C29" s="1282"/>
      <c r="D29" s="2506" t="s">
        <v>2130</v>
      </c>
      <c r="E29" s="2506"/>
      <c r="F29" s="2506"/>
      <c r="G29" s="2506"/>
      <c r="H29" s="2506"/>
      <c r="I29" s="2506"/>
    </row>
    <row r="30" spans="2:9" s="317" customFormat="1" x14ac:dyDescent="0.2">
      <c r="B30" s="1366"/>
      <c r="C30" s="322"/>
      <c r="D30" s="1431" t="s">
        <v>1848</v>
      </c>
      <c r="E30" s="1432"/>
      <c r="F30" s="1432"/>
      <c r="G30" s="1432"/>
      <c r="H30" s="1432"/>
      <c r="I30" s="1432"/>
    </row>
    <row r="31" spans="2:9" s="317" customFormat="1" ht="9.9499999999999993" customHeight="1" x14ac:dyDescent="0.2">
      <c r="B31" s="1366"/>
      <c r="E31" s="1258"/>
    </row>
    <row r="32" spans="2:9" s="317" customFormat="1" x14ac:dyDescent="0.2">
      <c r="B32" s="1366" t="s">
        <v>1336</v>
      </c>
      <c r="C32" s="1282"/>
      <c r="E32" s="1258"/>
    </row>
    <row r="33" spans="2:9" ht="13.5" customHeight="1" x14ac:dyDescent="0.2">
      <c r="B33" s="1366" t="s">
        <v>1633</v>
      </c>
      <c r="C33" s="1282"/>
      <c r="E33" s="1436" t="s">
        <v>2077</v>
      </c>
      <c r="F33" s="1300" t="s">
        <v>940</v>
      </c>
      <c r="G33" s="1436"/>
      <c r="H33" s="1300" t="s">
        <v>101</v>
      </c>
    </row>
    <row r="35" spans="2:9" x14ac:dyDescent="0.2">
      <c r="B35" s="1439" t="s">
        <v>1849</v>
      </c>
      <c r="C35" s="1440"/>
      <c r="D35" s="1267"/>
    </row>
    <row r="36" spans="2:9" ht="6" customHeight="1" x14ac:dyDescent="0.2">
      <c r="B36" s="1439"/>
      <c r="C36" s="1440"/>
      <c r="D36" s="1267"/>
    </row>
    <row r="37" spans="2:9" ht="17.25" customHeight="1" x14ac:dyDescent="0.2">
      <c r="B37" s="1441" t="s">
        <v>1850</v>
      </c>
      <c r="C37" s="2507" t="s">
        <v>1851</v>
      </c>
      <c r="D37" s="2508"/>
      <c r="E37" s="2508"/>
      <c r="F37" s="2509"/>
      <c r="G37" s="2507" t="s">
        <v>1674</v>
      </c>
      <c r="H37" s="2508"/>
      <c r="I37" s="2509"/>
    </row>
    <row r="38" spans="2:9" ht="16.5" customHeight="1" x14ac:dyDescent="0.2">
      <c r="B38" s="1442">
        <v>10.555</v>
      </c>
      <c r="C38" s="2495" t="s">
        <v>2188</v>
      </c>
      <c r="D38" s="2496"/>
      <c r="E38" s="2496"/>
      <c r="F38" s="2497"/>
      <c r="G38" s="2510">
        <v>272754</v>
      </c>
      <c r="H38" s="2511"/>
      <c r="I38" s="2512"/>
    </row>
    <row r="39" spans="2:9" ht="16.5" customHeight="1" x14ac:dyDescent="0.2">
      <c r="B39" s="1442">
        <v>10.555999999999999</v>
      </c>
      <c r="C39" s="2495" t="s">
        <v>2190</v>
      </c>
      <c r="D39" s="2496"/>
      <c r="E39" s="2496"/>
      <c r="F39" s="2497"/>
      <c r="G39" s="2498">
        <v>3456</v>
      </c>
      <c r="H39" s="2498"/>
      <c r="I39" s="2498"/>
    </row>
    <row r="40" spans="2:9" ht="16.5" customHeight="1" x14ac:dyDescent="0.2">
      <c r="B40" s="1442">
        <v>10.553000000000001</v>
      </c>
      <c r="C40" s="2495" t="s">
        <v>2189</v>
      </c>
      <c r="D40" s="2496"/>
      <c r="E40" s="2496"/>
      <c r="F40" s="2497"/>
      <c r="G40" s="2498">
        <v>89474</v>
      </c>
      <c r="H40" s="2498"/>
      <c r="I40" s="2498"/>
    </row>
    <row r="41" spans="2:9" ht="16.5" customHeight="1" x14ac:dyDescent="0.2">
      <c r="B41" s="1442"/>
      <c r="C41" s="2495"/>
      <c r="D41" s="2496"/>
      <c r="E41" s="2496"/>
      <c r="F41" s="2497"/>
      <c r="G41" s="2498"/>
      <c r="H41" s="2498"/>
      <c r="I41" s="2498"/>
    </row>
    <row r="42" spans="2:9" ht="16.5" customHeight="1" x14ac:dyDescent="0.2">
      <c r="B42" s="1442"/>
      <c r="C42" s="2495"/>
      <c r="D42" s="2496"/>
      <c r="E42" s="2496"/>
      <c r="F42" s="2497"/>
      <c r="G42" s="2498"/>
      <c r="H42" s="2498"/>
      <c r="I42" s="2498"/>
    </row>
    <row r="43" spans="2:9" ht="16.5" customHeight="1" x14ac:dyDescent="0.2">
      <c r="B43" s="1442"/>
      <c r="C43" s="2513" t="s">
        <v>1675</v>
      </c>
      <c r="D43" s="2514"/>
      <c r="E43" s="2514"/>
      <c r="F43" s="2515"/>
      <c r="G43" s="2516">
        <f>SUM(G38:I42)</f>
        <v>365684</v>
      </c>
      <c r="H43" s="2516"/>
      <c r="I43" s="2516"/>
    </row>
    <row r="44" spans="2:9" ht="12.75" customHeight="1" x14ac:dyDescent="0.2"/>
    <row r="45" spans="2:9" ht="12.75" customHeight="1" x14ac:dyDescent="0.2">
      <c r="B45" s="1433" t="s">
        <v>1948</v>
      </c>
      <c r="D45" s="2517">
        <f>+' SEFA-1 (2)'!I27</f>
        <v>1760862</v>
      </c>
      <c r="E45" s="2518"/>
    </row>
    <row r="46" spans="2:9" ht="5.25" customHeight="1" x14ac:dyDescent="0.2">
      <c r="B46" s="1443"/>
      <c r="D46" s="1444"/>
      <c r="E46" s="1445"/>
    </row>
    <row r="47" spans="2:9" ht="12.75" customHeight="1" x14ac:dyDescent="0.2">
      <c r="B47" s="1300" t="s">
        <v>1676</v>
      </c>
      <c r="C47" s="1300"/>
      <c r="D47" s="1446">
        <f>+G43/D45</f>
        <v>0.2076732872877034</v>
      </c>
      <c r="E47" s="1447"/>
      <c r="F47" s="1448"/>
      <c r="I47" s="1449"/>
    </row>
    <row r="48" spans="2:9" ht="9.9499999999999993" customHeight="1" x14ac:dyDescent="0.2"/>
    <row r="49" spans="1:9" x14ac:dyDescent="0.2">
      <c r="B49" s="1366" t="s">
        <v>1335</v>
      </c>
      <c r="C49" s="1282"/>
      <c r="D49" s="1282"/>
      <c r="E49" s="2519">
        <v>750000</v>
      </c>
      <c r="F49" s="2519"/>
      <c r="G49" s="2519"/>
      <c r="H49" s="322"/>
    </row>
    <row r="51" spans="1:9" ht="13.5" customHeight="1" x14ac:dyDescent="0.2">
      <c r="B51" s="1366" t="s">
        <v>1334</v>
      </c>
      <c r="C51" s="1282"/>
      <c r="E51" s="1436" t="s">
        <v>2077</v>
      </c>
      <c r="F51" s="1300" t="s">
        <v>940</v>
      </c>
      <c r="G51" s="1436"/>
      <c r="H51" s="1300" t="s">
        <v>101</v>
      </c>
    </row>
    <row r="52" spans="1:9" x14ac:dyDescent="0.2">
      <c r="B52" s="1358"/>
      <c r="C52" s="1297"/>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1852</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1853</v>
      </c>
      <c r="C58" s="1462"/>
      <c r="D58" s="1462"/>
    </row>
    <row r="59" spans="1:9" s="1459" customFormat="1" ht="3.95" customHeight="1" x14ac:dyDescent="0.2">
      <c r="A59" s="1456"/>
      <c r="B59" s="1461"/>
      <c r="C59" s="1462"/>
      <c r="D59" s="1462"/>
    </row>
    <row r="60" spans="1:9" s="1459" customFormat="1" ht="13.5" customHeight="1" x14ac:dyDescent="0.2">
      <c r="A60" s="1456"/>
      <c r="B60" s="1461" t="s">
        <v>1854</v>
      </c>
      <c r="C60" s="1462"/>
      <c r="D60" s="1462"/>
    </row>
    <row r="61" spans="1:9" s="1459" customFormat="1" ht="3.95" customHeight="1" x14ac:dyDescent="0.2">
      <c r="A61" s="1456"/>
      <c r="B61" s="1461"/>
      <c r="C61" s="1462"/>
      <c r="D61" s="1462"/>
    </row>
    <row r="62" spans="1:9" s="1459" customFormat="1" ht="12.75" customHeight="1" x14ac:dyDescent="0.2">
      <c r="A62" s="1456"/>
      <c r="B62" s="1461" t="s">
        <v>1855</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46" zoomScaleNormal="110" workbookViewId="0">
      <selection activeCell="F30" sqref="F30"/>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CCSD 146 Tinley Park</v>
      </c>
      <c r="C1" s="2499"/>
      <c r="D1" s="2499"/>
      <c r="E1" s="2499"/>
      <c r="F1" s="2499"/>
      <c r="G1" s="2499"/>
      <c r="H1" s="2499"/>
      <c r="I1" s="2499"/>
      <c r="J1" s="2499"/>
      <c r="K1" s="2499"/>
      <c r="L1" s="1372"/>
      <c r="M1" s="1372"/>
    </row>
    <row r="2" spans="1:13" ht="12" customHeight="1" x14ac:dyDescent="0.2">
      <c r="B2" s="2501">
        <f>'Single Audit Cover'!E7</f>
        <v>7016146004</v>
      </c>
      <c r="C2" s="2501"/>
      <c r="D2" s="2501"/>
      <c r="E2" s="2501"/>
      <c r="F2" s="2501"/>
      <c r="G2" s="2501"/>
      <c r="H2" s="2501"/>
      <c r="I2" s="2501"/>
      <c r="J2" s="2501"/>
      <c r="K2" s="2501"/>
      <c r="L2" s="1373"/>
      <c r="M2" s="1374"/>
    </row>
    <row r="3" spans="1:13" ht="10.35" customHeight="1" x14ac:dyDescent="0.2">
      <c r="B3" s="2522" t="s">
        <v>1347</v>
      </c>
      <c r="C3" s="2522"/>
      <c r="D3" s="2522"/>
      <c r="E3" s="2522"/>
      <c r="F3" s="2522"/>
      <c r="G3" s="2522"/>
      <c r="H3" s="2522"/>
      <c r="I3" s="2522"/>
      <c r="J3" s="2522"/>
      <c r="K3" s="2522"/>
      <c r="L3" s="1953"/>
      <c r="M3" s="1953"/>
    </row>
    <row r="4" spans="1:13" ht="14.25" customHeight="1" x14ac:dyDescent="0.2">
      <c r="B4" s="2523" t="str">
        <f>'Single Audit Cover'!A4</f>
        <v>Year Ending June 30, 2018</v>
      </c>
      <c r="C4" s="2523"/>
      <c r="D4" s="2523"/>
      <c r="E4" s="2523"/>
      <c r="F4" s="2523"/>
      <c r="G4" s="2523"/>
      <c r="H4" s="2523"/>
      <c r="I4" s="2523"/>
      <c r="J4" s="2523"/>
      <c r="K4" s="2523"/>
      <c r="L4" s="313"/>
      <c r="M4" s="313"/>
    </row>
    <row r="5" spans="1:13" ht="7.5" customHeight="1" x14ac:dyDescent="0.2">
      <c r="B5" s="1260" t="s">
        <v>1231</v>
      </c>
      <c r="C5" s="1260"/>
    </row>
    <row r="6" spans="1:13" ht="7.5" customHeight="1" x14ac:dyDescent="0.2">
      <c r="B6" s="1376"/>
      <c r="C6" s="1376"/>
      <c r="D6" s="1377"/>
      <c r="E6" s="1377"/>
      <c r="F6" s="1377"/>
      <c r="G6" s="1378"/>
      <c r="H6" s="1377"/>
      <c r="I6" s="1378"/>
      <c r="J6" s="1377"/>
      <c r="K6" s="1377"/>
      <c r="L6" s="1379"/>
    </row>
    <row r="7" spans="1:13" ht="12.75" customHeight="1" x14ac:dyDescent="0.2">
      <c r="A7" s="1282"/>
      <c r="B7" s="2523" t="s">
        <v>1363</v>
      </c>
      <c r="C7" s="2523"/>
      <c r="D7" s="2524"/>
      <c r="E7" s="2524"/>
      <c r="F7" s="2524"/>
      <c r="G7" s="2524"/>
      <c r="H7" s="2524"/>
      <c r="I7" s="2524"/>
      <c r="J7" s="2524"/>
      <c r="K7" s="252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1949</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2011</v>
      </c>
      <c r="L11" s="1379"/>
    </row>
    <row r="12" spans="1:13" ht="13.5" customHeight="1" x14ac:dyDescent="0.2">
      <c r="B12" s="1294"/>
      <c r="C12" s="1294"/>
      <c r="D12" s="322"/>
      <c r="E12" s="322"/>
      <c r="F12" s="322"/>
      <c r="G12" s="1381"/>
      <c r="H12" s="322"/>
      <c r="I12" s="1381"/>
      <c r="J12" s="322"/>
      <c r="L12" s="1379"/>
    </row>
    <row r="13" spans="1:13" s="1282" customFormat="1" ht="13.5" customHeight="1" x14ac:dyDescent="0.2">
      <c r="B13" s="1391" t="s">
        <v>1358</v>
      </c>
      <c r="C13" s="1391"/>
      <c r="D13" s="1392"/>
      <c r="E13" s="1392"/>
      <c r="F13" s="1392"/>
      <c r="G13" s="1393"/>
      <c r="H13" s="1392"/>
      <c r="I13" s="1393"/>
      <c r="J13" s="1392"/>
      <c r="K13" s="1392"/>
      <c r="L13" s="1394"/>
    </row>
    <row r="14" spans="1:13" ht="45.75" customHeight="1" x14ac:dyDescent="0.2">
      <c r="B14" s="2525" t="s">
        <v>2131</v>
      </c>
      <c r="C14" s="2525"/>
      <c r="D14" s="2525"/>
      <c r="E14" s="2525"/>
      <c r="F14" s="2525"/>
      <c r="G14" s="2525"/>
      <c r="H14" s="2525"/>
      <c r="I14" s="2525"/>
      <c r="J14" s="2525"/>
      <c r="K14" s="2525"/>
      <c r="L14" s="1395"/>
    </row>
    <row r="15" spans="1:13" ht="4.5" customHeight="1" x14ac:dyDescent="0.2">
      <c r="B15" s="1396"/>
      <c r="C15" s="1396"/>
      <c r="D15" s="1397"/>
      <c r="E15" s="1397"/>
      <c r="F15" s="1397"/>
      <c r="H15" s="1397"/>
      <c r="J15" s="1397"/>
      <c r="K15" s="1397"/>
      <c r="L15" s="1395"/>
    </row>
    <row r="16" spans="1:13" s="1282" customFormat="1" ht="13.5" customHeight="1" x14ac:dyDescent="0.2">
      <c r="B16" s="1391" t="s">
        <v>1357</v>
      </c>
      <c r="C16" s="1391"/>
      <c r="D16" s="1392"/>
      <c r="E16" s="1392"/>
      <c r="F16" s="1392"/>
      <c r="G16" s="1393"/>
      <c r="H16" s="1392"/>
      <c r="I16" s="1393"/>
      <c r="J16" s="1392"/>
      <c r="K16" s="1392"/>
      <c r="L16" s="1394"/>
    </row>
    <row r="17" spans="2:12" ht="45.75" customHeight="1" x14ac:dyDescent="0.2">
      <c r="B17" s="2526" t="s">
        <v>2132</v>
      </c>
      <c r="C17" s="2526"/>
      <c r="D17" s="2521"/>
      <c r="E17" s="2521"/>
      <c r="F17" s="2521"/>
      <c r="G17" s="2521"/>
      <c r="H17" s="2521"/>
      <c r="I17" s="2521"/>
      <c r="J17" s="2521"/>
      <c r="K17" s="2521"/>
      <c r="L17" s="1379"/>
    </row>
    <row r="18" spans="2:12" ht="4.5" customHeight="1" x14ac:dyDescent="0.2">
      <c r="B18" s="1396"/>
      <c r="C18" s="1396"/>
      <c r="L18" s="1379"/>
    </row>
    <row r="19" spans="2:12" s="1282" customFormat="1" ht="13.5" customHeight="1" x14ac:dyDescent="0.2">
      <c r="B19" s="1391" t="s">
        <v>1843</v>
      </c>
      <c r="C19" s="1391"/>
      <c r="D19" s="1392"/>
      <c r="E19" s="1392"/>
      <c r="F19" s="1392"/>
      <c r="G19" s="1393"/>
      <c r="H19" s="1392"/>
      <c r="I19" s="1393"/>
      <c r="J19" s="1392"/>
      <c r="K19" s="1392"/>
      <c r="L19" s="1394"/>
    </row>
    <row r="20" spans="2:12" ht="45.75" customHeight="1" x14ac:dyDescent="0.2">
      <c r="B20" s="2521" t="s">
        <v>2133</v>
      </c>
      <c r="C20" s="2521"/>
      <c r="D20" s="2521"/>
      <c r="E20" s="2521"/>
      <c r="F20" s="2521"/>
      <c r="G20" s="2521"/>
      <c r="H20" s="2521"/>
      <c r="I20" s="2521"/>
      <c r="J20" s="2521"/>
      <c r="K20" s="252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21" t="s">
        <v>2140</v>
      </c>
      <c r="C23" s="2521"/>
      <c r="D23" s="2521"/>
      <c r="E23" s="2521"/>
      <c r="F23" s="2521"/>
      <c r="G23" s="2521"/>
      <c r="H23" s="2521"/>
      <c r="I23" s="2521"/>
      <c r="J23" s="2521"/>
      <c r="K23" s="252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21" t="s">
        <v>2138</v>
      </c>
      <c r="C26" s="2521"/>
      <c r="D26" s="2521"/>
      <c r="E26" s="2521"/>
      <c r="F26" s="2521"/>
      <c r="G26" s="2521"/>
      <c r="H26" s="2521"/>
      <c r="I26" s="2521"/>
      <c r="J26" s="2521"/>
      <c r="K26" s="252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20" t="s">
        <v>2141</v>
      </c>
      <c r="C29" s="2520"/>
      <c r="D29" s="2521"/>
      <c r="E29" s="2521"/>
      <c r="F29" s="2521"/>
      <c r="G29" s="2521"/>
      <c r="H29" s="2521"/>
      <c r="I29" s="2521"/>
      <c r="J29" s="2521"/>
      <c r="K29" s="252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20" t="s">
        <v>2137</v>
      </c>
      <c r="C32" s="2520"/>
      <c r="D32" s="2521"/>
      <c r="E32" s="2521"/>
      <c r="F32" s="2521"/>
      <c r="G32" s="2521"/>
      <c r="H32" s="2521"/>
      <c r="I32" s="2521"/>
      <c r="J32" s="2521"/>
      <c r="K32" s="2521"/>
      <c r="L32" s="1379"/>
    </row>
    <row r="33" spans="1:13" s="322" customFormat="1" ht="4.5" customHeight="1" x14ac:dyDescent="0.2">
      <c r="B33" s="1400"/>
      <c r="C33" s="1400"/>
      <c r="G33" s="1381"/>
      <c r="I33" s="1381"/>
      <c r="L33" s="1379"/>
    </row>
    <row r="34" spans="1:13" s="322" customFormat="1" x14ac:dyDescent="0.2">
      <c r="A34" s="1297"/>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300" t="s">
        <v>1950</v>
      </c>
      <c r="C36" s="1300"/>
      <c r="L36" s="1379"/>
    </row>
    <row r="37" spans="1:13" ht="9.6" customHeight="1" x14ac:dyDescent="0.2">
      <c r="B37" s="1300" t="s">
        <v>1951</v>
      </c>
      <c r="C37" s="1300"/>
    </row>
    <row r="38" spans="1:13" ht="11.85" customHeight="1" x14ac:dyDescent="0.2">
      <c r="B38" s="1418" t="s">
        <v>1846</v>
      </c>
      <c r="C38" s="1418"/>
    </row>
    <row r="39" spans="1:13" ht="9.6" customHeight="1" x14ac:dyDescent="0.2">
      <c r="B39" s="1300" t="s">
        <v>1348</v>
      </c>
      <c r="C39" s="1300"/>
      <c r="M39" s="1419"/>
    </row>
    <row r="40" spans="1:13" ht="12.6" customHeight="1" x14ac:dyDescent="0.2">
      <c r="B40" s="1418" t="s">
        <v>1847</v>
      </c>
      <c r="C40" s="1418"/>
      <c r="M40" s="1419"/>
    </row>
    <row r="41" spans="1:13" ht="9.6" customHeight="1" x14ac:dyDescent="0.2">
      <c r="B41" s="1300"/>
      <c r="C41" s="1300"/>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Roman,Regular"&amp;11 135</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46" zoomScaleNormal="110" workbookViewId="0">
      <selection activeCell="J30" sqref="J30"/>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CCSD 146 Tinley Park</v>
      </c>
      <c r="C1" s="2499"/>
      <c r="D1" s="2499"/>
      <c r="E1" s="2499"/>
      <c r="F1" s="2499"/>
      <c r="G1" s="2499"/>
      <c r="H1" s="2499"/>
      <c r="I1" s="2499"/>
      <c r="J1" s="2499"/>
      <c r="K1" s="2499"/>
      <c r="L1" s="1372"/>
      <c r="M1" s="1372"/>
    </row>
    <row r="2" spans="1:13" ht="12" customHeight="1" x14ac:dyDescent="0.2">
      <c r="B2" s="2501">
        <f>'Single Audit Cover'!E7</f>
        <v>7016146004</v>
      </c>
      <c r="C2" s="2501"/>
      <c r="D2" s="2501"/>
      <c r="E2" s="2501"/>
      <c r="F2" s="2501"/>
      <c r="G2" s="2501"/>
      <c r="H2" s="2501"/>
      <c r="I2" s="2501"/>
      <c r="J2" s="2501"/>
      <c r="K2" s="2501"/>
      <c r="L2" s="1373"/>
      <c r="M2" s="1374"/>
    </row>
    <row r="3" spans="1:13" ht="10.35" customHeight="1" x14ac:dyDescent="0.2">
      <c r="B3" s="2522" t="s">
        <v>1347</v>
      </c>
      <c r="C3" s="2522"/>
      <c r="D3" s="2522"/>
      <c r="E3" s="2522"/>
      <c r="F3" s="2522"/>
      <c r="G3" s="2522"/>
      <c r="H3" s="2522"/>
      <c r="I3" s="2522"/>
      <c r="J3" s="2522"/>
      <c r="K3" s="2522"/>
      <c r="L3" s="1953"/>
      <c r="M3" s="1953"/>
    </row>
    <row r="4" spans="1:13" ht="14.25" customHeight="1" x14ac:dyDescent="0.2">
      <c r="B4" s="2523" t="str">
        <f>'Single Audit Cover'!A4</f>
        <v>Year Ending June 30, 2018</v>
      </c>
      <c r="C4" s="2523"/>
      <c r="D4" s="2523"/>
      <c r="E4" s="2523"/>
      <c r="F4" s="2523"/>
      <c r="G4" s="2523"/>
      <c r="H4" s="2523"/>
      <c r="I4" s="2523"/>
      <c r="J4" s="2523"/>
      <c r="K4" s="2523"/>
      <c r="L4" s="313"/>
      <c r="M4" s="313"/>
    </row>
    <row r="5" spans="1:13" ht="7.5" customHeight="1" x14ac:dyDescent="0.2">
      <c r="B5" s="1260" t="s">
        <v>1231</v>
      </c>
      <c r="C5" s="1260"/>
    </row>
    <row r="6" spans="1:13" ht="7.5" customHeight="1" x14ac:dyDescent="0.2">
      <c r="B6" s="1376"/>
      <c r="C6" s="1376"/>
      <c r="D6" s="1377"/>
      <c r="E6" s="1377"/>
      <c r="F6" s="1377"/>
      <c r="G6" s="1378"/>
      <c r="H6" s="1377"/>
      <c r="I6" s="1378"/>
      <c r="J6" s="1377"/>
      <c r="K6" s="1377"/>
      <c r="L6" s="1379"/>
    </row>
    <row r="7" spans="1:13" ht="12.75" customHeight="1" x14ac:dyDescent="0.2">
      <c r="A7" s="1282"/>
      <c r="B7" s="2523" t="s">
        <v>1363</v>
      </c>
      <c r="C7" s="2523"/>
      <c r="D7" s="2524"/>
      <c r="E7" s="2524"/>
      <c r="F7" s="2524"/>
      <c r="G7" s="2524"/>
      <c r="H7" s="2524"/>
      <c r="I7" s="2524"/>
      <c r="J7" s="2524"/>
      <c r="K7" s="252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1949</v>
      </c>
      <c r="D10" s="1384">
        <v>2</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2008</v>
      </c>
      <c r="L11" s="1379"/>
    </row>
    <row r="12" spans="1:13" ht="13.5" customHeight="1" x14ac:dyDescent="0.2">
      <c r="B12" s="1294"/>
      <c r="C12" s="1294"/>
      <c r="D12" s="322"/>
      <c r="E12" s="322"/>
      <c r="F12" s="322"/>
      <c r="G12" s="1381"/>
      <c r="H12" s="322"/>
      <c r="I12" s="1381"/>
      <c r="J12" s="322"/>
      <c r="L12" s="1379"/>
    </row>
    <row r="13" spans="1:13" s="1282" customFormat="1" ht="13.5" customHeight="1" x14ac:dyDescent="0.2">
      <c r="B13" s="1391" t="s">
        <v>1358</v>
      </c>
      <c r="C13" s="1391"/>
      <c r="D13" s="1392"/>
      <c r="E13" s="1392"/>
      <c r="F13" s="1392"/>
      <c r="G13" s="1393"/>
      <c r="H13" s="1392"/>
      <c r="I13" s="1393"/>
      <c r="J13" s="1392"/>
      <c r="K13" s="1392"/>
      <c r="L13" s="1394"/>
    </row>
    <row r="14" spans="1:13" ht="45.75" customHeight="1" x14ac:dyDescent="0.2">
      <c r="B14" s="2525" t="s">
        <v>2139</v>
      </c>
      <c r="C14" s="2525"/>
      <c r="D14" s="2525"/>
      <c r="E14" s="2525"/>
      <c r="F14" s="2525"/>
      <c r="G14" s="2525"/>
      <c r="H14" s="2525"/>
      <c r="I14" s="2525"/>
      <c r="J14" s="2525"/>
      <c r="K14" s="2525"/>
      <c r="L14" s="1395"/>
    </row>
    <row r="15" spans="1:13" ht="4.5" customHeight="1" x14ac:dyDescent="0.2">
      <c r="B15" s="1396"/>
      <c r="C15" s="1396"/>
      <c r="D15" s="1397"/>
      <c r="E15" s="1397"/>
      <c r="F15" s="1397"/>
      <c r="H15" s="1397"/>
      <c r="J15" s="1397"/>
      <c r="K15" s="1397"/>
      <c r="L15" s="1395"/>
    </row>
    <row r="16" spans="1:13" s="1282" customFormat="1" ht="13.5" customHeight="1" x14ac:dyDescent="0.2">
      <c r="B16" s="1391" t="s">
        <v>1357</v>
      </c>
      <c r="C16" s="1391"/>
      <c r="D16" s="1392"/>
      <c r="E16" s="1392"/>
      <c r="F16" s="1392"/>
      <c r="G16" s="1393"/>
      <c r="H16" s="1392"/>
      <c r="I16" s="1393"/>
      <c r="J16" s="1392"/>
      <c r="K16" s="1392"/>
      <c r="L16" s="1394"/>
    </row>
    <row r="17" spans="2:12" ht="45.75" customHeight="1" x14ac:dyDescent="0.2">
      <c r="B17" s="2526" t="s">
        <v>2191</v>
      </c>
      <c r="C17" s="2526"/>
      <c r="D17" s="2521"/>
      <c r="E17" s="2521"/>
      <c r="F17" s="2521"/>
      <c r="G17" s="2521"/>
      <c r="H17" s="2521"/>
      <c r="I17" s="2521"/>
      <c r="J17" s="2521"/>
      <c r="K17" s="2521"/>
      <c r="L17" s="1379"/>
    </row>
    <row r="18" spans="2:12" ht="4.5" customHeight="1" x14ac:dyDescent="0.2">
      <c r="B18" s="1396"/>
      <c r="C18" s="1396"/>
      <c r="L18" s="1379"/>
    </row>
    <row r="19" spans="2:12" s="1282" customFormat="1" ht="13.5" customHeight="1" x14ac:dyDescent="0.2">
      <c r="B19" s="1391" t="s">
        <v>1843</v>
      </c>
      <c r="C19" s="1391"/>
      <c r="D19" s="1392"/>
      <c r="E19" s="1392"/>
      <c r="F19" s="1392"/>
      <c r="G19" s="1393"/>
      <c r="H19" s="1392"/>
      <c r="I19" s="1393"/>
      <c r="J19" s="1392"/>
      <c r="K19" s="1392"/>
      <c r="L19" s="1394"/>
    </row>
    <row r="20" spans="2:12" ht="45.75" customHeight="1" x14ac:dyDescent="0.2">
      <c r="B20" s="2521" t="s">
        <v>2133</v>
      </c>
      <c r="C20" s="2521"/>
      <c r="D20" s="2521"/>
      <c r="E20" s="2521"/>
      <c r="F20" s="2521"/>
      <c r="G20" s="2521"/>
      <c r="H20" s="2521"/>
      <c r="I20" s="2521"/>
      <c r="J20" s="2521"/>
      <c r="K20" s="252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21" t="s">
        <v>2134</v>
      </c>
      <c r="C23" s="2521"/>
      <c r="D23" s="2521"/>
      <c r="E23" s="2521"/>
      <c r="F23" s="2521"/>
      <c r="G23" s="2521"/>
      <c r="H23" s="2521"/>
      <c r="I23" s="2521"/>
      <c r="J23" s="2521"/>
      <c r="K23" s="252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21" t="s">
        <v>2135</v>
      </c>
      <c r="C26" s="2521"/>
      <c r="D26" s="2521"/>
      <c r="E26" s="2521"/>
      <c r="F26" s="2521"/>
      <c r="G26" s="2521"/>
      <c r="H26" s="2521"/>
      <c r="I26" s="2521"/>
      <c r="J26" s="2521"/>
      <c r="K26" s="252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20" t="s">
        <v>2136</v>
      </c>
      <c r="C29" s="2520"/>
      <c r="D29" s="2521"/>
      <c r="E29" s="2521"/>
      <c r="F29" s="2521"/>
      <c r="G29" s="2521"/>
      <c r="H29" s="2521"/>
      <c r="I29" s="2521"/>
      <c r="J29" s="2521"/>
      <c r="K29" s="252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20" t="s">
        <v>2137</v>
      </c>
      <c r="C32" s="2520"/>
      <c r="D32" s="2521"/>
      <c r="E32" s="2521"/>
      <c r="F32" s="2521"/>
      <c r="G32" s="2521"/>
      <c r="H32" s="2521"/>
      <c r="I32" s="2521"/>
      <c r="J32" s="2521"/>
      <c r="K32" s="2521"/>
      <c r="L32" s="1379"/>
    </row>
    <row r="33" spans="1:13" s="322" customFormat="1" ht="4.5" customHeight="1" x14ac:dyDescent="0.2">
      <c r="B33" s="1400"/>
      <c r="C33" s="1400"/>
      <c r="G33" s="1381"/>
      <c r="I33" s="1381"/>
      <c r="L33" s="1379"/>
    </row>
    <row r="34" spans="1:13" s="322" customFormat="1" x14ac:dyDescent="0.2">
      <c r="A34" s="1297"/>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300" t="s">
        <v>1950</v>
      </c>
      <c r="C36" s="1300"/>
      <c r="L36" s="1379"/>
    </row>
    <row r="37" spans="1:13" ht="9.6" customHeight="1" x14ac:dyDescent="0.2">
      <c r="B37" s="1300" t="s">
        <v>1951</v>
      </c>
      <c r="C37" s="1300"/>
    </row>
    <row r="38" spans="1:13" ht="11.85" customHeight="1" x14ac:dyDescent="0.2">
      <c r="B38" s="1418" t="s">
        <v>1846</v>
      </c>
      <c r="C38" s="1418"/>
    </row>
    <row r="39" spans="1:13" ht="9.6" customHeight="1" x14ac:dyDescent="0.2">
      <c r="B39" s="1300" t="s">
        <v>1348</v>
      </c>
      <c r="C39" s="1300"/>
      <c r="M39" s="1419"/>
    </row>
    <row r="40" spans="1:13" ht="12.6" customHeight="1" x14ac:dyDescent="0.2">
      <c r="B40" s="1418" t="s">
        <v>1847</v>
      </c>
      <c r="C40" s="1418"/>
      <c r="M40" s="1419"/>
    </row>
    <row r="41" spans="1:13" ht="9.6" customHeight="1" x14ac:dyDescent="0.2">
      <c r="B41" s="1300"/>
      <c r="C41" s="1300"/>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Roman,Regular"&amp;11 136</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22" zoomScaleNormal="110" workbookViewId="0">
      <selection activeCell="F37" sqref="F37"/>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7" t="str">
        <f>'Single Audit Cover'!A7</f>
        <v>CCSD 146 Tinley Park</v>
      </c>
      <c r="C1" s="2527"/>
      <c r="D1" s="2527"/>
      <c r="E1" s="2527"/>
      <c r="F1" s="2527"/>
      <c r="G1" s="2527"/>
      <c r="H1" s="2527"/>
      <c r="I1" s="2527"/>
      <c r="J1" s="2527"/>
      <c r="K1" s="2527"/>
      <c r="L1" s="1463"/>
    </row>
    <row r="2" spans="1:12" ht="12.75" customHeight="1" x14ac:dyDescent="0.2">
      <c r="B2" s="2528">
        <f>'Single Audit Cover'!E7</f>
        <v>7016146004</v>
      </c>
      <c r="C2" s="2528"/>
      <c r="D2" s="2528"/>
      <c r="E2" s="2528"/>
      <c r="F2" s="2528"/>
      <c r="G2" s="2528"/>
      <c r="H2" s="2528"/>
      <c r="I2" s="2528"/>
      <c r="J2" s="2528"/>
      <c r="K2" s="2528"/>
      <c r="L2" s="1464"/>
    </row>
    <row r="3" spans="1:12" ht="12.75" customHeight="1" x14ac:dyDescent="0.2">
      <c r="B3" s="2522" t="s">
        <v>1347</v>
      </c>
      <c r="C3" s="2522"/>
      <c r="D3" s="2522"/>
      <c r="E3" s="2522"/>
      <c r="F3" s="2522"/>
      <c r="G3" s="2522"/>
      <c r="H3" s="2522"/>
      <c r="I3" s="2522"/>
      <c r="J3" s="2522"/>
      <c r="K3" s="2522"/>
      <c r="L3" s="1375"/>
    </row>
    <row r="4" spans="1:12" ht="12.75" customHeight="1" x14ac:dyDescent="0.2">
      <c r="B4" s="2522" t="str">
        <f>'Single Audit Cover'!A4</f>
        <v>Year Ending June 30, 2018</v>
      </c>
      <c r="C4" s="2522"/>
      <c r="D4" s="2522"/>
      <c r="E4" s="2522"/>
      <c r="F4" s="2522"/>
      <c r="G4" s="2522"/>
      <c r="H4" s="2522"/>
      <c r="I4" s="2522"/>
      <c r="J4" s="2522"/>
      <c r="K4" s="2522"/>
      <c r="L4" s="1375"/>
    </row>
    <row r="5" spans="1:12" ht="5.25" customHeight="1" x14ac:dyDescent="0.2">
      <c r="B5" s="1260" t="s">
        <v>1231</v>
      </c>
      <c r="C5" s="1260"/>
      <c r="L5" s="322"/>
    </row>
    <row r="6" spans="1:12" ht="30.75" customHeight="1" x14ac:dyDescent="0.2">
      <c r="A6" s="322"/>
      <c r="B6" s="2529" t="s">
        <v>1375</v>
      </c>
      <c r="C6" s="2529"/>
      <c r="D6" s="2529"/>
      <c r="E6" s="2529"/>
      <c r="F6" s="2529"/>
      <c r="G6" s="2529"/>
      <c r="H6" s="2529"/>
      <c r="I6" s="2529"/>
      <c r="J6" s="2529"/>
      <c r="K6" s="2529"/>
      <c r="L6" s="322"/>
    </row>
    <row r="7" spans="1:12" ht="4.5" customHeight="1" x14ac:dyDescent="0.2">
      <c r="B7" s="1377"/>
      <c r="C7" s="1377"/>
      <c r="D7" s="1377"/>
      <c r="E7" s="1377"/>
      <c r="F7" s="1377"/>
      <c r="G7" s="1378"/>
      <c r="H7" s="1377"/>
      <c r="I7" s="1378"/>
      <c r="J7" s="1377"/>
      <c r="K7" s="1377"/>
      <c r="L7" s="322"/>
    </row>
    <row r="8" spans="1:12" ht="13.5" customHeight="1" x14ac:dyDescent="0.2">
      <c r="B8" s="1385" t="s">
        <v>1856</v>
      </c>
      <c r="C8" s="1465" t="s">
        <v>1949</v>
      </c>
      <c r="D8" s="1466">
        <v>3</v>
      </c>
      <c r="E8" s="322"/>
      <c r="F8" s="1382" t="s">
        <v>1362</v>
      </c>
      <c r="G8" s="1467"/>
      <c r="H8" s="1468" t="s">
        <v>1374</v>
      </c>
      <c r="I8" s="1467" t="s">
        <v>2077</v>
      </c>
      <c r="J8" s="1469" t="s">
        <v>1373</v>
      </c>
      <c r="L8" s="322"/>
    </row>
    <row r="9" spans="1:12" ht="13.5" customHeight="1" x14ac:dyDescent="0.2">
      <c r="D9" s="322"/>
      <c r="E9" s="322"/>
      <c r="F9" s="322"/>
      <c r="G9" s="1381"/>
      <c r="H9" s="322"/>
      <c r="I9" s="1470" t="s">
        <v>1359</v>
      </c>
      <c r="J9" s="322"/>
      <c r="K9" s="1471">
        <v>2011</v>
      </c>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06" t="s">
        <v>2142</v>
      </c>
      <c r="G12" s="2506"/>
      <c r="H12" s="2506"/>
      <c r="I12" s="2506"/>
      <c r="J12" s="2506"/>
      <c r="K12" s="2506"/>
      <c r="L12" s="322"/>
    </row>
    <row r="13" spans="1:12" ht="9.6" customHeight="1" x14ac:dyDescent="0.2">
      <c r="B13" s="1257"/>
      <c r="C13" s="1257"/>
      <c r="D13" s="304"/>
      <c r="E13" s="322"/>
      <c r="F13" s="322"/>
      <c r="G13" s="1381"/>
      <c r="H13" s="322"/>
      <c r="I13" s="1381"/>
      <c r="J13" s="322"/>
      <c r="K13" s="1430"/>
      <c r="L13" s="322"/>
    </row>
    <row r="14" spans="1:12" ht="13.5" customHeight="1" x14ac:dyDescent="0.2">
      <c r="B14" s="1385" t="s">
        <v>1371</v>
      </c>
      <c r="C14" s="1385"/>
      <c r="D14" s="2530"/>
      <c r="E14" s="2530"/>
      <c r="F14" s="2530"/>
      <c r="H14" s="1473" t="s">
        <v>1370</v>
      </c>
      <c r="I14" s="2531"/>
      <c r="J14" s="2531"/>
      <c r="K14" s="2531"/>
      <c r="L14" s="322"/>
    </row>
    <row r="15" spans="1:12" ht="9.4" customHeight="1" x14ac:dyDescent="0.2">
      <c r="B15" s="1385"/>
      <c r="C15" s="1385"/>
      <c r="D15" s="1371"/>
      <c r="E15" s="1260"/>
      <c r="F15" s="1260"/>
      <c r="G15" s="1286"/>
      <c r="H15" s="1260"/>
      <c r="I15" s="1474"/>
      <c r="J15" s="1294"/>
      <c r="K15" s="1291"/>
      <c r="L15" s="322"/>
    </row>
    <row r="16" spans="1:12" ht="13.5" customHeight="1" x14ac:dyDescent="0.2">
      <c r="B16" s="1385" t="s">
        <v>1369</v>
      </c>
      <c r="C16" s="1385"/>
      <c r="D16" s="2531"/>
      <c r="E16" s="2531"/>
      <c r="F16" s="2531"/>
      <c r="G16" s="2531"/>
      <c r="H16" s="2531"/>
      <c r="I16" s="2531"/>
      <c r="J16" s="2531"/>
      <c r="K16" s="2531"/>
      <c r="L16" s="322"/>
    </row>
    <row r="17" spans="2:12" ht="13.5" customHeight="1" x14ac:dyDescent="0.2">
      <c r="B17" s="1385" t="s">
        <v>1368</v>
      </c>
      <c r="C17" s="1385"/>
      <c r="D17" s="2532"/>
      <c r="E17" s="2532"/>
      <c r="F17" s="2532"/>
      <c r="G17" s="2532"/>
      <c r="H17" s="2532"/>
      <c r="I17" s="2532"/>
      <c r="J17" s="2532"/>
      <c r="K17" s="2532"/>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21" t="s">
        <v>2143</v>
      </c>
      <c r="C20" s="2521"/>
      <c r="D20" s="2521"/>
      <c r="E20" s="2521"/>
      <c r="F20" s="2521"/>
      <c r="G20" s="2521"/>
      <c r="H20" s="2521"/>
      <c r="I20" s="2521"/>
      <c r="J20" s="2521"/>
      <c r="K20" s="252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1857</v>
      </c>
      <c r="C22" s="1475"/>
      <c r="D22" s="322"/>
      <c r="E22" s="322"/>
      <c r="F22" s="322"/>
      <c r="G22" s="1381"/>
      <c r="H22" s="322"/>
      <c r="I22" s="1381"/>
      <c r="J22" s="322"/>
      <c r="K22" s="322"/>
      <c r="L22" s="322"/>
    </row>
    <row r="23" spans="2:12" ht="37.5" customHeight="1" x14ac:dyDescent="0.2">
      <c r="B23" s="2521"/>
      <c r="C23" s="2521"/>
      <c r="D23" s="2521"/>
      <c r="E23" s="2521"/>
      <c r="F23" s="2521"/>
      <c r="G23" s="2521"/>
      <c r="H23" s="2521"/>
      <c r="I23" s="2521"/>
      <c r="J23" s="2521"/>
      <c r="K23" s="252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1858</v>
      </c>
      <c r="C25" s="1475"/>
      <c r="D25" s="322"/>
      <c r="E25" s="322"/>
      <c r="F25" s="322"/>
      <c r="G25" s="1381"/>
      <c r="H25" s="322"/>
      <c r="I25" s="1381"/>
      <c r="J25" s="322"/>
      <c r="K25" s="322"/>
      <c r="L25" s="322"/>
    </row>
    <row r="26" spans="2:12" ht="26.25" customHeight="1" x14ac:dyDescent="0.2">
      <c r="B26" s="2521" t="s">
        <v>2091</v>
      </c>
      <c r="C26" s="2521"/>
      <c r="D26" s="2521"/>
      <c r="E26" s="2521"/>
      <c r="F26" s="2521"/>
      <c r="G26" s="2521"/>
      <c r="H26" s="2521"/>
      <c r="I26" s="2521"/>
      <c r="J26" s="2521"/>
      <c r="K26" s="252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1859</v>
      </c>
      <c r="C28" s="1475"/>
      <c r="D28" s="322"/>
      <c r="E28" s="322"/>
      <c r="F28" s="322"/>
      <c r="G28" s="1381"/>
      <c r="H28" s="322"/>
      <c r="I28" s="1381"/>
      <c r="J28" s="322"/>
      <c r="K28" s="322"/>
      <c r="L28" s="322"/>
    </row>
    <row r="29" spans="2:12" ht="30.75" customHeight="1" x14ac:dyDescent="0.2">
      <c r="B29" s="2521"/>
      <c r="C29" s="2521"/>
      <c r="D29" s="2521"/>
      <c r="E29" s="2521"/>
      <c r="F29" s="2521"/>
      <c r="G29" s="2521"/>
      <c r="H29" s="2521"/>
      <c r="I29" s="2521"/>
      <c r="J29" s="2521"/>
      <c r="K29" s="252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21"/>
      <c r="C32" s="2521"/>
      <c r="D32" s="2521"/>
      <c r="E32" s="2521"/>
      <c r="F32" s="2521"/>
      <c r="G32" s="2521"/>
      <c r="H32" s="2521"/>
      <c r="I32" s="2521"/>
      <c r="J32" s="2521"/>
      <c r="K32" s="252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21"/>
      <c r="C35" s="2521"/>
      <c r="D35" s="2521"/>
      <c r="E35" s="2521"/>
      <c r="F35" s="2521"/>
      <c r="G35" s="2521"/>
      <c r="H35" s="2521"/>
      <c r="I35" s="2521"/>
      <c r="J35" s="2521"/>
      <c r="K35" s="252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27.75" customHeight="1" x14ac:dyDescent="0.2">
      <c r="B38" s="2521"/>
      <c r="C38" s="2521"/>
      <c r="D38" s="2521"/>
      <c r="E38" s="2521"/>
      <c r="F38" s="2521"/>
      <c r="G38" s="2521"/>
      <c r="H38" s="2521"/>
      <c r="I38" s="2521"/>
      <c r="J38" s="2521"/>
      <c r="K38" s="252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1860</v>
      </c>
      <c r="C40" s="1401"/>
      <c r="D40" s="1376"/>
      <c r="E40" s="1377"/>
      <c r="F40" s="1377"/>
      <c r="G40" s="1378"/>
      <c r="H40" s="1377"/>
      <c r="I40" s="1378"/>
      <c r="J40" s="1377"/>
      <c r="K40" s="1377"/>
    </row>
    <row r="41" spans="2:12" s="322" customFormat="1" ht="33.75" customHeight="1" x14ac:dyDescent="0.2">
      <c r="B41" s="2521"/>
      <c r="C41" s="2521"/>
      <c r="D41" s="2521"/>
      <c r="E41" s="2521"/>
      <c r="F41" s="2521"/>
      <c r="G41" s="2521"/>
      <c r="H41" s="2521"/>
      <c r="I41" s="2521"/>
      <c r="J41" s="2521"/>
      <c r="K41" s="252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1861</v>
      </c>
      <c r="C48" s="1417"/>
      <c r="D48" s="322"/>
      <c r="E48" s="322"/>
      <c r="F48" s="322"/>
    </row>
    <row r="49" spans="2:3" s="317" customFormat="1" ht="10.5" customHeight="1" x14ac:dyDescent="0.2">
      <c r="B49" s="1418" t="s">
        <v>1862</v>
      </c>
      <c r="C49" s="1418"/>
    </row>
    <row r="50" spans="2:3" s="317" customFormat="1" ht="11.1" customHeight="1" x14ac:dyDescent="0.2">
      <c r="B50" s="1418" t="s">
        <v>1863</v>
      </c>
      <c r="C50" s="1418"/>
    </row>
    <row r="51" spans="2:3" s="317" customFormat="1" ht="11.1" customHeight="1" x14ac:dyDescent="0.2">
      <c r="B51" s="1418" t="s">
        <v>1864</v>
      </c>
      <c r="C51" s="1418"/>
    </row>
    <row r="52" spans="2:3" s="317" customFormat="1" ht="11.1" customHeight="1" x14ac:dyDescent="0.2">
      <c r="B52" s="1418" t="s">
        <v>1865</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&amp;C&amp;"Times New Roman,Regular"&amp;11 137</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22" zoomScaleNormal="110" workbookViewId="0">
      <selection activeCell="V37" sqref="V37"/>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4.710937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7" t="str">
        <f>'Single Audit Cover'!A7</f>
        <v>CCSD 146 Tinley Park</v>
      </c>
      <c r="C1" s="2527"/>
      <c r="D1" s="2527"/>
      <c r="E1" s="2527"/>
      <c r="F1" s="2527"/>
      <c r="G1" s="2527"/>
      <c r="H1" s="2527"/>
      <c r="I1" s="2527"/>
      <c r="J1" s="2527"/>
      <c r="K1" s="2527"/>
      <c r="L1" s="1463"/>
    </row>
    <row r="2" spans="1:12" ht="12.75" customHeight="1" x14ac:dyDescent="0.2">
      <c r="B2" s="2528">
        <f>'Single Audit Cover'!E7</f>
        <v>7016146004</v>
      </c>
      <c r="C2" s="2528"/>
      <c r="D2" s="2528"/>
      <c r="E2" s="2528"/>
      <c r="F2" s="2528"/>
      <c r="G2" s="2528"/>
      <c r="H2" s="2528"/>
      <c r="I2" s="2528"/>
      <c r="J2" s="2528"/>
      <c r="K2" s="2528"/>
      <c r="L2" s="1464"/>
    </row>
    <row r="3" spans="1:12" ht="12.75" customHeight="1" x14ac:dyDescent="0.2">
      <c r="B3" s="2522" t="s">
        <v>1347</v>
      </c>
      <c r="C3" s="2522"/>
      <c r="D3" s="2522"/>
      <c r="E3" s="2522"/>
      <c r="F3" s="2522"/>
      <c r="G3" s="2522"/>
      <c r="H3" s="2522"/>
      <c r="I3" s="2522"/>
      <c r="J3" s="2522"/>
      <c r="K3" s="2522"/>
      <c r="L3" s="1953"/>
    </row>
    <row r="4" spans="1:12" ht="12.75" customHeight="1" x14ac:dyDescent="0.2">
      <c r="B4" s="2522" t="str">
        <f>'Single Audit Cover'!A4</f>
        <v>Year Ending June 30, 2018</v>
      </c>
      <c r="C4" s="2522"/>
      <c r="D4" s="2522"/>
      <c r="E4" s="2522"/>
      <c r="F4" s="2522"/>
      <c r="G4" s="2522"/>
      <c r="H4" s="2522"/>
      <c r="I4" s="2522"/>
      <c r="J4" s="2522"/>
      <c r="K4" s="2522"/>
      <c r="L4" s="1953"/>
    </row>
    <row r="5" spans="1:12" ht="5.25" customHeight="1" x14ac:dyDescent="0.2">
      <c r="B5" s="1260" t="s">
        <v>1231</v>
      </c>
      <c r="C5" s="1260"/>
      <c r="L5" s="322"/>
    </row>
    <row r="6" spans="1:12" ht="30.75" customHeight="1" x14ac:dyDescent="0.2">
      <c r="A6" s="322"/>
      <c r="B6" s="2529" t="s">
        <v>1375</v>
      </c>
      <c r="C6" s="2529"/>
      <c r="D6" s="2529"/>
      <c r="E6" s="2529"/>
      <c r="F6" s="2529"/>
      <c r="G6" s="2529"/>
      <c r="H6" s="2529"/>
      <c r="I6" s="2529"/>
      <c r="J6" s="2529"/>
      <c r="K6" s="2529"/>
      <c r="L6" s="322"/>
    </row>
    <row r="7" spans="1:12" ht="4.5" customHeight="1" x14ac:dyDescent="0.2">
      <c r="B7" s="1377"/>
      <c r="C7" s="1377"/>
      <c r="D7" s="1377"/>
      <c r="E7" s="1377"/>
      <c r="F7" s="1377"/>
      <c r="G7" s="1378"/>
      <c r="H7" s="1377"/>
      <c r="I7" s="1378"/>
      <c r="J7" s="1377"/>
      <c r="K7" s="1377"/>
      <c r="L7" s="322"/>
    </row>
    <row r="8" spans="1:12" ht="13.5" customHeight="1" x14ac:dyDescent="0.2">
      <c r="B8" s="1385" t="s">
        <v>1856</v>
      </c>
      <c r="C8" s="1465" t="s">
        <v>1949</v>
      </c>
      <c r="D8" s="1466">
        <v>4</v>
      </c>
      <c r="E8" s="322"/>
      <c r="F8" s="1382" t="s">
        <v>1362</v>
      </c>
      <c r="G8" s="1467"/>
      <c r="H8" s="1468" t="s">
        <v>1374</v>
      </c>
      <c r="I8" s="1467" t="s">
        <v>2077</v>
      </c>
      <c r="J8" s="1469" t="s">
        <v>1373</v>
      </c>
      <c r="L8" s="322"/>
    </row>
    <row r="9" spans="1:12" ht="13.5" customHeight="1" x14ac:dyDescent="0.2">
      <c r="D9" s="322"/>
      <c r="E9" s="322"/>
      <c r="F9" s="322"/>
      <c r="G9" s="1381"/>
      <c r="H9" s="322"/>
      <c r="I9" s="1470" t="s">
        <v>1359</v>
      </c>
      <c r="J9" s="322"/>
      <c r="K9" s="1471">
        <v>2008</v>
      </c>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06" t="s">
        <v>2142</v>
      </c>
      <c r="G12" s="2506"/>
      <c r="H12" s="2506"/>
      <c r="I12" s="2506"/>
      <c r="J12" s="2506"/>
      <c r="K12" s="2506"/>
      <c r="L12" s="322"/>
    </row>
    <row r="13" spans="1:12" ht="9.6" customHeight="1" x14ac:dyDescent="0.2">
      <c r="B13" s="1257"/>
      <c r="C13" s="1257"/>
      <c r="D13" s="304"/>
      <c r="E13" s="322"/>
      <c r="F13" s="322"/>
      <c r="G13" s="1381"/>
      <c r="H13" s="322"/>
      <c r="I13" s="1381"/>
      <c r="J13" s="322"/>
      <c r="K13" s="1430"/>
      <c r="L13" s="322"/>
    </row>
    <row r="14" spans="1:12" ht="13.5" customHeight="1" x14ac:dyDescent="0.2">
      <c r="B14" s="1385" t="s">
        <v>1371</v>
      </c>
      <c r="C14" s="1385"/>
      <c r="D14" s="2530"/>
      <c r="E14" s="2530"/>
      <c r="F14" s="2530"/>
      <c r="H14" s="1473" t="s">
        <v>1370</v>
      </c>
      <c r="I14" s="2531"/>
      <c r="J14" s="2531"/>
      <c r="K14" s="2531"/>
      <c r="L14" s="322"/>
    </row>
    <row r="15" spans="1:12" ht="9.4" customHeight="1" x14ac:dyDescent="0.2">
      <c r="B15" s="1385"/>
      <c r="C15" s="1385"/>
      <c r="D15" s="1371"/>
      <c r="E15" s="1260"/>
      <c r="F15" s="1260"/>
      <c r="G15" s="1286"/>
      <c r="H15" s="1260"/>
      <c r="I15" s="1474"/>
      <c r="J15" s="1294"/>
      <c r="K15" s="1291"/>
      <c r="L15" s="322"/>
    </row>
    <row r="16" spans="1:12" ht="13.5" customHeight="1" x14ac:dyDescent="0.2">
      <c r="B16" s="1385" t="s">
        <v>1369</v>
      </c>
      <c r="C16" s="1385"/>
      <c r="D16" s="2531"/>
      <c r="E16" s="2531"/>
      <c r="F16" s="2531"/>
      <c r="G16" s="2531"/>
      <c r="H16" s="2531"/>
      <c r="I16" s="2531"/>
      <c r="J16" s="2531"/>
      <c r="K16" s="2531"/>
      <c r="L16" s="322"/>
    </row>
    <row r="17" spans="2:12" ht="13.5" customHeight="1" x14ac:dyDescent="0.2">
      <c r="B17" s="1385" t="s">
        <v>1368</v>
      </c>
      <c r="C17" s="1385"/>
      <c r="D17" s="2532"/>
      <c r="E17" s="2532"/>
      <c r="F17" s="2532"/>
      <c r="G17" s="2532"/>
      <c r="H17" s="2532"/>
      <c r="I17" s="2532"/>
      <c r="J17" s="2532"/>
      <c r="K17" s="2532"/>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21" t="s">
        <v>2144</v>
      </c>
      <c r="C20" s="2521"/>
      <c r="D20" s="2521"/>
      <c r="E20" s="2521"/>
      <c r="F20" s="2521"/>
      <c r="G20" s="2521"/>
      <c r="H20" s="2521"/>
      <c r="I20" s="2521"/>
      <c r="J20" s="2521"/>
      <c r="K20" s="252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1857</v>
      </c>
      <c r="C22" s="1475"/>
      <c r="D22" s="322"/>
      <c r="E22" s="322"/>
      <c r="F22" s="322"/>
      <c r="G22" s="1381"/>
      <c r="H22" s="322"/>
      <c r="I22" s="1381"/>
      <c r="J22" s="322"/>
      <c r="K22" s="322"/>
      <c r="L22" s="322"/>
    </row>
    <row r="23" spans="2:12" ht="33.75" customHeight="1" x14ac:dyDescent="0.2">
      <c r="B23" s="2521"/>
      <c r="C23" s="2521"/>
      <c r="D23" s="2521"/>
      <c r="E23" s="2521"/>
      <c r="F23" s="2521"/>
      <c r="G23" s="2521"/>
      <c r="H23" s="2521"/>
      <c r="I23" s="2521"/>
      <c r="J23" s="2521"/>
      <c r="K23" s="252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1858</v>
      </c>
      <c r="C25" s="1475"/>
      <c r="D25" s="322"/>
      <c r="E25" s="322"/>
      <c r="F25" s="322"/>
      <c r="G25" s="1381"/>
      <c r="H25" s="322"/>
      <c r="I25" s="1381"/>
      <c r="J25" s="322"/>
      <c r="K25" s="322"/>
      <c r="L25" s="322"/>
    </row>
    <row r="26" spans="2:12" ht="37.5" customHeight="1" x14ac:dyDescent="0.2">
      <c r="B26" s="2521" t="s">
        <v>2091</v>
      </c>
      <c r="C26" s="2521"/>
      <c r="D26" s="2521"/>
      <c r="E26" s="2521"/>
      <c r="F26" s="2521"/>
      <c r="G26" s="2521"/>
      <c r="H26" s="2521"/>
      <c r="I26" s="2521"/>
      <c r="J26" s="2521"/>
      <c r="K26" s="252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1859</v>
      </c>
      <c r="C28" s="1475"/>
      <c r="D28" s="322"/>
      <c r="E28" s="322"/>
      <c r="F28" s="322"/>
      <c r="G28" s="1381"/>
      <c r="H28" s="322"/>
      <c r="I28" s="1381"/>
      <c r="J28" s="322"/>
      <c r="K28" s="322"/>
      <c r="L28" s="322"/>
    </row>
    <row r="29" spans="2:12" ht="30.75" customHeight="1" x14ac:dyDescent="0.2">
      <c r="B29" s="2521"/>
      <c r="C29" s="2521"/>
      <c r="D29" s="2521"/>
      <c r="E29" s="2521"/>
      <c r="F29" s="2521"/>
      <c r="G29" s="2521"/>
      <c r="H29" s="2521"/>
      <c r="I29" s="2521"/>
      <c r="J29" s="2521"/>
      <c r="K29" s="252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6.75" customHeight="1" x14ac:dyDescent="0.2">
      <c r="B32" s="2521"/>
      <c r="C32" s="2521"/>
      <c r="D32" s="2521"/>
      <c r="E32" s="2521"/>
      <c r="F32" s="2521"/>
      <c r="G32" s="2521"/>
      <c r="H32" s="2521"/>
      <c r="I32" s="2521"/>
      <c r="J32" s="2521"/>
      <c r="K32" s="252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2.25" customHeight="1" x14ac:dyDescent="0.2">
      <c r="B35" s="2521"/>
      <c r="C35" s="2521"/>
      <c r="D35" s="2521"/>
      <c r="E35" s="2521"/>
      <c r="F35" s="2521"/>
      <c r="G35" s="2521"/>
      <c r="H35" s="2521"/>
      <c r="I35" s="2521"/>
      <c r="J35" s="2521"/>
      <c r="K35" s="252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1.5" customHeight="1" x14ac:dyDescent="0.2">
      <c r="B38" s="2521"/>
      <c r="C38" s="2521"/>
      <c r="D38" s="2521"/>
      <c r="E38" s="2521"/>
      <c r="F38" s="2521"/>
      <c r="G38" s="2521"/>
      <c r="H38" s="2521"/>
      <c r="I38" s="2521"/>
      <c r="J38" s="2521"/>
      <c r="K38" s="252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1860</v>
      </c>
      <c r="C40" s="1401"/>
      <c r="D40" s="1376"/>
      <c r="E40" s="1377"/>
      <c r="F40" s="1377"/>
      <c r="G40" s="1378"/>
      <c r="H40" s="1377"/>
      <c r="I40" s="1378"/>
      <c r="J40" s="1377"/>
      <c r="K40" s="1377"/>
    </row>
    <row r="41" spans="2:12" s="322" customFormat="1" ht="33.75" customHeight="1" x14ac:dyDescent="0.2">
      <c r="B41" s="2521"/>
      <c r="C41" s="2521"/>
      <c r="D41" s="2521"/>
      <c r="E41" s="2521"/>
      <c r="F41" s="2521"/>
      <c r="G41" s="2521"/>
      <c r="H41" s="2521"/>
      <c r="I41" s="2521"/>
      <c r="J41" s="2521"/>
      <c r="K41" s="252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1861</v>
      </c>
      <c r="C48" s="1417"/>
      <c r="D48" s="322"/>
      <c r="E48" s="322"/>
      <c r="F48" s="322"/>
    </row>
    <row r="49" spans="2:3" s="317" customFormat="1" ht="10.5" customHeight="1" x14ac:dyDescent="0.2">
      <c r="B49" s="1418" t="s">
        <v>1862</v>
      </c>
      <c r="C49" s="1418"/>
    </row>
    <row r="50" spans="2:3" s="317" customFormat="1" ht="11.1" customHeight="1" x14ac:dyDescent="0.2">
      <c r="B50" s="1418" t="s">
        <v>1863</v>
      </c>
      <c r="C50" s="1418"/>
    </row>
    <row r="51" spans="2:3" s="317" customFormat="1" ht="11.1" customHeight="1" x14ac:dyDescent="0.2">
      <c r="B51" s="1418" t="s">
        <v>1864</v>
      </c>
      <c r="C51" s="1418"/>
    </row>
    <row r="52" spans="2:3" s="317" customFormat="1" ht="11.1" customHeight="1" x14ac:dyDescent="0.2">
      <c r="B52" s="1418" t="s">
        <v>1865</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&amp;C&amp;"Times New Roman,Regular"&amp;11 138</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3"/>
  <sheetViews>
    <sheetView showGridLines="0" view="pageLayout" topLeftCell="A53" zoomScaleNormal="110" workbookViewId="0">
      <selection activeCell="C9" sqref="C9"/>
    </sheetView>
  </sheetViews>
  <sheetFormatPr defaultColWidth="9.140625" defaultRowHeight="12.75" x14ac:dyDescent="0.2"/>
  <cols>
    <col min="1" max="1" width="4.7109375" style="317" customWidth="1"/>
    <col min="2" max="2" width="11.140625" style="317" customWidth="1"/>
    <col min="3" max="3" width="63.5703125" style="317" customWidth="1"/>
    <col min="4" max="4" width="2" style="317" customWidth="1"/>
    <col min="5" max="5" width="18.7109375" style="1258" bestFit="1" customWidth="1"/>
    <col min="6" max="6" width="8.140625" style="317" customWidth="1"/>
    <col min="7" max="10" width="9.140625" style="317"/>
    <col min="11" max="11" width="6.7109375" style="317" customWidth="1"/>
    <col min="12" max="16384" width="9.140625" style="317"/>
  </cols>
  <sheetData>
    <row r="1" spans="2:6" s="1282" customFormat="1" ht="12.75" customHeight="1" x14ac:dyDescent="0.2">
      <c r="B1" s="2499" t="str">
        <f>'Single Audit Cover'!A7</f>
        <v>CCSD 146 Tinley Park</v>
      </c>
      <c r="C1" s="2499"/>
      <c r="D1" s="2499"/>
      <c r="E1" s="2499"/>
      <c r="F1" s="1489"/>
    </row>
    <row r="2" spans="2:6" s="1282" customFormat="1" ht="12.75" customHeight="1" x14ac:dyDescent="0.2">
      <c r="B2" s="2501">
        <f>'Single Audit Cover'!E7</f>
        <v>7016146004</v>
      </c>
      <c r="C2" s="2501"/>
      <c r="D2" s="2501"/>
      <c r="E2" s="2501"/>
      <c r="F2" s="1490"/>
    </row>
    <row r="3" spans="2:6" ht="12.75" customHeight="1" x14ac:dyDescent="0.2">
      <c r="B3" s="2522" t="s">
        <v>1866</v>
      </c>
      <c r="C3" s="2522"/>
      <c r="D3" s="2522"/>
      <c r="E3" s="2522"/>
      <c r="F3" s="1274"/>
    </row>
    <row r="4" spans="2:6" s="1282" customFormat="1" ht="12.75" customHeight="1" x14ac:dyDescent="0.2">
      <c r="B4" s="2533" t="str">
        <f>'Single Audit Cover'!A4</f>
        <v>Year Ending June 30, 2018</v>
      </c>
      <c r="C4" s="2533"/>
      <c r="D4" s="2533"/>
      <c r="E4" s="2533"/>
      <c r="F4" s="1491"/>
    </row>
    <row r="5" spans="2:6" s="1282" customFormat="1" ht="40.15" customHeight="1" x14ac:dyDescent="0.2">
      <c r="B5" s="1492"/>
      <c r="C5" s="328"/>
      <c r="D5" s="328"/>
      <c r="E5" s="1476"/>
      <c r="F5" s="328"/>
    </row>
    <row r="6" spans="2:6" s="1282" customFormat="1" ht="13.5" customHeight="1" x14ac:dyDescent="0.2">
      <c r="B6" s="1493" t="s">
        <v>1382</v>
      </c>
      <c r="C6" s="1493" t="s">
        <v>1381</v>
      </c>
      <c r="D6" s="1493"/>
      <c r="E6" s="1493" t="s">
        <v>1867</v>
      </c>
    </row>
    <row r="7" spans="2:6" ht="13.5" customHeight="1" x14ac:dyDescent="0.2">
      <c r="B7" s="1494"/>
      <c r="C7" s="324"/>
      <c r="D7" s="324"/>
      <c r="E7" s="1982"/>
      <c r="F7" s="324"/>
    </row>
    <row r="8" spans="2:6" ht="13.5" customHeight="1" x14ac:dyDescent="0.2">
      <c r="B8" s="1494" t="s">
        <v>2145</v>
      </c>
      <c r="C8" s="324" t="s">
        <v>2146</v>
      </c>
      <c r="D8" s="324"/>
      <c r="E8" s="1982" t="s">
        <v>2148</v>
      </c>
      <c r="F8" s="324"/>
    </row>
    <row r="9" spans="2:6" ht="13.5" customHeight="1" x14ac:dyDescent="0.2">
      <c r="B9" s="1495"/>
      <c r="C9" s="323" t="s">
        <v>2147</v>
      </c>
      <c r="D9" s="323"/>
      <c r="E9" s="1983"/>
      <c r="F9" s="323"/>
    </row>
    <row r="10" spans="2:6" ht="13.5" customHeight="1" x14ac:dyDescent="0.2">
      <c r="B10" s="1494"/>
      <c r="C10" s="323"/>
      <c r="D10" s="323"/>
      <c r="E10" s="1983"/>
      <c r="F10" s="323"/>
    </row>
    <row r="11" spans="2:6" ht="13.5" customHeight="1" x14ac:dyDescent="0.2">
      <c r="B11" s="1494" t="s">
        <v>2149</v>
      </c>
      <c r="C11" s="323" t="s">
        <v>2150</v>
      </c>
      <c r="D11" s="323"/>
      <c r="E11" s="1982" t="s">
        <v>2152</v>
      </c>
      <c r="F11" s="323"/>
    </row>
    <row r="12" spans="2:6" ht="13.5" customHeight="1" x14ac:dyDescent="0.2">
      <c r="B12" s="1494"/>
      <c r="C12" s="323" t="s">
        <v>2151</v>
      </c>
      <c r="D12" s="323"/>
      <c r="E12" s="1983"/>
      <c r="F12" s="323"/>
    </row>
    <row r="13" spans="2:6" ht="13.5" customHeight="1" x14ac:dyDescent="0.2">
      <c r="B13" s="1494"/>
      <c r="C13" s="323"/>
      <c r="D13" s="323"/>
      <c r="E13" s="1983"/>
      <c r="F13" s="323"/>
    </row>
    <row r="14" spans="2:6" ht="13.5" customHeight="1" x14ac:dyDescent="0.2">
      <c r="B14" s="1494" t="s">
        <v>2153</v>
      </c>
      <c r="C14" s="324" t="s">
        <v>2146</v>
      </c>
      <c r="D14" s="324"/>
      <c r="E14" s="1982" t="s">
        <v>2154</v>
      </c>
      <c r="F14" s="323"/>
    </row>
    <row r="15" spans="2:6" ht="13.5" customHeight="1" x14ac:dyDescent="0.2">
      <c r="B15" s="1495"/>
      <c r="C15" s="323" t="s">
        <v>2147</v>
      </c>
      <c r="D15" s="323"/>
      <c r="E15" s="1983"/>
      <c r="F15" s="323"/>
    </row>
    <row r="16" spans="2:6" ht="13.5" customHeight="1" x14ac:dyDescent="0.2">
      <c r="B16" s="1494"/>
      <c r="C16" s="323"/>
      <c r="D16" s="323"/>
      <c r="E16" s="1983"/>
      <c r="F16" s="323"/>
    </row>
    <row r="17" spans="2:6" ht="13.5" customHeight="1" x14ac:dyDescent="0.2">
      <c r="B17" s="1494" t="s">
        <v>2155</v>
      </c>
      <c r="C17" s="323" t="s">
        <v>2150</v>
      </c>
      <c r="D17" s="323"/>
      <c r="E17" s="1982" t="s">
        <v>2156</v>
      </c>
      <c r="F17" s="323"/>
    </row>
    <row r="18" spans="2:6" ht="13.5" customHeight="1" x14ac:dyDescent="0.2">
      <c r="B18" s="1494"/>
      <c r="C18" s="323" t="s">
        <v>2151</v>
      </c>
      <c r="D18" s="323"/>
      <c r="E18" s="1983"/>
      <c r="F18" s="323"/>
    </row>
    <row r="19" spans="2:6" ht="13.5" customHeight="1" x14ac:dyDescent="0.2">
      <c r="B19" s="1494"/>
      <c r="C19" s="323"/>
      <c r="D19" s="323"/>
      <c r="E19" s="1983"/>
      <c r="F19" s="323"/>
    </row>
    <row r="20" spans="2:6" ht="13.5" customHeight="1" x14ac:dyDescent="0.2">
      <c r="B20" s="1494"/>
      <c r="C20" s="323"/>
      <c r="D20" s="323"/>
      <c r="E20" s="1983"/>
      <c r="F20" s="323"/>
    </row>
    <row r="21" spans="2:6" ht="13.5" customHeight="1" x14ac:dyDescent="0.2">
      <c r="B21" s="1494"/>
      <c r="C21" s="323"/>
      <c r="D21" s="323"/>
      <c r="E21" s="1983"/>
      <c r="F21" s="323"/>
    </row>
    <row r="22" spans="2:6" ht="13.5" customHeight="1" x14ac:dyDescent="0.2">
      <c r="B22" s="1494"/>
      <c r="C22" s="323"/>
      <c r="D22" s="323"/>
      <c r="E22" s="1983"/>
      <c r="F22" s="323"/>
    </row>
    <row r="23" spans="2:6" ht="13.5" customHeight="1" x14ac:dyDescent="0.2">
      <c r="B23" s="1494"/>
      <c r="C23" s="323"/>
      <c r="D23" s="323"/>
      <c r="E23" s="1983"/>
      <c r="F23" s="323"/>
    </row>
    <row r="24" spans="2:6" ht="13.5" customHeight="1" x14ac:dyDescent="0.2">
      <c r="B24" s="1494"/>
      <c r="C24" s="323"/>
      <c r="D24" s="323"/>
      <c r="E24" s="1983"/>
      <c r="F24" s="323"/>
    </row>
    <row r="25" spans="2:6" ht="13.5" customHeight="1" x14ac:dyDescent="0.2">
      <c r="B25" s="1494"/>
      <c r="C25" s="323"/>
      <c r="D25" s="323"/>
      <c r="E25" s="1983"/>
      <c r="F25" s="323"/>
    </row>
    <row r="26" spans="2:6" ht="13.5" customHeight="1" x14ac:dyDescent="0.2">
      <c r="B26" s="1494"/>
      <c r="C26" s="323"/>
      <c r="D26" s="323"/>
      <c r="E26" s="1983"/>
      <c r="F26" s="323"/>
    </row>
    <row r="27" spans="2:6" ht="13.5" customHeight="1" x14ac:dyDescent="0.2">
      <c r="B27" s="1494"/>
      <c r="C27" s="323"/>
      <c r="D27" s="323"/>
      <c r="E27" s="1983"/>
      <c r="F27" s="323"/>
    </row>
    <row r="28" spans="2:6" ht="13.5" customHeight="1" x14ac:dyDescent="0.2">
      <c r="B28" s="1494"/>
      <c r="C28" s="323"/>
      <c r="D28" s="323"/>
      <c r="E28" s="1983"/>
      <c r="F28" s="323"/>
    </row>
    <row r="29" spans="2:6" ht="13.5" customHeight="1" x14ac:dyDescent="0.2">
      <c r="B29" s="1494"/>
      <c r="C29" s="323"/>
      <c r="D29" s="323"/>
      <c r="E29" s="1983"/>
      <c r="F29" s="323"/>
    </row>
    <row r="30" spans="2:6" ht="13.5" customHeight="1" x14ac:dyDescent="0.2">
      <c r="B30" s="1494"/>
      <c r="C30" s="323"/>
      <c r="D30" s="323"/>
      <c r="E30" s="1983"/>
      <c r="F30" s="323"/>
    </row>
    <row r="31" spans="2:6" ht="13.5" customHeight="1" x14ac:dyDescent="0.2">
      <c r="B31" s="1494"/>
      <c r="C31" s="323"/>
      <c r="D31" s="323"/>
      <c r="E31" s="1983"/>
      <c r="F31" s="323"/>
    </row>
    <row r="32" spans="2:6" ht="13.5" customHeight="1" x14ac:dyDescent="0.2">
      <c r="B32" s="1496"/>
      <c r="C32" s="323"/>
      <c r="D32" s="323"/>
      <c r="E32" s="1983"/>
      <c r="F32" s="323"/>
    </row>
    <row r="33" spans="2:6" ht="13.5" customHeight="1" x14ac:dyDescent="0.2">
      <c r="B33" s="1497"/>
      <c r="C33" s="323"/>
      <c r="D33" s="323"/>
      <c r="E33" s="1983"/>
      <c r="F33" s="323"/>
    </row>
    <row r="34" spans="2:6" ht="13.5" customHeight="1" x14ac:dyDescent="0.2">
      <c r="B34" s="1498"/>
      <c r="C34" s="323"/>
      <c r="D34" s="323"/>
      <c r="E34" s="1983"/>
      <c r="F34" s="323"/>
    </row>
    <row r="35" spans="2:6" ht="13.5" customHeight="1" x14ac:dyDescent="0.2">
      <c r="B35" s="1497"/>
      <c r="C35" s="323"/>
      <c r="D35" s="323"/>
      <c r="E35" s="1983"/>
      <c r="F35" s="323"/>
    </row>
    <row r="36" spans="2:6" ht="13.5" customHeight="1" x14ac:dyDescent="0.2">
      <c r="B36" s="1498"/>
      <c r="C36" s="323"/>
      <c r="D36" s="323"/>
      <c r="E36" s="1983"/>
      <c r="F36" s="323"/>
    </row>
    <row r="37" spans="2:6" ht="13.5" customHeight="1" x14ac:dyDescent="0.2">
      <c r="B37" s="1498"/>
      <c r="C37" s="323"/>
      <c r="D37" s="323"/>
      <c r="E37" s="1983"/>
      <c r="F37" s="323"/>
    </row>
    <row r="38" spans="2:6" ht="13.5" customHeight="1" x14ac:dyDescent="0.2">
      <c r="B38" s="1497"/>
      <c r="C38" s="323"/>
      <c r="D38" s="323"/>
      <c r="E38" s="1983"/>
      <c r="F38" s="323"/>
    </row>
    <row r="39" spans="2:6" ht="13.5" customHeight="1" x14ac:dyDescent="0.2">
      <c r="B39" s="1498"/>
      <c r="C39" s="323"/>
      <c r="D39" s="323"/>
      <c r="E39" s="1983"/>
      <c r="F39" s="323"/>
    </row>
    <row r="40" spans="2:6" ht="13.5" customHeight="1" x14ac:dyDescent="0.2">
      <c r="B40" s="1497"/>
      <c r="C40" s="323"/>
      <c r="D40" s="323"/>
      <c r="E40" s="1983"/>
      <c r="F40" s="323"/>
    </row>
    <row r="41" spans="2:6" ht="13.5" customHeight="1" x14ac:dyDescent="0.2">
      <c r="B41" s="1499"/>
      <c r="C41" s="323"/>
      <c r="D41" s="323"/>
      <c r="E41" s="1983"/>
      <c r="F41" s="323"/>
    </row>
    <row r="42" spans="2:6" ht="13.5" customHeight="1" x14ac:dyDescent="0.2">
      <c r="B42" s="1500"/>
      <c r="C42" s="323"/>
      <c r="D42" s="323"/>
      <c r="E42" s="1983"/>
      <c r="F42" s="323"/>
    </row>
    <row r="43" spans="2:6" ht="12.75" customHeight="1" x14ac:dyDescent="0.2">
      <c r="B43" s="1501"/>
      <c r="C43" s="1502"/>
      <c r="D43" s="1502"/>
      <c r="E43" s="1984"/>
      <c r="F43" s="323"/>
    </row>
    <row r="44" spans="2:6" ht="12.2" customHeight="1" x14ac:dyDescent="0.2">
      <c r="B44" s="1257" t="s">
        <v>1380</v>
      </c>
      <c r="C44" s="322"/>
      <c r="D44" s="322"/>
    </row>
    <row r="45" spans="2:6" ht="12.2" customHeight="1" x14ac:dyDescent="0.2">
      <c r="B45" s="1503" t="s">
        <v>1868</v>
      </c>
    </row>
    <row r="46" spans="2:6" ht="12.2" customHeight="1" x14ac:dyDescent="0.2">
      <c r="B46" s="1503" t="s">
        <v>1869</v>
      </c>
    </row>
    <row r="47" spans="2:6" ht="12.2" customHeight="1" x14ac:dyDescent="0.2">
      <c r="B47" s="1504" t="s">
        <v>1379</v>
      </c>
    </row>
    <row r="48" spans="2:6" ht="12.2" customHeight="1" x14ac:dyDescent="0.2">
      <c r="B48" s="1504" t="s">
        <v>1378</v>
      </c>
    </row>
    <row r="49" spans="2:6" ht="12.2" customHeight="1" x14ac:dyDescent="0.2">
      <c r="B49" s="1504" t="s">
        <v>1377</v>
      </c>
    </row>
    <row r="50" spans="2:6" ht="12.2" customHeight="1" x14ac:dyDescent="0.2">
      <c r="B50" s="1504" t="s">
        <v>1376</v>
      </c>
    </row>
    <row r="53" spans="2:6" ht="12.75" customHeight="1" x14ac:dyDescent="0.2"/>
    <row r="54" spans="2:6" ht="12.75" customHeight="1" x14ac:dyDescent="0.2">
      <c r="B54" s="1267"/>
    </row>
    <row r="55" spans="2:6" ht="12.75" customHeight="1" x14ac:dyDescent="0.2"/>
    <row r="56" spans="2:6" ht="12.75" customHeight="1" x14ac:dyDescent="0.2">
      <c r="B56" s="322"/>
      <c r="C56" s="322"/>
      <c r="D56" s="322"/>
      <c r="E56" s="1381"/>
      <c r="F56" s="322"/>
    </row>
    <row r="57" spans="2:6" ht="12.75" customHeight="1" x14ac:dyDescent="0.2">
      <c r="B57" s="322"/>
      <c r="C57" s="322"/>
      <c r="D57" s="322"/>
      <c r="E57" s="1381"/>
      <c r="F57" s="322"/>
    </row>
    <row r="58" spans="2:6" ht="12.75" customHeight="1" x14ac:dyDescent="0.2">
      <c r="B58" s="322"/>
      <c r="C58" s="322"/>
      <c r="D58" s="322"/>
      <c r="E58" s="1381"/>
      <c r="F58" s="322"/>
    </row>
    <row r="59" spans="2:6" ht="12.75" customHeight="1" x14ac:dyDescent="0.2">
      <c r="B59" s="322"/>
      <c r="C59" s="322"/>
      <c r="D59" s="322"/>
      <c r="E59" s="1381"/>
      <c r="F59" s="322"/>
    </row>
    <row r="60" spans="2:6" ht="12.75" customHeight="1" x14ac:dyDescent="0.2">
      <c r="B60" s="322"/>
      <c r="C60" s="322"/>
      <c r="D60" s="322"/>
      <c r="E60" s="1381"/>
      <c r="F60" s="322"/>
    </row>
    <row r="61" spans="2:6" ht="12.75" customHeight="1" x14ac:dyDescent="0.2">
      <c r="B61" s="322"/>
      <c r="C61" s="322"/>
      <c r="D61" s="322"/>
      <c r="E61" s="1381"/>
      <c r="F61" s="322"/>
    </row>
    <row r="62" spans="2:6" ht="12.75" customHeight="1" x14ac:dyDescent="0.2">
      <c r="B62" s="322"/>
      <c r="C62" s="322"/>
      <c r="D62" s="322"/>
      <c r="E62" s="1381"/>
      <c r="F62" s="322"/>
    </row>
    <row r="63" spans="2:6" ht="12.75" customHeight="1" x14ac:dyDescent="0.2">
      <c r="B63" s="322"/>
      <c r="C63" s="322"/>
      <c r="D63" s="322"/>
      <c r="E63" s="1381"/>
      <c r="F63" s="322"/>
    </row>
    <row r="67" spans="2:2" x14ac:dyDescent="0.2">
      <c r="B67" s="1417"/>
    </row>
    <row r="68" spans="2:2" x14ac:dyDescent="0.2">
      <c r="B68" s="1300"/>
    </row>
    <row r="69" spans="2:2" x14ac:dyDescent="0.2">
      <c r="B69" s="1300"/>
    </row>
    <row r="70" spans="2:2" x14ac:dyDescent="0.2">
      <c r="B70" s="1418"/>
    </row>
    <row r="71" spans="2:2" x14ac:dyDescent="0.2">
      <c r="B71" s="1418"/>
    </row>
    <row r="72" spans="2:2" x14ac:dyDescent="0.2">
      <c r="B72" s="1418"/>
    </row>
    <row r="73" spans="2:2" x14ac:dyDescent="0.2">
      <c r="B73" s="1300"/>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Footer>&amp;C&amp;"Times New Roman,Regular"&amp;11 139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4F8B6-F742-48D8-9F13-1076A7DC5E6F}">
  <ds:schemaRef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sharepoint/v3"/>
    <ds:schemaRef ds:uri="4d435f69-8686-490b-bd6d-b153bf22ab50"/>
    <ds:schemaRef ds:uri="http://schemas.microsoft.com/office/2006/documentManagement/types"/>
    <ds:schemaRef ds:uri="http://purl.org/dc/terms/"/>
    <ds:schemaRef ds:uri="http://purl.org/dc/dcmitype/"/>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SEFA-1</vt:lpstr>
      <vt:lpstr> SEFA-1 (2)</vt:lpstr>
      <vt:lpstr>SF&amp;QC Sec-1</vt:lpstr>
      <vt:lpstr>SF&amp;QC Sec-2(1)</vt:lpstr>
      <vt:lpstr>SF&amp;QC Sec-2(2)</vt:lpstr>
      <vt:lpstr>SF&amp;QC Sec-3(3)</vt:lpstr>
      <vt:lpstr>SF&amp;QC Sec-3(4)</vt:lpstr>
      <vt:lpstr>SSPAF</vt:lpstr>
      <vt:lpstr>' SEFA-1'!Print_Area</vt:lpstr>
      <vt:lpstr>' SEFA-1 (2)'!Print_Area</vt:lpstr>
      <vt:lpstr>'SEFA NOTES'!Print_Area</vt:lpstr>
      <vt:lpstr>'SEFA Reconcile'!Print_Area</vt:lpstr>
      <vt:lpstr>'SF&amp;QC Sec-1'!Print_Area</vt:lpstr>
      <vt:lpstr>'SF&amp;QC Sec-3(3)'!Print_Area</vt:lpstr>
      <vt:lpstr>'SF&amp;QC Sec-3(4)'!Print_Area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2018-12-12T19:23:35Z</cp:lastPrinted>
  <dcterms:created xsi:type="dcterms:W3CDTF">2003-10-29T19:06:34Z</dcterms:created>
  <dcterms:modified xsi:type="dcterms:W3CDTF">2018-12-17T14:05:02Z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