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8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F63" i="29" l="1"/>
  <c r="I26" i="183" l="1"/>
  <c r="F26" i="183"/>
  <c r="I19" i="183"/>
  <c r="I27" i="183" s="1"/>
  <c r="F19" i="183"/>
  <c r="L12" i="183"/>
  <c r="L24" i="183"/>
  <c r="L23" i="183"/>
  <c r="L17" i="183"/>
  <c r="L16" i="183"/>
  <c r="L14" i="183"/>
  <c r="B4" i="183"/>
  <c r="I25" i="179"/>
  <c r="F25" i="179"/>
  <c r="F27" i="183"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3" i="179" l="1"/>
  <c r="L22" i="179"/>
  <c r="L21" i="179"/>
  <c r="L20" i="179"/>
  <c r="L17" i="179"/>
  <c r="L16" i="179"/>
  <c r="L15" i="179"/>
  <c r="L14" i="179"/>
  <c r="L13" i="179"/>
  <c r="D14" i="171" l="1"/>
  <c r="D12" i="171"/>
  <c r="A10" i="169"/>
  <c r="A16" i="169"/>
  <c r="A15" i="169"/>
  <c r="A14" i="169"/>
  <c r="K18" i="169"/>
  <c r="G18" i="169"/>
  <c r="G15" i="169"/>
  <c r="I13" i="169"/>
  <c r="G11" i="169"/>
  <c r="G10" i="169"/>
  <c r="G9" i="169"/>
  <c r="G7" i="169"/>
  <c r="E7" i="169"/>
  <c r="A2" i="170"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B2" i="179" l="1"/>
  <c r="B2" i="183"/>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E26" i="108"/>
  <c r="G26" i="108"/>
  <c r="E27" i="108"/>
  <c r="G27" i="108"/>
  <c r="F31" i="108"/>
  <c r="F36" i="108"/>
  <c r="F37" i="108"/>
  <c r="G28" i="108"/>
  <c r="G29" i="108"/>
  <c r="D31" i="108"/>
  <c r="D37" i="108"/>
  <c r="E31" i="108"/>
  <c r="G31" i="108"/>
  <c r="E33" i="108"/>
  <c r="G33" i="108"/>
  <c r="E34" i="108"/>
  <c r="G34" i="108"/>
  <c r="E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D22" i="37"/>
  <c r="H22" i="37"/>
  <c r="J22" i="37"/>
  <c r="L22" i="37"/>
  <c r="D24" i="37"/>
  <c r="B4270" i="106" s="1"/>
  <c r="D4270" i="106" s="1"/>
  <c r="D4" i="7"/>
  <c r="B1760" i="106" s="1"/>
  <c r="D1760" i="106" s="1"/>
  <c r="D13" i="7"/>
  <c r="B3726" i="106" s="1"/>
  <c r="D3726" i="106" s="1"/>
  <c r="D9" i="7"/>
  <c r="B1767" i="106" s="1"/>
  <c r="D1767" i="106" s="1"/>
  <c r="B5770" i="106"/>
  <c r="D5770" i="106" s="1"/>
  <c r="F131" i="34"/>
  <c r="F130" i="34"/>
  <c r="F128" i="34"/>
  <c r="F127" i="34"/>
  <c r="F111" i="34"/>
  <c r="B5752" i="106"/>
  <c r="D5752" i="106" s="1"/>
  <c r="B5599" i="106"/>
  <c r="D5599" i="106" s="1"/>
  <c r="K274" i="5"/>
  <c r="H173" i="5"/>
  <c r="B5906" i="106" s="1"/>
  <c r="D5906" i="106" s="1"/>
  <c r="H109" i="5"/>
  <c r="B6025" i="106" s="1"/>
  <c r="D6025" i="106" s="1"/>
  <c r="F106" i="34"/>
  <c r="H4" i="4"/>
  <c r="B2655" i="106" s="1"/>
  <c r="D2655" i="106" s="1"/>
  <c r="H6" i="4"/>
  <c r="B2656" i="106" s="1"/>
  <c r="D2656" i="106" s="1"/>
  <c r="B1746" i="106"/>
  <c r="D1746" i="106" s="1"/>
  <c r="D17" i="7"/>
  <c r="B4104" i="106" s="1"/>
  <c r="D4104" i="106" s="1"/>
  <c r="D12" i="7"/>
  <c r="B1769" i="106" s="1"/>
  <c r="D1769" i="106" s="1"/>
  <c r="D15" i="7"/>
  <c r="B1772" i="106" s="1"/>
  <c r="D1772" i="106" s="1"/>
  <c r="L367" i="29" l="1"/>
  <c r="B5847" i="106"/>
  <c r="D5847" i="106" s="1"/>
  <c r="I173" i="5"/>
  <c r="B4216" i="106" s="1"/>
  <c r="D4216" i="106" s="1"/>
  <c r="D7245" i="106"/>
  <c r="J210" i="29"/>
  <c r="B7072" i="106" s="1"/>
  <c r="D7072" i="106" s="1"/>
  <c r="B6191" i="106"/>
  <c r="D6191" i="106" s="1"/>
  <c r="J41" i="3"/>
  <c r="D6103" i="106"/>
  <c r="K24" i="12"/>
  <c r="K76" i="4"/>
  <c r="B3586" i="106" s="1"/>
  <c r="D3586" i="106" s="1"/>
  <c r="L5" i="11"/>
  <c r="B2056" i="106" s="1"/>
  <c r="D2056" i="106" s="1"/>
  <c r="N22" i="3"/>
  <c r="B283" i="106" s="1"/>
  <c r="D283" i="106" s="1"/>
  <c r="F19" i="7"/>
  <c r="B1807" i="106" s="1"/>
  <c r="D1807" i="106" s="1"/>
  <c r="L342" i="29"/>
  <c r="C342" i="29"/>
  <c r="B7216" i="106" s="1"/>
  <c r="D7216" i="106" s="1"/>
  <c r="D11" i="7"/>
  <c r="B1768" i="106" s="1"/>
  <c r="D1768" i="106" s="1"/>
  <c r="F72" i="34"/>
  <c r="G14" i="4"/>
  <c r="B2609" i="106" s="1"/>
  <c r="D2609" i="106" s="1"/>
  <c r="G109" i="5"/>
  <c r="B6024" i="106" s="1"/>
  <c r="D6024" i="106" s="1"/>
  <c r="K184" i="29"/>
  <c r="F13" i="4" s="1"/>
  <c r="B2596" i="106" s="1"/>
  <c r="D2596" i="106" s="1"/>
  <c r="E29" i="108"/>
  <c r="D7" i="7"/>
  <c r="B1763" i="106" s="1"/>
  <c r="D1763" i="106" s="1"/>
  <c r="B1329" i="106"/>
  <c r="D1329" i="106" s="1"/>
  <c r="F61" i="34"/>
  <c r="F28" i="108"/>
  <c r="E28" i="108"/>
  <c r="B1223" i="106"/>
  <c r="D1223" i="106" s="1"/>
  <c r="D109" i="5"/>
  <c r="D5" i="7"/>
  <c r="B1761" i="106" s="1"/>
  <c r="D1761" i="106" s="1"/>
  <c r="B3649" i="106"/>
  <c r="D3649" i="106" s="1"/>
  <c r="G367" i="29"/>
  <c r="I210" i="29"/>
  <c r="C352" i="29"/>
  <c r="H112" i="29"/>
  <c r="B7018" i="106" s="1"/>
  <c r="D7018" i="106" s="1"/>
  <c r="K352" i="29"/>
  <c r="K13" i="4" s="1"/>
  <c r="B3572" i="106" s="1"/>
  <c r="D3572" i="106" s="1"/>
  <c r="H365" i="29"/>
  <c r="G210" i="29"/>
  <c r="B1410" i="106"/>
  <c r="D1410" i="106" s="1"/>
  <c r="L312" i="29"/>
  <c r="I342" i="29"/>
  <c r="B7222" i="106" s="1"/>
  <c r="D7222" i="106" s="1"/>
  <c r="E174" i="29"/>
  <c r="B1309" i="106" s="1"/>
  <c r="D1309" i="106" s="1"/>
  <c r="G38" i="108"/>
  <c r="E38" i="108"/>
  <c r="D36" i="108"/>
  <c r="G35" i="108"/>
  <c r="G30" i="108"/>
  <c r="E30" i="108"/>
  <c r="D27" i="108"/>
  <c r="D26" i="108"/>
  <c r="F26" i="108"/>
  <c r="F41" i="108" s="1"/>
  <c r="G43" i="108" s="1"/>
  <c r="B1126" i="106"/>
  <c r="D1126" i="106" s="1"/>
  <c r="B2724" i="106"/>
  <c r="D2724" i="106" s="1"/>
  <c r="F34" i="34"/>
  <c r="C172" i="5"/>
  <c r="C109" i="5"/>
  <c r="B5121" i="106" s="1"/>
  <c r="D5121" i="106" s="1"/>
  <c r="B5066" i="106"/>
  <c r="D5066" i="106" s="1"/>
  <c r="D54" i="36"/>
  <c r="H29" i="118"/>
  <c r="K28" i="118" s="1"/>
  <c r="O27" i="118" s="1"/>
  <c r="O29" i="118" s="1"/>
  <c r="D11" i="37"/>
  <c r="B4268" i="106"/>
  <c r="D4268"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H8"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F275" i="5"/>
  <c r="J7" i="4"/>
  <c r="B2657" i="106"/>
  <c r="D2657" i="106" s="1"/>
  <c r="D274" i="5"/>
  <c r="B7270" i="106"/>
  <c r="D41" i="108" l="1"/>
  <c r="E43" i="108" s="1"/>
  <c r="B7071" i="106"/>
  <c r="D7071" i="106" s="1"/>
  <c r="F66" i="34"/>
  <c r="B5914" i="106"/>
  <c r="D5914" i="106" s="1"/>
  <c r="D44" i="36"/>
  <c r="B1365" i="106"/>
  <c r="D1365" i="106" s="1"/>
  <c r="F65" i="34"/>
  <c r="B7733" i="106"/>
  <c r="D7733" i="106" s="1"/>
  <c r="K26" i="12"/>
  <c r="B7743" i="106" s="1"/>
  <c r="D7743" i="106" s="1"/>
  <c r="L16" i="11"/>
  <c r="B2061" i="106" s="1"/>
  <c r="D2061" i="106" s="1"/>
  <c r="K342" i="29"/>
  <c r="F13" i="34" s="1"/>
  <c r="G4" i="4"/>
  <c r="B2603" i="106" s="1"/>
  <c r="D2603" i="106" s="1"/>
  <c r="F6" i="4"/>
  <c r="B2593" i="106" s="1"/>
  <c r="D2593" i="106" s="1"/>
  <c r="B1317" i="106"/>
  <c r="D1317" i="106" s="1"/>
  <c r="B5356" i="106"/>
  <c r="D5356" i="106" s="1"/>
  <c r="D4" i="4"/>
  <c r="B2564" i="106" s="1"/>
  <c r="D2564" i="106" s="1"/>
  <c r="H367" i="29"/>
  <c r="B3660" i="106" s="1"/>
  <c r="D3660" i="106" s="1"/>
  <c r="B7242" i="106"/>
  <c r="D7242" i="106" s="1"/>
  <c r="J16" i="4"/>
  <c r="B6226" i="106" s="1"/>
  <c r="D6226" i="106" s="1"/>
  <c r="L114" i="29"/>
  <c r="B3621" i="106"/>
  <c r="D3621" i="106" s="1"/>
  <c r="C367" i="29"/>
  <c r="B3622" i="106" s="1"/>
  <c r="D3622" i="106" s="1"/>
  <c r="K365" i="29"/>
  <c r="K367" i="29" s="1"/>
  <c r="B7215" i="106"/>
  <c r="D7215" i="106" s="1"/>
  <c r="C114" i="29"/>
  <c r="B757" i="106" s="1"/>
  <c r="D757" i="106" s="1"/>
  <c r="B5214" i="106"/>
  <c r="D521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F8" i="4"/>
  <c r="D8" i="146" s="1"/>
  <c r="B1145" i="106"/>
  <c r="D1145" i="106" s="1"/>
  <c r="B7243" i="106"/>
  <c r="D7243" i="106" s="1"/>
  <c r="K16" i="4"/>
  <c r="J17" i="4"/>
  <c r="J19" i="4" s="1"/>
  <c r="B6229" i="106" s="1"/>
  <c r="D6229"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6227" i="106" l="1"/>
  <c r="D6227" i="106" s="1"/>
  <c r="J20" i="4"/>
  <c r="B6230" i="106" s="1"/>
  <c r="D6230" i="106" s="1"/>
  <c r="B2595" i="106"/>
  <c r="D2595"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<sst xmlns="http://schemas.openxmlformats.org/spreadsheetml/2006/main" count="5173" uniqueCount="2159">
  <si>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</si>
  <si>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</si>
  <si>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</si>
  <si>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</si>
  <si>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</si>
  <si>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</si>
  <si>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</si>
  <si>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</si>
  <si>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</si>
  <si>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</si>
  <si>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</si>
  <si>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</si>
  <si>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</si>
  <si>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</si>
  <si>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</si>
  <si>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</si>
  <si>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</si>
  <si>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</si>
  <si>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</si>
  <si>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</si>
  <si>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</si>
  <si>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</si>
  <si>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</si>
  <si>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</si>
  <si>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</si>
  <si>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</si>
  <si>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</si>
  <si>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</si>
  <si>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</si>
  <si>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</si>
  <si>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</si>
  <si>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</si>
  <si>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</si>
  <si>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</si>
  <si>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</si>
  <si>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</si>
  <si>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</si>
  <si>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</si>
  <si>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</si>
  <si>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</si>
  <si>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</si>
  <si>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</si>
  <si>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</si>
  <si>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</si>
  <si>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</si>
  <si>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</si>
  <si>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</si>
  <si>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</si>
  <si>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</si>
  <si>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</si>
  <si>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</si>
  <si>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</si>
  <si>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</si>
  <si>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</si>
  <si>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</si>
  <si>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</si>
  <si>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</si>
  <si>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</si>
  <si>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</si>
  <si>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</si>
  <si>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</si>
  <si>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</si>
  <si>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</si>
  <si>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</si>
  <si>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</si>
  <si>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</si>
  <si>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</si>
  <si>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</si>
  <si>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</si>
  <si>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</si>
  <si>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</si>
  <si>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</si>
  <si>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</si>
  <si>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</si>
  <si>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</si>
  <si>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</si>
  <si>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</si>
  <si>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</si>
  <si>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</si>
  <si>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</si>
  <si>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</si>
  <si>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</si>
  <si>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</si>
  <si>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</si>
  <si>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</si>
  <si>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</si>
  <si>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</si>
  <si>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</si>
  <si>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</si>
  <si>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</si>
  <si>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</si>
  <si>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</si>
  <si>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</si>
  <si>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</si>
  <si>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</si>
  <si>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</si>
  <si>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</si>
  <si>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</si>
  <si>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</si>
  <si>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</si>
  <si>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</si>
  <si>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</si>
  <si>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</si>
  <si>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</si>
  <si>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</si>
  <si>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</si>
  <si>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</si>
  <si>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</si>
  <si>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</si>
  <si>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</si>
  <si>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</si>
  <si>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</si>
  <si>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</si>
  <si>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</si>
  <si>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</si>
  <si>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</si>
  <si>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</si>
  <si>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</si>
  <si>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</si>
  <si>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</si>
  <si>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</si>
  <si>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</si>
  <si>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</si>
  <si>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</si>
  <si>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</si>
  <si>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</si>
  <si>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</si>
  <si>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</si>
  <si>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</si>
  <si>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</si>
  <si>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</si>
  <si>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</si>
  <si>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</si>
  <si>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</si>
  <si>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</si>
  <si>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</si>
  <si>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</si>
  <si>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</si>
  <si>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</si>
  <si>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</si>
  <si>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</si>
  <si>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</si>
  <si>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</si>
  <si>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</si>
  <si>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</si>
  <si>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</si>
  <si>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</si>
  <si>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</si>
  <si>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</si>
  <si>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</si>
  <si>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</si>
  <si>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</si>
  <si>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</si>
  <si>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</si>
  <si>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</si>
  <si>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</si>
  <si>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</si>
  <si>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</si>
  <si>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</si>
  <si>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</si>
  <si>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</si>
  <si>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</si>
  <si>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</si>
  <si>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</si>
  <si>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</si>
  <si>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</si>
  <si>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</si>
  <si>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</si>
  <si>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</si>
  <si>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</si>
  <si>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</si>
  <si>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</si>
  <si>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</si>
  <si>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</si>
  <si>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</si>
  <si>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</si>
  <si>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</si>
  <si>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</si>
  <si>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</si>
  <si>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</si>
  <si>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</si>
  <si>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</si>
  <si>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</si>
  <si>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</si>
  <si>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</si>
  <si>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</si>
  <si>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</si>
  <si>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</si>
  <si>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</si>
  <si>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</si>
  <si>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</si>
  <si>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</si>
  <si>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</si>
  <si>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</si>
  <si>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</si>
  <si>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</si>
  <si>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</si>
  <si>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</si>
  <si>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</si>
  <si>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</si>
  <si>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</si>
  <si>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</si>
  <si>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</si>
  <si>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</si>
  <si>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</si>
  <si>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</si>
  <si>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</si>
  <si>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</si>
  <si>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</si>
  <si>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</si>
  <si>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</si>
  <si>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</si>
  <si>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</si>
  <si>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</si>
  <si>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</si>
  <si>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</si>
  <si>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</si>
  <si>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</si>
  <si>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</si>
  <si>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</si>
  <si>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</si>
  <si>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</si>
  <si>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</si>
  <si>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</si>
  <si>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</si>
  <si>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</si>
  <si>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</si>
  <si>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</si>
  <si>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</si>
  <si>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</si>
  <si>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</si>
  <si>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</si>
  <si>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</si>
  <si>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</si>
  <si>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</si>
  <si>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</si>
  <si>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</si>
  <si>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</si>
  <si>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</si>
  <si>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</si>
  <si>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</si>
  <si>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</si>
  <si>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</si>
  <si>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</si>
  <si>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</si>
  <si>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</si>
  <si>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</si>
  <si>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</si>
  <si>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</si>
  <si>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</si>
  <si>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</si>
  <si>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</si>
  <si>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</si>
  <si>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</si>
  <si>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</si>
  <si>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</si>
  <si>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</si>
  <si>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</si>
  <si>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</si>
  <si>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</si>
  <si>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</si>
  <si>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</si>
  <si>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</si>
  <si>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</si>
  <si>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</si>
  <si>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</si>
  <si>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</si>
  <si>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</si>
  <si>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</si>
  <si>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</si>
  <si>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</si>
  <si>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</si>
  <si>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</si>
  <si>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</si>
  <si>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</si>
  <si>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</si>
  <si>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</si>
  <si>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</si>
  <si>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</si>
  <si>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</si>
  <si>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</si>
  <si>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</si>
  <si>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</si>
  <si>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</si>
  <si>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</si>
  <si>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</si>
  <si>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</si>
  <si>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</si>
  <si>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</si>
  <si>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</si>
  <si>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</si>
  <si>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</si>
  <si>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</si>
  <si>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</si>
  <si>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</si>
  <si>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</si>
  <si>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</si>
  <si>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</si>
  <si>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</si>
  <si>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</si>
  <si>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</si>
  <si>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</si>
  <si>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</si>
  <si>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</si>
  <si>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</si>
  <si>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</si>
  <si>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</si>
  <si>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</si>
  <si>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</si>
  <si>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</si>
  <si>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</si>
  <si>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</si>
  <si>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</si>
  <si>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</si>
  <si>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</si>
  <si>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</si>
  <si>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</si>
  <si>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</si>
  <si>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</si>
  <si>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</si>
  <si>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</si>
  <si>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</si>
  <si>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</si>
  <si>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</si>
  <si>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</si>
  <si>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</si>
  <si>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</si>
  <si>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</si>
  <si>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</si>
  <si>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</si>
  <si>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</si>
  <si>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</si>
  <si>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</si>
  <si>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</si>
  <si>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</si>
  <si>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</si>
  <si>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</si>
  <si>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</si>
  <si>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</si>
  <si>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</si>
  <si>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</si>
  <si>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</si>
  <si>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</si>
  <si>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</si>
  <si>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</si>
  <si>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</si>
  <si>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</si>
  <si>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</si>
  <si>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</si>
  <si>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</si>
  <si>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</si>
  <si>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</si>
  <si>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</si>
  <si>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</si>
  <si>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</si>
  <si>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</si>
  <si>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</si>
  <si>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</si>
  <si>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</si>
  <si>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</si>
  <si>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</si>
  <si>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</si>
  <si>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</si>
  <si>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</si>
  <si>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</si>
  <si>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</si>
  <si>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</si>
  <si>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</si>
  <si>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</si>
  <si>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</si>
  <si>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</si>
  <si>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</si>
  <si>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</si>
  <si>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</si>
  <si>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</si>
  <si>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</si>
  <si>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</si>
  <si>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</si>
  <si>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</si>
  <si>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</si>
  <si>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</si>
  <si>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</si>
  <si>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</si>
  <si>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</si>
  <si>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</si>
  <si>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</si>
  <si>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</si>
  <si>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</si>
  <si>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</si>
  <si>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</si>
  <si>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</si>
  <si>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</si>
  <si>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</si>
  <si>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</si>
  <si>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</si>
  <si>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</si>
  <si>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</si>
  <si>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</si>
  <si>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</si>
  <si>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</si>
  <si>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</si>
  <si>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</si>
  <si>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</si>
  <si>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</si>
  <si>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</si>
  <si>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</si>
  <si>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</si>
  <si>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</si>
  <si>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</si>
  <si>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</si>
  <si>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</si>
  <si>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</si>
  <si>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</si>
  <si>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</si>
  <si>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</si>
  <si>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</si>
  <si>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</si>
  <si>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</si>
  <si>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</si>
  <si>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</si>
  <si>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</si>
  <si>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</si>
  <si>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</si>
  <si>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</si>
  <si>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</si>
  <si>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</si>
  <si>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</si>
  <si>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</si>
  <si>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</si>
  <si>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</si>
  <si>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</si>
  <si>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</si>
  <si>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</si>
  <si>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</si>
  <si>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</si>
  <si>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</si>
  <si>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</si>
  <si>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</si>
  <si>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</si>
  <si>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</si>
  <si>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</si>
  <si>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</si>
  <si>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</si>
  <si>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</si>
  <si>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</si>
  <si>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</si>
  <si>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</si>
  <si>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</si>
  <si>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</si>
  <si>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</si>
  <si>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</si>
  <si>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</si>
  <si>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</si>
  <si>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</si>
  <si>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</si>
  <si>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</si>
  <si>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</si>
  <si>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</si>
  <si>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</si>
  <si>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</si>
  <si>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</si>
  <si>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</si>
  <si>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</si>
  <si>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</si>
  <si>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</si>
  <si>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</si>
  <si>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</si>
  <si>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</si>
  <si>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</si>
  <si>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</si>
  <si>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</si>
  <si>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</si>
  <si>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</si>
  <si>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</si>
  <si>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</si>
  <si>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</si>
  <si>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</si>
  <si>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</si>
  <si>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</si>
  <si>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</si>
  <si>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</si>
  <si>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</si>
  <si>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</si>
  <si>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</si>
  <si>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</si>
  <si>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</si>
  <si>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</si>
  <si>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</si>
  <si>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</si>
  <si>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</si>
  <si>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</si>
  <si>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</si>
  <si>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</si>
  <si>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</si>
  <si>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</si>
  <si>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</si>
  <si>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</si>
  <si>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</si>
  <si>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</si>
  <si>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</si>
  <si>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</si>
  <si>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</si>
  <si>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</si>
  <si>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</si>
  <si>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</si>
  <si>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</si>
  <si>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</si>
  <si>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</si>
  <si>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</si>
  <si>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</si>
  <si>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</si>
  <si>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</si>
  <si>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</si>
  <si>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</si>
  <si>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</si>
  <si>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</si>
  <si>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</si>
  <si>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</si>
  <si>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</si>
  <si>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</si>
  <si>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</si>
  <si>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</si>
  <si>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</si>
  <si>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</si>
  <si>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</si>
  <si>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</si>
  <si>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</si>
  <si>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</si>
  <si>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</si>
  <si>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</si>
  <si>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</si>
  <si>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</si>
  <si>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</si>
  <si>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</si>
  <si>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</si>
  <si>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</si>
  <si>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</si>
  <si>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</si>
  <si>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</si>
  <si>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</si>
  <si>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</si>
  <si>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</si>
  <si>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</si>
  <si>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</si>
  <si>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</si>
  <si>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</si>
  <si>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</si>
  <si>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</si>
  <si>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</si>
  <si>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</si>
  <si>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</si>
  <si>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</si>
  <si>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</si>
  <si>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</si>
  <si>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</si>
  <si>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</si>
  <si>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</si>
  <si>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</si>
  <si>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</si>
  <si>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</si>
  <si>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</si>
  <si>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</si>
  <si>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</si>
  <si>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</si>
  <si>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</si>
  <si>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</si>
  <si>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</si>
  <si>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</si>
  <si>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</si>
  <si>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</si>
  <si>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</si>
  <si>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</si>
  <si>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</si>
  <si>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</si>
  <si>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</si>
  <si>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</si>
  <si>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</si>
  <si>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</si>
  <si>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</si>
  <si>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</si>
  <si>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</si>
  <si>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</si>
  <si>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</si>
  <si>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</si>
  <si>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</si>
  <si>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</si>
  <si>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</si>
  <si>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</si>
  <si>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</si>
  <si>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</si>
  <si>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</si>
  <si>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</si>
  <si>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</si>
  <si>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</si>
  <si>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</si>
  <si>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</si>
  <si>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</si>
  <si>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</si>
  <si>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</si>
  <si>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</si>
  <si>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</si>
  <si>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</si>
  <si>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</si>
  <si>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</si>
  <si>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</si>
  <si>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</si>
  <si>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</si>
  <si>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</si>
  <si>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</si>
  <si>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</si>
  <si>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</si>
  <si>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</si>
  <si>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</si>
  <si>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</si>
  <si>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</si>
  <si>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</si>
  <si>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</si>
  <si>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</si>
  <si>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</si>
  <si>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</si>
  <si>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</si>
  <si>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</si>
  <si>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</si>
  <si>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</si>
  <si>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</si>
  <si>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</si>
  <si>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</si>
  <si>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</si>
  <si>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</si>
  <si>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</si>
  <si>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</si>
  <si>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</si>
  <si>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</si>
  <si>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</si>
  <si>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</si>
  <si>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</si>
  <si>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</si>
  <si>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</si>
  <si>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</si>
  <si>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</si>
  <si>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</si>
  <si>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</si>
  <si>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</si>
  <si>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</si>
  <si>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</si>
  <si>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</si>
  <si>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</si>
  <si>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</si>
  <si>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</si>
  <si>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</si>
  <si>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</si>
  <si>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</si>
  <si>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</si>
  <si>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</si>
  <si>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</si>
  <si>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</si>
  <si>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</si>
  <si>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</si>
  <si>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</si>
  <si>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</si>
  <si>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</si>
  <si>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</si>
  <si>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</si>
  <si>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</si>
  <si>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</si>
  <si>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</si>
  <si>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</si>
  <si>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</si>
  <si>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</si>
  <si>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</si>
  <si>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</si>
  <si>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</si>
  <si>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</si>
  <si>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</si>
  <si>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</si>
  <si>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</si>
  <si>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</si>
  <si>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</si>
  <si>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</si>
  <si>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</si>
  <si>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</si>
  <si>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</si>
  <si>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</si>
  <si>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</si>
  <si>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</si>
  <si>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</si>
  <si>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</si>
  <si>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</si>
  <si>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</si>
  <si>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</si>
  <si>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</si>
  <si>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</si>
  <si>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</si>
  <si>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</si>
  <si>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</si>
  <si>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</si>
  <si>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</si>
  <si>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</si>
  <si>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</si>
  <si>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</si>
  <si>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</si>
  <si>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</si>
  <si>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</si>
  <si>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</si>
  <si>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</si>
  <si>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</si>
  <si>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</si>
  <si>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</si>
  <si>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</si>
  <si>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</si>
  <si>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</si>
  <si>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</si>
  <si>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</si>
  <si>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</si>
  <si>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</si>
  <si>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</si>
  <si>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</si>
  <si>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</si>
  <si>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</si>
  <si>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</si>
  <si>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</si>
  <si>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</si>
  <si>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</si>
  <si>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</si>
  <si>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</si>
  <si>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</si>
  <si>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</si>
  <si>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</si>
  <si>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</si>
  <si>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</si>
  <si>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</si>
  <si>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</si>
  <si>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</si>
  <si>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</si>
  <si>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</si>
  <si>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</si>
  <si>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</si>
  <si>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</si>
  <si>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</si>
  <si>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</si>
  <si>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</si>
  <si>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</si>
  <si>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</si>
  <si>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</si>
  <si>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</si>
  <si>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</si>
  <si>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</si>
  <si>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</si>
  <si>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</si>
  <si>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</si>
  <si>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</si>
  <si>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</si>
  <si>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</si>
  <si>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</si>
  <si>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</si>
  <si>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</si>
  <si>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</si>
  <si>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</si>
  <si>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</si>
  <si>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</si>
  <si>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</si>
  <si>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</si>
  <si>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</si>
  <si>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</si>
  <si>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</si>
  <si>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</si>
  <si>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</si>
  <si>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</si>
  <si>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</si>
  <si>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</si>
  <si>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</si>
  <si>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</si>
  <si>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</si>
  <si>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</si>
  <si>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</si>
  <si>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</si>
  <si>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</si>
  <si>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</si>
  <si>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</si>
  <si>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</si>
  <si>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</si>
  <si>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</si>
  <si>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</si>
  <si>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</si>
  <si>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</si>
  <si>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</si>
  <si>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</si>
  <si>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</si>
  <si>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</si>
  <si>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</si>
  <si>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</si>
  <si>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</si>
  <si>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</si>
  <si>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</si>
  <si>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</si>
  <si>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</si>
  <si>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</si>
  <si>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</si>
  <si>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</si>
  <si>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</si>
  <si>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</si>
  <si>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</si>
  <si>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</si>
  <si>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</si>
  <si>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</si>
  <si>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</si>
  <si>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</si>
  <si>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</si>
  <si>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</si>
  <si>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</si>
  <si>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</si>
  <si>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</si>
  <si>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</si>
  <si>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</si>
  <si>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</si>
  <si>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</si>
  <si>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</si>
  <si>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</si>
  <si>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</si>
  <si>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</si>
  <si>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</si>
  <si>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</si>
  <si>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</si>
  <si>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</si>
  <si>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</si>
  <si>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</si>
  <si>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</si>
  <si>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</si>
  <si>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</si>
  <si>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</si>
  <si>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</si>
  <si>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</si>
  <si>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</si>
  <si>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</si>
  <si>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</si>
  <si>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</si>
  <si>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</si>
  <si>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</si>
  <si>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</si>
  <si>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</si>
  <si>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</si>
  <si>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</si>
  <si>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</si>
  <si>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</si>
  <si>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</si>
  <si>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</si>
  <si>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</si>
  <si>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</si>
  <si>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</si>
  <si>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</si>
  <si>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</si>
  <si>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</si>
  <si>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</si>
  <si>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</si>
  <si>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</si>
  <si>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</si>
  <si>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</si>
  <si>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</si>
  <si>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</si>
  <si>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</si>
  <si>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</si>
  <si>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</si>
  <si>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</si>
  <si>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</si>
  <si>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</si>
  <si>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</si>
  <si>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</si>
  <si>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</si>
  <si>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</si>
  <si>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</si>
  <si>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</si>
  <si>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</si>
  <si>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</si>
  <si>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</si>
  <si>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</si>
  <si>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</si>
  <si>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</si>
  <si>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</si>
  <si>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</si>
  <si>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</si>
  <si>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</si>
  <si>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</si>
  <si>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</si>
  <si>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</si>
  <si>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</si>
  <si>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</si>
  <si>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</si>
  <si>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</si>
  <si>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</si>
  <si>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</si>
  <si>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</si>
  <si>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</si>
  <si>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</si>
  <si>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</si>
  <si>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</si>
  <si>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</si>
  <si>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</si>
  <si>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</si>
  <si>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</si>
  <si>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</si>
  <si>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</si>
  <si>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</si>
  <si>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</si>
  <si>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</si>
  <si>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</si>
  <si>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</si>
  <si>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</si>
  <si>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</si>
  <si>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</si>
  <si>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</si>
  <si>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</si>
  <si>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</si>
  <si>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</si>
  <si>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</si>
  <si>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</si>
  <si>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</si>
  <si>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</si>
  <si>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</si>
  <si>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</si>
  <si>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</si>
  <si>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</si>
  <si>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</si>
  <si>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</si>
  <si>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</si>
  <si>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</si>
  <si>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</si>
  <si>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</si>
  <si>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</si>
  <si>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</si>
  <si>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</si>
  <si>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</si>
  <si>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</si>
  <si>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</si>
  <si>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</si>
  <si>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</si>
  <si>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</si>
  <si>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</si>
  <si>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</si>
  <si>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</si>
  <si>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</si>
  <si>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</si>
  <si>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</si>
  <si>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</si>
  <si>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</si>
  <si>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</si>
  <si>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</si>
  <si>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</si>
  <si>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</si>
  <si>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</si>
  <si>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</si>
  <si>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</si>
  <si>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</si>
  <si>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</si>
  <si>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</si>
  <si>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</si>
  <si>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</si>
  <si>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</si>
  <si>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</si>
  <si>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</si>
  <si>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</si>
  <si>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</si>
  <si>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</si>
  <si>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</si>
  <si>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</si>
  <si>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</si>
  <si>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</si>
  <si>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</si>
  <si>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</si>
  <si>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</si>
  <si>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</si>
  <si>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</si>
  <si>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</si>
  <si>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</si>
  <si>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</si>
  <si>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</si>
  <si>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</si>
  <si>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</si>
  <si>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</si>
  <si>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</si>
  <si>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</si>
  <si>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</si>
  <si>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</si>
  <si>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</si>
  <si>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</si>
  <si>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</si>
  <si>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</si>
  <si>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</si>
  <si>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</si>
  <si>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</si>
  <si>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</si>
  <si>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</si>
  <si>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</si>
  <si>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</si>
  <si>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</si>
  <si>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</si>
  <si>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</si>
  <si>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</si>
  <si>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</si>
  <si>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</si>
  <si>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</si>
  <si>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</si>
  <si>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</si>
  <si>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</si>
  <si>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</si>
  <si>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</si>
  <si>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</si>
  <si>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</si>
  <si>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</si>
  <si>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</si>
  <si>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</si>
  <si>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</si>
  <si>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</si>
  <si>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</si>
  <si>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</si>
  <si>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</si>
  <si>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</si>
  <si>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</si>
  <si>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</si>
  <si>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</si>
  <si>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</si>
  <si>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</si>
  <si>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</si>
  <si>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</si>
  <si>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</si>
  <si>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</si>
  <si>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</si>
  <si>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</si>
  <si>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</si>
  <si>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</si>
  <si>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</si>
  <si>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</si>
  <si>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</si>
  <si>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</si>
  <si>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</si>
  <si>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</si>
  <si>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</si>
  <si>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</si>
  <si>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</si>
  <si>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</si>
  <si>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</si>
  <si>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</si>
  <si>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</si>
  <si>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</si>
  <si>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</si>
  <si>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</si>
  <si>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</si>
  <si>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</si>
  <si>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</si>
  <si>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</si>
  <si>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</si>
  <si>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</si>
  <si>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</si>
  <si>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</si>
  <si>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</si>
  <si>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</si>
  <si>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</si>
  <si>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</si>
  <si>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</si>
  <si>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</si>
  <si>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</si>
  <si>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</si>
  <si>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</si>
  <si>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</si>
  <si>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</si>
  <si>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</si>
  <si>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</si>
  <si>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</si>
  <si>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</si>
  <si>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</si>
  <si>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</si>
  <si>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</si>
  <si>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</si>
  <si>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</si>
  <si>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</si>
  <si>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</si>
  <si>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</si>
  <si>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</si>
  <si>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</si>
  <si>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</si>
  <si>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</si>
  <si>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</si>
  <si>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</si>
  <si>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</si>
  <si>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</si>
  <si>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</si>
  <si>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</si>
  <si>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</si>
  <si>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</si>
  <si>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</si>
  <si>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</si>
  <si>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</si>
  <si>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</si>
  <si>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</si>
  <si>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</si>
  <si>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</si>
  <si>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</si>
  <si>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</si>
  <si>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</si>
  <si>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</si>
  <si>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</si>
  <si>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</si>
  <si>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</si>
  <si>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</si>
  <si>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</si>
  <si>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</si>
  <si>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</si>
  <si>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</si>
  <si>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</si>
  <si>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</si>
  <si>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</si>
  <si>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</si>
  <si>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</si>
  <si>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</si>
  <si>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</si>
  <si>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</si>
  <si>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</si>
  <si>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</si>
  <si>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</si>
  <si>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</si>
  <si>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</si>
  <si>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</si>
  <si>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</si>
  <si>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</si>
  <si>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</si>
  <si>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</si>
  <si>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</si>
  <si>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</si>
  <si>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</si>
  <si>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</si>
  <si>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</si>
  <si>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</si>
  <si>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</si>
  <si>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</si>
  <si>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</si>
  <si>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</si>
  <si>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</si>
  <si>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</si>
  <si>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</si>
  <si>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</si>
  <si>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</si>
  <si>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</si>
  <si>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</si>
  <si>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</si>
  <si>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</si>
  <si>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</si>
  <si>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</si>
  <si>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</si>
  <si>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</si>
  <si>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</si>
  <si>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</si>
  <si>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</si>
  <si>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</si>
  <si>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</si>
  <si>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</si>
  <si>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</si>
  <si>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</si>
  <si>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</si>
  <si>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</si>
  <si>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</si>
  <si>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</si>
  <si>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</si>
  <si>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</si>
  <si>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</si>
  <si>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</si>
  <si>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</si>
  <si>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</si>
  <si>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</si>
  <si>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</si>
  <si>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</si>
  <si>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</si>
  <si>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</si>
  <si>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</si>
  <si>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</si>
  <si>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</si>
  <si>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</si>
  <si>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</si>
  <si>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</si>
  <si>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</si>
  <si>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</si>
  <si>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</si>
  <si>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</si>
  <si>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</si>
  <si>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</si>
  <si>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</si>
  <si>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</si>
  <si>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</si>
  <si>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</si>
  <si>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</si>
  <si>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</si>
  <si>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</si>
  <si>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</si>
  <si>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</si>
  <si>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</si>
  <si>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</si>
  <si>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</si>
  <si>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</si>
  <si>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</si>
  <si>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</si>
  <si>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</si>
  <si>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</si>
  <si>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</si>
  <si>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</si>
  <si>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</si>
  <si>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</si>
  <si>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</si>
  <si>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</si>
  <si>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</si>
  <si>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</si>
  <si>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</si>
  <si>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</si>
  <si>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</si>
  <si>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</si>
  <si>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</si>
  <si>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</si>
  <si>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</si>
  <si>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</si>
  <si>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</si>
  <si>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</si>
  <si>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</si>
  <si>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</si>
  <si>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</si>
  <si>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</si>
  <si>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</si>
  <si>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</si>
  <si>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</si>
  <si>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</si>
  <si>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</si>
  <si>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</si>
  <si>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</si>
  <si>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</si>
  <si>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</si>
  <si>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</si>
  <si>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</si>
  <si>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</si>
  <si>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</si>
  <si>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</si>
  <si>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</si>
  <si>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</si>
  <si>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</si>
  <si>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</si>
  <si>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</si>
  <si>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</si>
  <si>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</si>
  <si>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</si>
  <si>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</si>
  <si>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</si>
  <si>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</si>
  <si>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</si>
  <si>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</si>
  <si>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</si>
  <si>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</si>
  <si>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</si>
  <si>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</si>
  <si>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</si>
  <si>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</si>
  <si>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</si>
  <si>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</si>
  <si>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</si>
  <si>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</si>
  <si>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</si>
  <si>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</si>
  <si>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</si>
  <si>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</si>
  <si>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</si>
  <si>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</si>
  <si>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</si>
  <si>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</si>
  <si>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</si>
  <si>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</si>
  <si>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</si>
  <si>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</si>
  <si>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</si>
  <si>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</si>
  <si>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</si>
  <si>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</si>
  <si>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</si>
  <si>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</si>
  <si>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</si>
  <si>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</si>
  <si>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</si>
  <si>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</si>
  <si>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</si>
  <si>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</si>
  <si>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</si>
  <si>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</si>
  <si>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</si>
  <si>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</si>
  <si>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</si>
  <si>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</si>
  <si>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</si>
  <si>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</si>
  <si>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</si>
  <si>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</si>
  <si>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</si>
  <si>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</si>
  <si>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</si>
  <si>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</si>
  <si>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</si>
  <si>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</si>
  <si>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</si>
  <si>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</si>
  <si>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</si>
  <si>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</si>
  <si>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</si>
  <si>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</si>
  <si>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</si>
  <si>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</si>
  <si>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</si>
  <si>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</si>
  <si>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</si>
  <si>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</si>
  <si>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</si>
  <si>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</si>
  <si>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</si>
  <si>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</si>
  <si>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</si>
  <si>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</si>
  <si>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</si>
  <si>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</si>
  <si>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</si>
  <si>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</si>
  <si>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</si>
  <si>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</si>
  <si>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</si>
  <si>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</si>
  <si>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</si>
  <si>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</si>
  <si>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</si>
  <si>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</si>
  <si>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</si>
  <si>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</si>
  <si>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</si>
  <si>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</si>
  <si>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</si>
  <si>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</si>
  <si>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</si>
  <si>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</si>
  <si>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</si>
  <si>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</si>
  <si>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</si>
  <si>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</si>
  <si>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</si>
  <si>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</si>
  <si>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</si>
  <si>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</si>
  <si>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</si>
  <si>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</si>
  <si>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</si>
  <si>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</si>
  <si>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</si>
  <si>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</si>
  <si>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</si>
  <si>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</si>
  <si>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</si>
  <si>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</si>
  <si>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</si>
  <si>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</si>
  <si>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</si>
  <si>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</si>
  <si>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</si>
  <si>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</si>
  <si>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</si>
  <si>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</si>
  <si>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</si>
  <si>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</si>
  <si>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</si>
  <si>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</si>
  <si>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</si>
  <si>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</si>
  <si>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</si>
  <si>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</si>
  <si>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</si>
  <si>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</si>
  <si>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</si>
  <si>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</si>
  <si>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</si>
  <si>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</si>
  <si>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</si>
  <si>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</si>
  <si>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</si>
  <si>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</si>
  <si>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</si>
  <si>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</si>
  <si>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</si>
  <si>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</si>
  <si>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</si>
  <si>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</si>
  <si>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</si>
  <si>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</si>
  <si>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</si>
  <si>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</si>
  <si>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</si>
  <si>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</si>
  <si>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</si>
  <si>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</si>
  <si>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</si>
  <si>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</si>
  <si>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</si>
  <si>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</si>
  <si>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</si>
  <si>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</si>
  <si>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</si>
  <si>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</si>
  <si>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</si>
  <si>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</si>
  <si>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</si>
  <si>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</si>
  <si>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</si>
  <si>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</si>
  <si>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</si>
  <si>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</si>
  <si>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</si>
  <si>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</si>
  <si>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</si>
  <si>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</si>
  <si>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</si>
  <si>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</si>
  <si>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</si>
  <si>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</si>
  <si>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</si>
  <si>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</si>
  <si>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</si>
  <si>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</si>
  <si>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</si>
  <si>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</si>
  <si>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</si>
  <si>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</si>
  <si>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</si>
  <si>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</si>
  <si>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</si>
  <si>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</si>
  <si>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</si>
  <si>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</si>
  <si>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</si>
  <si>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</si>
  <si>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</si>
  <si>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</si>
  <si>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</si>
  <si>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</si>
  <si>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</si>
  <si>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</si>
  <si>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</si>
  <si>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</si>
  <si>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</si>
  <si>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</si>
  <si>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</si>
  <si>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</si>
  <si>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</si>
  <si>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</si>
  <si>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</si>
  <si>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</si>
  <si>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</si>
  <si>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</si>
  <si>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</si>
  <si>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</si>
  <si>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</si>
  <si>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</si>
  <si>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</si>
  <si>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</si>
  <si>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</si>
  <si>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</si>
  <si>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</si>
  <si>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</si>
  <si>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</si>
  <si>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</si>
  <si>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</si>
  <si>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</si>
  <si>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</si>
  <si>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</si>
  <si>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</si>
  <si>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</si>
  <si>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</si>
  <si>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</si>
  <si>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</si>
  <si>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</si>
  <si>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</si>
  <si>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</si>
  <si>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</si>
  <si>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</si>
  <si>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</si>
  <si>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</si>
  <si>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</si>
  <si>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</si>
  <si>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</si>
  <si>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</si>
  <si>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</si>
  <si>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</si>
  <si>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</si>
  <si>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</si>
  <si>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</si>
  <si>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</si>
  <si>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</si>
  <si>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</si>
  <si>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</si>
  <si>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</si>
  <si>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</si>
  <si>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</si>
  <si>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</si>
  <si>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</si>
  <si>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</si>
  <si>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</si>
  <si>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</si>
  <si>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</si>
  <si>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</si>
  <si>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</si>
  <si>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</si>
  <si>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</si>
  <si>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</si>
  <si>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</si>
  <si>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</si>
  <si>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</si>
  <si>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</si>
  <si>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</si>
  <si>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</si>
  <si>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</si>
  <si>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</si>
  <si>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</si>
  <si>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</si>
  <si>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</si>
  <si>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</si>
  <si>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</si>
  <si>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</si>
  <si>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</si>
  <si>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</si>
  <si>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</si>
  <si>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</si>
  <si>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</si>
  <si>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</si>
  <si>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</si>
  <si>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</si>
  <si>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</si>
  <si>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</si>
  <si>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</si>
  <si>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</si>
  <si>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</si>
  <si>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</si>
  <si>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</si>
  <si>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</si>
  <si>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</si>
  <si>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</si>
  <si>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</si>
  <si>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</si>
  <si>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</si>
  <si>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</si>
  <si>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</si>
  <si>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</si>
  <si>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</si>
  <si>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</si>
  <si>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</si>
  <si>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</si>
  <si>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</si>
  <si>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</si>
  <si>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</si>
  <si>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</si>
  <si>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</si>
  <si>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</si>
  <si>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</si>
  <si>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</si>
  <si>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</si>
  <si>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</si>
  <si>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</si>
  <si>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</si>
  <si>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</si>
  <si>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</si>
  <si>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</si>
  <si>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</si>
  <si>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</si>
  <si>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</si>
  <si>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</si>
  <si>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</si>
  <si>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</si>
  <si>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</si>
  <si>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</si>
  <si>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</si>
  <si>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</si>
  <si>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</si>
  <si>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</si>
  <si>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</si>
  <si>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</si>
  <si>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</si>
  <si>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</si>
  <si>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</si>
  <si>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</si>
  <si>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</si>
  <si>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</si>
  <si>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</si>
  <si>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</si>
  <si>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</si>
  <si>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</si>
  <si>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</si>
  <si>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</si>
  <si>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</si>
  <si>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</si>
  <si>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</si>
  <si>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</si>
  <si>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</si>
  <si>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</si>
  <si>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</si>
  <si>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</si>
  <si>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</si>
  <si>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</si>
  <si>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</si>
  <si>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</si>
  <si>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</si>
  <si>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</si>
  <si>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</si>
  <si>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</si>
  <si>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</si>
  <si>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</si>
  <si>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</si>
  <si>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</si>
  <si>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</si>
  <si>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</si>
  <si>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</si>
  <si>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</si>
  <si>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</si>
  <si>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</si>
  <si>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</si>
  <si>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</si>
  <si>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</si>
  <si>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</si>
  <si>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</si>
  <si>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</si>
  <si>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</si>
  <si>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</si>
  <si>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</si>
  <si>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</si>
  <si>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</si>
  <si>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</si>
  <si>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</si>
  <si>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</si>
  <si>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</si>
  <si>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</si>
  <si>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</si>
  <si>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</si>
  <si>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</si>
  <si>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</si>
  <si>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</si>
  <si>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</si>
  <si>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</si>
  <si>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</si>
  <si>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</si>
  <si>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</si>
  <si>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</si>
  <si>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</si>
  <si>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</si>
  <si>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</si>
  <si>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</si>
  <si>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</si>
  <si>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</si>
  <si>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</si>
  <si>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</si>
  <si>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</si>
  <si>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</si>
  <si>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</si>
  <si>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</si>
  <si>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</si>
  <si>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</si>
  <si>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</si>
  <si>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</si>
  <si>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</si>
  <si>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</si>
  <si>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</si>
  <si>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</si>
  <si>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</si>
  <si>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</si>
  <si>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</si>
  <si>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</si>
  <si>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</si>
  <si>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</si>
  <si>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</si>
  <si>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</si>
  <si>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</si>
  <si>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</si>
  <si>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</si>
  <si>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</si>
  <si>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</si>
  <si>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</si>
  <si>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</si>
  <si>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</si>
  <si>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</si>
  <si>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</si>
  <si>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</si>
  <si>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</si>
  <si>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</si>
  <si>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</si>
  <si>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</si>
  <si>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</si>
  <si>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</si>
  <si>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</si>
  <si>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</si>
  <si>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</si>
  <si>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</si>
  <si>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</si>
  <si>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</si>
  <si>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</si>
  <si>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</si>
  <si>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</si>
  <si>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</si>
  <si>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</si>
  <si>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</si>
  <si>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</si>
  <si>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</si>
  <si>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</si>
  <si>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</si>
  <si>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</si>
  <si>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</si>
  <si>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</si>
  <si>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</si>
  <si>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</si>
  <si>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</si>
  <si>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</si>
  <si>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</si>
  <si>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</si>
  <si>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</si>
  <si>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</si>
  <si>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</si>
  <si>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</si>
  <si>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</si>
  <si>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</si>
  <si>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</si>
  <si>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</si>
  <si>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</si>
  <si>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</si>
  <si>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</si>
  <si>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</si>
  <si>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</si>
  <si>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</si>
  <si>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</si>
  <si>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</si>
  <si>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</si>
  <si>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</si>
  <si>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</si>
  <si>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</si>
  <si>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</si>
  <si>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</si>
  <si>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</si>
  <si>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</si>
  <si>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</si>
  <si>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</si>
  <si>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</si>
  <si>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</si>
  <si>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</si>
  <si>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</si>
  <si>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</si>
  <si>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</si>
  <si>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</si>
  <si>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</si>
  <si>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</si>
  <si>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</si>
  <si>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</si>
  <si>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</si>
  <si>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</si>
  <si>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</si>
  <si>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</si>
  <si>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</si>
  <si>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</si>
  <si>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</si>
  <si>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</si>
  <si>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</si>
  <si>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</si>
  <si>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</si>
  <si>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</si>
  <si>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</si>
  <si>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</si>
  <si>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</si>
  <si>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</si>
  <si>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</si>
  <si>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</si>
  <si>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</si>
  <si>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</si>
  <si>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</si>
  <si>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</si>
  <si>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</si>
  <si>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</si>
  <si>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</si>
  <si>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</si>
  <si>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</si>
  <si>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</si>
  <si>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</si>
  <si>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</si>
  <si>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</si>
  <si>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</si>
  <si>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</si>
  <si>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</si>
  <si>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</si>
  <si>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</si>
  <si>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</si>
  <si>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</si>
  <si>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</si>
  <si>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</si>
  <si>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</si>
  <si>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</si>
  <si>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</si>
  <si>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</si>
  <si>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</si>
  <si>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</si>
  <si>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</si>
  <si>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</si>
  <si>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</si>
  <si>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</si>
  <si>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</si>
  <si>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</si>
  <si>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</si>
  <si>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</si>
  <si>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</si>
  <si>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</si>
  <si>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</si>
  <si>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</si>
  <si>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</si>
  <si>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</si>
  <si>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</si>
  <si>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</si>
  <si>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</si>
  <si>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</si>
  <si>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</si>
  <si>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</si>
  <si>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</si>
  <si>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</si>
  <si>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</si>
  <si>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</si>
  <si>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</si>
  <si>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</si>
  <si>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</si>
  <si>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</si>
  <si>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</si>
  <si>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</si>
  <si>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</si>
  <si>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</si>
  <si>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</si>
  <si>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</si>
  <si>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</si>
  <si>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</si>
  <si>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</si>
  <si>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</si>
  <si>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</si>
  <si>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</si>
  <si>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</si>
  <si>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</si>
  <si>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</si>
  <si>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</si>
  <si>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</si>
  <si>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</si>
  <si>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</si>
  <si>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</si>
  <si>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</si>
  <si>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</si>
  <si>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</si>
  <si>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</si>
  <si>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</si>
  <si>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</si>
  <si>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</si>
  <si>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</si>
  <si>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</si>
  <si>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</si>
  <si>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</si>
  <si>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</si>
  <si>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</si>
  <si>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</si>
  <si>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</si>
  <si>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</si>
  <si>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</si>
  <si>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</si>
  <si>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</si>
  <si>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</si>
  <si>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</si>
  <si>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</si>
  <si>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</si>
  <si>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</si>
  <si>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</si>
  <si>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</si>
  <si>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</si>
  <si>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</si>
  <si>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</si>
  <si>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</si>
  <si>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</si>
  <si>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</si>
  <si>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</si>
  <si>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</si>
  <si>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</si>
  <si>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</si>
  <si>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</si>
  <si>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</si>
  <si>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</si>
  <si>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</si>
  <si>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</si>
  <si>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</si>
  <si>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</si>
  <si>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</si>
  <si>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</si>
  <si>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</si>
  <si>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</si>
  <si>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</si>
  <si>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</si>
  <si>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</si>
  <si>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</si>
  <si>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</si>
  <si>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</si>
  <si>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</si>
  <si>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</si>
  <si>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</si>
  <si>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</si>
  <si>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</si>
  <si>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</si>
  <si>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</si>
  <si>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</si>
  <si>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</si>
  <si>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</si>
  <si>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</si>
  <si>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</si>
  <si>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</si>
  <si>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</si>
  <si>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</si>
  <si>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</si>
  <si>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</si>
  <si>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</si>
  <si>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</si>
  <si>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</si>
  <si>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</si>
  <si>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</si>
  <si>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</si>
  <si>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</si>
  <si>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</si>
  <si>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</si>
  <si>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</si>
  <si>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</si>
  <si>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</si>
  <si>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</si>
  <si>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</si>
  <si>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</si>
  <si>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</si>
  <si>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</si>
  <si>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</si>
  <si>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</si>
  <si>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</si>
  <si>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</si>
  <si>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</si>
  <si>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</si>
  <si>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</si>
  <si>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</si>
  <si>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</si>
  <si>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</si>
  <si>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</si>
  <si>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</si>
  <si>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</si>
  <si>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</si>
  <si>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</si>
  <si>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</si>
  <si>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</si>
  <si>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</si>
  <si>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</si>
  <si>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</si>
  <si>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</si>
  <si>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</si>
  <si>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</si>
  <si>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</si>
  <si>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</si>
  <si>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</si>
  <si>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</si>
  <si>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</si>
  <si>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</si>
  <si>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</si>
  <si>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</si>
  <si>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</si>
  <si>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</si>
  <si>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</si>
  <si>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</si>
  <si>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</si>
  <si>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</si>
  <si>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</si>
  <si>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</si>
  <si>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</si>
  <si>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</si>
  <si>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</si>
  <si>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</si>
  <si>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</si>
  <si>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</si>
  <si>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</si>
  <si>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</si>
  <si>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</si>
  <si>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</si>
  <si>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</si>
  <si>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</si>
  <si>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</si>
  <si>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</si>
  <si>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</si>
  <si>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</si>
  <si>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</si>
  <si>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</si>
  <si>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</si>
  <si>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</si>
  <si>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</si>
  <si>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</si>
  <si>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</si>
  <si>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</si>
  <si>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</si>
  <si>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</si>
  <si>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</si>
  <si>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</si>
  <si>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</si>
  <si>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</si>
  <si>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</si>
  <si>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</si>
  <si>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</si>
  <si>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</si>
  <si>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</si>
  <si>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</si>
  <si>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</si>
  <si>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</si>
  <si>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</si>
  <si>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</si>
  <si>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</si>
  <si>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</si>
  <si>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</si>
  <si>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</si>
  <si>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</si>
  <si>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</si>
  <si>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</si>
  <si>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</si>
  <si>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</si>
  <si>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</si>
  <si>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</si>
  <si>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</si>
  <si>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</si>
  <si>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</si>
  <si>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</si>
  <si>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</si>
  <si>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</si>
  <si>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</si>
  <si>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</si>
  <si>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</si>
  <si>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</si>
  <si>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</si>
  <si>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</si>
  <si>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</si>
  <si>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</si>
  <si>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</si>
  <si>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</si>
  <si>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</si>
  <si>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</si>
  <si>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</si>
  <si>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</si>
  <si>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</si>
  <si>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</si>
  <si>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</si>
  <si>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</si>
  <si>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</si>
  <si>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</si>
  <si>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</si>
  <si>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</si>
  <si>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</si>
  <si>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</si>
  <si>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</si>
  <si>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</si>
  <si>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</si>
  <si>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</si>
  <si>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</si>
  <si>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</si>
  <si>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</si>
  <si>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</si>
  <si>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</si>
  <si>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</si>
  <si>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</si>
  <si>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</si>
  <si>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</si>
  <si>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</si>
  <si>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</si>
  <si>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</si>
  <si>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</si>
  <si>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</si>
  <si>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</si>
  <si>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</si>
  <si>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</si>
  <si>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</si>
  <si>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</si>
  <si>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</si>
  <si>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</si>
  <si>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150 WEST 137TH STREET</t>
  </si>
  <si>
    <t>RIVERDALE</t>
  </si>
  <si>
    <t>LHUTCHERSON@DISTRICT133.ORG</t>
  </si>
  <si>
    <t>DR. CAROL KUNST</t>
  </si>
  <si>
    <t>CKUNST@DISTRICT133.ORG</t>
  </si>
  <si>
    <t>708-841-3955</t>
  </si>
  <si>
    <t>708-841-5911</t>
  </si>
  <si>
    <t>CALUMET</t>
  </si>
  <si>
    <t>EUGENE C. VARNADO</t>
  </si>
  <si>
    <t>708-225-0225</t>
  </si>
  <si>
    <t>708-225-0665</t>
  </si>
  <si>
    <t>EVANS, MARSHALL &amp; PEASE, P.C.</t>
  </si>
  <si>
    <t>JEFFERY M. ROLLEFSON, CPA</t>
  </si>
  <si>
    <t>1875 HICKS ROAD</t>
  </si>
  <si>
    <t>ROLLING MEADOWS</t>
  </si>
  <si>
    <t>IL</t>
  </si>
  <si>
    <t>847-221-5700</t>
  </si>
  <si>
    <t>847-221-5701</t>
  </si>
  <si>
    <t>060-003973</t>
  </si>
  <si>
    <t>JEFF@EMPCPA.COM</t>
  </si>
  <si>
    <t>THE DISTRICT PREPARES ITS FINANCIAL STATEMENTS TO COMPLY WITH THE REGULATORY PROVISIONS PRESCRIBED BY THE ILLINOIS STATE BOARD OF EDUCATION (ISBE), WHICH IS A COMPREHENSIVE BASIS OF ACCOUNTING OTHER THAN GENERALLY ACCEPTED ACCOUNTING PRINCIPLES (GAAP).</t>
  </si>
  <si>
    <t>GENERAL OBLIGATION BONDS SERIES 2012</t>
  </si>
  <si>
    <t>GENERAL OBLIGATION</t>
  </si>
  <si>
    <t>US DEPARTMENT OF EDUCATION</t>
  </si>
  <si>
    <t>TITLE I - LOW INCOME (M)</t>
  </si>
  <si>
    <t>17-4300-00</t>
  </si>
  <si>
    <t>18-4300-00</t>
  </si>
  <si>
    <t>TITLE II - TEACHER QUALITY</t>
  </si>
  <si>
    <t>17-4932-00</t>
  </si>
  <si>
    <t>18-4932-00</t>
  </si>
  <si>
    <t>TITLE IVA - STUDENT SUPPORT AND ACADEMIC ENRICHMENT</t>
  </si>
  <si>
    <t>84.424A</t>
  </si>
  <si>
    <t>18-4400-00</t>
  </si>
  <si>
    <t>PASSED THROUGH THE EXCEPTIONAL CHILDREN HAVE OPPORTUNITIES (ECHO)</t>
  </si>
  <si>
    <t>PASSED THROUGH THE ILLINOIS STATE BOARD OF EDUCATION (ISBE)</t>
  </si>
  <si>
    <t>IDEA PRESCHOOL FLOW-THROUGH</t>
  </si>
  <si>
    <t>17-4600-00</t>
  </si>
  <si>
    <t>18-4600-00</t>
  </si>
  <si>
    <t>N/A</t>
  </si>
  <si>
    <t>IDEA FLOW-THROUGH</t>
  </si>
  <si>
    <t>17-4620-00</t>
  </si>
  <si>
    <t>18-4620-00</t>
  </si>
  <si>
    <t>TOTAL US DEPARTMENT OF EDUCATION</t>
  </si>
  <si>
    <t>US DEPARTMENT OF AGRICULTURE</t>
  </si>
  <si>
    <t>PASSED THROUGH THE ILLLINOIS STATE BOARD OF EDUCATION (ISBE)</t>
  </si>
  <si>
    <t>NATIONAL SCHOOL LUNCH</t>
  </si>
  <si>
    <t>17-4210-00</t>
  </si>
  <si>
    <t>18-4210-00</t>
  </si>
  <si>
    <t>SCHOOL BREAKFAST PROGRAM</t>
  </si>
  <si>
    <t>17-4220-00</t>
  </si>
  <si>
    <t>18-4220-00</t>
  </si>
  <si>
    <t>COMMODITIES - NON CASH</t>
  </si>
  <si>
    <t>FY 2018</t>
  </si>
  <si>
    <t>FRESH FRUITS AND VEGETABLES</t>
  </si>
  <si>
    <t>TOTAL US DEPARTMENT OF AGRICULTURE</t>
  </si>
  <si>
    <t>US DEPARTMENT OF HEALTH AND HUMAN SERVICES</t>
  </si>
  <si>
    <t>PASSED THROUGH THE ILLINOIS DEPARTMENT OF HEALTHCARE AND FAMILY SERVICES</t>
  </si>
  <si>
    <t>MEDICAID MATCHING - ADMINISTRATIVE OUTREACH</t>
  </si>
  <si>
    <t>17-4991-00</t>
  </si>
  <si>
    <t>18-4991-00</t>
  </si>
  <si>
    <t>TOTAL US DEPARTMENT OF HEALTH AND HUMAN SERVICES</t>
  </si>
  <si>
    <t>TOTAL FEDERAL AWARDS</t>
  </si>
  <si>
    <t>The accompanying Schedule of Expenditures of Federal Awards includes the federal grant activity of General George Patton School District 133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</si>
  <si>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</si>
  <si>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General George Patton School District 133 and is included in the Schedule of Expenditures of Federal Awards:</t>
  </si>
  <si>
    <t>ADVERSE</t>
  </si>
  <si>
    <t>UNMODIFIED</t>
  </si>
  <si>
    <t>TITLE I - LOW INCOME</t>
  </si>
  <si>
    <t>2017-001</t>
  </si>
  <si>
    <t>THE DISTRICT DOES NOT CURRENTLY</t>
  </si>
  <si>
    <t>REQUIRE PERSONNEL TO HAVE THE INDUSTRY</t>
  </si>
  <si>
    <t>-SPECIFIC TRAINING, KNOWLEDGE,</t>
  </si>
  <si>
    <t>AND LEVEL OF SKILL NEEDED TO PREPARE</t>
  </si>
  <si>
    <t>ITS FINANCIAL STATEMENTS.</t>
  </si>
  <si>
    <t>CORRECTIVE ACTION WAS TAKEN.</t>
  </si>
  <si>
    <t>ED - FOOD SERVICE - PURCHASED SERVICES</t>
  </si>
  <si>
    <t>PREFERRED MEALS</t>
  </si>
  <si>
    <t>10-2560-300</t>
  </si>
  <si>
    <t>CALUMET TOWNSHIP SCHOOL TREASURER</t>
  </si>
  <si>
    <t>ECHO JOINT AGREEMENT</t>
  </si>
  <si>
    <t>PROG. END 9/30</t>
  </si>
  <si>
    <t>General George Patton S 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</si>
</sst>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3" fontId="61"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center"/>
      <protection locked="0"/>
    </xf>
    <xf numFmtId="3" fontId="70" fillId="0" borderId="8"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0" fontId="77" fillId="0" borderId="0" xfId="3" applyFont="1" applyProtection="1"/>
    <xf numFmtId="3" fontId="61" fillId="0" borderId="22"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vertical="center" wrapText="1"/>
      <protection locked="0"/>
    </xf>
    <xf numFmtId="3" fontId="84" fillId="0" borderId="22" xfId="3" applyNumberFormat="1" applyFont="1" applyBorder="1" applyAlignment="1" applyProtection="1">
      <alignment horizontal="center"/>
      <protection locked="0"/>
    </xf>
    <xf numFmtId="3" fontId="93" fillId="0" borderId="22" xfId="3" applyNumberFormat="1" applyFont="1" applyBorder="1" applyAlignment="1" applyProtection="1">
      <alignment horizontal="center" vertical="center" wrapText="1"/>
      <protection locked="0"/>
    </xf>
    <xf numFmtId="0" fontId="54" fillId="0" borderId="0" xfId="3" quotePrefix="1" applyFont="1" applyProtection="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727364</xdr:colOff>
          <xdr:row>3</xdr:row>
          <xdr:rowOff>43295</xdr:rowOff>
        </xdr:from>
        <xdr:to>
          <xdr:col>1</xdr:col>
          <xdr:colOff>1638300</xdr:colOff>
          <xdr:row>7</xdr:row>
          <xdr:rowOff>81395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1939637</xdr:colOff>
          <xdr:row>3</xdr:row>
          <xdr:rowOff>8659</xdr:rowOff>
        </xdr:from>
        <xdr:to>
          <xdr:col>1</xdr:col>
          <xdr:colOff>2850574</xdr:colOff>
          <xdr:row>7</xdr:row>
          <xdr:rowOff>46759</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3203864</xdr:colOff>
          <xdr:row>3</xdr:row>
          <xdr:rowOff>25977</xdr:rowOff>
        </xdr:from>
        <xdr:to>
          <xdr:col>2</xdr:col>
          <xdr:colOff>131618</xdr:colOff>
          <xdr:row>7</xdr:row>
          <xdr:rowOff>64077</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6" t="s">
        <v>425</v>
      </c>
      <c r="J1" s="2047"/>
      <c r="K1" s="2047"/>
      <c r="L1" s="2047"/>
      <c r="M1" s="2047"/>
      <c r="N1" s="2047"/>
      <c r="O1" s="2047"/>
      <c r="P1" s="2047"/>
      <c r="Q1" s="2047"/>
      <c r="R1" s="2047"/>
      <c r="S1" s="2047"/>
    </row>
    <row r="2" spans="1:28" ht="12" customHeight="1" x14ac:dyDescent="0.2">
      <c r="A2" s="47" t="s">
        <v>1684</v>
      </c>
      <c r="D2" s="48"/>
      <c r="I2" s="2048" t="s">
        <v>1036</v>
      </c>
      <c r="J2" s="2047"/>
      <c r="K2" s="2047"/>
      <c r="L2" s="2047"/>
      <c r="M2" s="2047"/>
      <c r="N2" s="2047"/>
      <c r="O2" s="2047"/>
      <c r="P2" s="2047"/>
      <c r="Q2" s="2047"/>
      <c r="R2" s="2047"/>
      <c r="S2" s="2047"/>
    </row>
    <row r="3" spans="1:28" ht="12" customHeight="1" x14ac:dyDescent="0.2">
      <c r="A3" s="154" t="s">
        <v>1685</v>
      </c>
      <c r="B3" s="155"/>
      <c r="C3" s="155"/>
      <c r="D3" s="156"/>
      <c r="I3" s="2048" t="s">
        <v>54</v>
      </c>
      <c r="J3" s="2047"/>
      <c r="K3" s="2047"/>
      <c r="L3" s="2047"/>
      <c r="M3" s="2047"/>
      <c r="N3" s="2047"/>
      <c r="O3" s="2047"/>
      <c r="P3" s="2047"/>
      <c r="Q3" s="2047"/>
      <c r="R3" s="2047"/>
      <c r="S3" s="2047"/>
    </row>
    <row r="4" spans="1:28" ht="12" customHeight="1" x14ac:dyDescent="0.2">
      <c r="A4" s="37"/>
      <c r="I4" s="2048" t="s">
        <v>545</v>
      </c>
      <c r="J4" s="2047"/>
      <c r="K4" s="2047"/>
      <c r="L4" s="2047"/>
      <c r="M4" s="2047"/>
      <c r="N4" s="2047"/>
      <c r="O4" s="2047"/>
      <c r="P4" s="2047"/>
      <c r="Q4" s="2047"/>
      <c r="R4" s="2047"/>
      <c r="S4" s="2047"/>
    </row>
    <row r="5" spans="1:28" ht="14.1" customHeight="1" x14ac:dyDescent="0.2">
      <c r="B5" s="103" t="s">
        <v>2075</v>
      </c>
      <c r="C5" s="26" t="s">
        <v>966</v>
      </c>
      <c r="D5" s="84"/>
      <c r="E5" s="84"/>
      <c r="H5" s="38"/>
      <c r="I5" s="2055" t="s">
        <v>701</v>
      </c>
      <c r="J5" s="2000"/>
      <c r="K5" s="2000"/>
      <c r="L5" s="2000"/>
      <c r="M5" s="2000"/>
      <c r="N5" s="2000"/>
      <c r="O5" s="2000"/>
      <c r="P5" s="2000"/>
      <c r="Q5" s="2000"/>
      <c r="R5" s="2000"/>
      <c r="S5" s="2000"/>
    </row>
    <row r="6" spans="1:28" ht="14.1" customHeight="1" x14ac:dyDescent="0.2">
      <c r="B6" s="103"/>
      <c r="C6" s="26" t="s">
        <v>967</v>
      </c>
      <c r="D6" s="84"/>
      <c r="E6" s="84"/>
      <c r="I6" s="2054" t="s">
        <v>938</v>
      </c>
      <c r="J6" s="2000"/>
      <c r="K6" s="2000"/>
      <c r="L6" s="2000"/>
      <c r="M6" s="2000"/>
      <c r="N6" s="2000"/>
      <c r="O6" s="2000"/>
      <c r="P6" s="2000"/>
      <c r="Q6" s="2000"/>
      <c r="R6" s="2000"/>
      <c r="S6" s="2000"/>
    </row>
    <row r="7" spans="1:28" ht="12.2" customHeight="1" x14ac:dyDescent="0.2">
      <c r="I7" s="2049">
        <v>43281</v>
      </c>
      <c r="J7" s="2050"/>
      <c r="K7" s="2050"/>
      <c r="L7" s="2050"/>
      <c r="M7" s="2050"/>
      <c r="N7" s="2050"/>
      <c r="O7" s="2050"/>
      <c r="P7" s="2050"/>
      <c r="Q7" s="2050"/>
      <c r="R7" s="2050"/>
      <c r="S7" s="205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1" t="s">
        <v>695</v>
      </c>
      <c r="J9" s="2052"/>
      <c r="K9" s="2052"/>
      <c r="L9" s="2052"/>
      <c r="M9" s="2052"/>
      <c r="N9" s="2052"/>
      <c r="O9" s="2052"/>
      <c r="P9" s="2052"/>
      <c r="Q9" s="2052"/>
      <c r="R9" s="2052"/>
      <c r="S9" s="2053"/>
      <c r="T9" s="1996" t="s">
        <v>554</v>
      </c>
      <c r="U9" s="1997"/>
      <c r="V9" s="1997"/>
      <c r="W9" s="1997"/>
      <c r="X9" s="1997"/>
      <c r="Y9" s="1997"/>
      <c r="Z9" s="1997"/>
      <c r="AA9" s="1998"/>
    </row>
    <row r="10" spans="1:28" ht="13.5" customHeight="1" x14ac:dyDescent="0.2">
      <c r="A10" s="2005" t="s">
        <v>696</v>
      </c>
      <c r="B10" s="2006"/>
      <c r="C10" s="2006"/>
      <c r="D10" s="2006"/>
      <c r="E10" s="2006"/>
      <c r="F10" s="2006"/>
      <c r="G10" s="2006"/>
      <c r="H10" s="2007"/>
      <c r="I10" s="29"/>
      <c r="J10" s="30"/>
      <c r="K10" s="28"/>
      <c r="R10" s="30"/>
      <c r="S10" s="30"/>
      <c r="T10" s="1999"/>
      <c r="U10" s="2000"/>
      <c r="V10" s="2000"/>
      <c r="W10" s="2000"/>
      <c r="X10" s="2000"/>
      <c r="Y10" s="2000"/>
      <c r="Z10" s="2000"/>
      <c r="AA10" s="2001"/>
    </row>
    <row r="11" spans="1:28" ht="14.25" customHeight="1" x14ac:dyDescent="0.2">
      <c r="A11" s="2008" t="s">
        <v>1012</v>
      </c>
      <c r="B11" s="2009"/>
      <c r="C11" s="2009"/>
      <c r="D11" s="2009"/>
      <c r="E11" s="2009"/>
      <c r="F11" s="2009"/>
      <c r="G11" s="2009"/>
      <c r="H11" s="2010"/>
      <c r="I11" s="27"/>
      <c r="J11" s="74"/>
      <c r="K11" s="27"/>
      <c r="O11" s="147" t="s">
        <v>2075</v>
      </c>
      <c r="P11" s="100" t="s">
        <v>210</v>
      </c>
      <c r="Q11" s="30"/>
      <c r="R11" s="28"/>
      <c r="S11" s="27"/>
      <c r="T11" s="2002"/>
      <c r="U11" s="2003"/>
      <c r="V11" s="2003"/>
      <c r="W11" s="2003"/>
      <c r="X11" s="2003"/>
      <c r="Y11" s="2003"/>
      <c r="Z11" s="2003"/>
      <c r="AA11" s="2004"/>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16">
        <v>7016133002</v>
      </c>
      <c r="B13" s="2017"/>
      <c r="C13" s="2017"/>
      <c r="D13" s="2017"/>
      <c r="E13" s="2017"/>
      <c r="F13" s="2017"/>
      <c r="G13" s="2017"/>
      <c r="H13" s="2018"/>
      <c r="I13" s="31"/>
      <c r="J13" s="30"/>
      <c r="K13" s="28"/>
      <c r="L13" s="30"/>
      <c r="M13" s="30"/>
      <c r="N13" s="30"/>
      <c r="O13" s="30"/>
      <c r="P13" s="30"/>
      <c r="Q13" s="30"/>
      <c r="R13" s="30"/>
      <c r="S13" s="30"/>
      <c r="T13" s="2021" t="s">
        <v>2088</v>
      </c>
      <c r="U13" s="2022"/>
      <c r="V13" s="2022"/>
      <c r="W13" s="2022"/>
      <c r="X13" s="2022"/>
      <c r="Y13" s="2023"/>
      <c r="Z13" s="2023"/>
      <c r="AA13" s="2024"/>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14" t="s">
        <v>2076</v>
      </c>
      <c r="B15" s="2019"/>
      <c r="C15" s="2019"/>
      <c r="D15" s="2019"/>
      <c r="E15" s="2019"/>
      <c r="F15" s="2019"/>
      <c r="G15" s="2019"/>
      <c r="H15" s="2020"/>
      <c r="T15" s="1982" t="s">
        <v>2089</v>
      </c>
      <c r="U15" s="1983"/>
      <c r="V15" s="1983"/>
      <c r="W15" s="1983"/>
      <c r="X15" s="1983"/>
      <c r="Y15" s="2025"/>
      <c r="Z15" s="2025"/>
      <c r="AA15" s="202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4" t="s">
        <v>2158</v>
      </c>
      <c r="B17" s="2044"/>
      <c r="C17" s="2044"/>
      <c r="D17" s="2044"/>
      <c r="E17" s="2044"/>
      <c r="F17" s="2044"/>
      <c r="G17" s="2044"/>
      <c r="H17" s="2045"/>
      <c r="T17" s="2031" t="s">
        <v>2090</v>
      </c>
      <c r="U17" s="2032"/>
      <c r="V17" s="2032"/>
      <c r="W17" s="2032"/>
      <c r="X17" s="2032"/>
      <c r="Y17" s="2032"/>
      <c r="Z17" s="2032"/>
      <c r="AA17" s="2033"/>
    </row>
    <row r="18" spans="1:27" ht="13.5" customHeight="1" x14ac:dyDescent="0.2">
      <c r="A18" s="85" t="s">
        <v>551</v>
      </c>
      <c r="B18" s="76"/>
      <c r="C18" s="72"/>
      <c r="D18" s="76"/>
      <c r="E18" s="76"/>
      <c r="F18" s="76"/>
      <c r="G18" s="76"/>
      <c r="H18" s="56"/>
      <c r="I18" s="2041" t="s">
        <v>697</v>
      </c>
      <c r="J18" s="2042"/>
      <c r="K18" s="2042"/>
      <c r="L18" s="2042"/>
      <c r="M18" s="2042"/>
      <c r="N18" s="2042"/>
      <c r="O18" s="2042"/>
      <c r="P18" s="2042"/>
      <c r="Q18" s="2042"/>
      <c r="R18" s="2042"/>
      <c r="S18" s="2043"/>
      <c r="T18" s="85" t="s">
        <v>735</v>
      </c>
      <c r="U18" s="51"/>
      <c r="V18" s="72"/>
      <c r="W18" s="50"/>
      <c r="X18" s="85" t="s">
        <v>284</v>
      </c>
      <c r="Y18" s="81"/>
      <c r="Z18" s="158" t="s">
        <v>698</v>
      </c>
      <c r="AA18" s="46"/>
    </row>
    <row r="19" spans="1:27" ht="13.5" customHeight="1" x14ac:dyDescent="0.2">
      <c r="A19" s="2014" t="s">
        <v>2077</v>
      </c>
      <c r="B19" s="2015"/>
      <c r="C19" s="2015"/>
      <c r="D19" s="2015"/>
      <c r="E19" s="2015"/>
      <c r="F19" s="2015"/>
      <c r="G19" s="2015"/>
      <c r="H19" s="2013"/>
      <c r="I19" s="30"/>
      <c r="J19" s="99"/>
      <c r="K19" s="40"/>
      <c r="L19" s="38"/>
      <c r="M19" s="111" t="s">
        <v>333</v>
      </c>
      <c r="P19" s="27"/>
      <c r="Q19" s="27"/>
      <c r="R19" s="27"/>
      <c r="S19" s="31"/>
      <c r="T19" s="2014" t="s">
        <v>2091</v>
      </c>
      <c r="U19" s="2012"/>
      <c r="V19" s="2012"/>
      <c r="W19" s="2013"/>
      <c r="X19" s="2029" t="s">
        <v>2092</v>
      </c>
      <c r="Y19" s="2030"/>
      <c r="Z19" s="2027">
        <v>60008</v>
      </c>
      <c r="AA19" s="2028"/>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2011" t="s">
        <v>2078</v>
      </c>
      <c r="B21" s="2012"/>
      <c r="C21" s="2012"/>
      <c r="D21" s="2012"/>
      <c r="E21" s="2012"/>
      <c r="F21" s="2012"/>
      <c r="G21" s="2012"/>
      <c r="H21" s="2013"/>
      <c r="I21" s="2037" t="s">
        <v>699</v>
      </c>
      <c r="J21" s="2000"/>
      <c r="K21" s="2000"/>
      <c r="L21" s="2000"/>
      <c r="M21" s="2000"/>
      <c r="N21" s="2000"/>
      <c r="O21" s="2000"/>
      <c r="P21" s="2000"/>
      <c r="Q21" s="2000"/>
      <c r="R21" s="2000"/>
      <c r="S21" s="2001"/>
      <c r="T21" s="1979" t="s">
        <v>2093</v>
      </c>
      <c r="U21" s="1980"/>
      <c r="V21" s="1980"/>
      <c r="W21" s="1980"/>
      <c r="X21" s="1993" t="s">
        <v>2094</v>
      </c>
      <c r="Y21" s="1994"/>
      <c r="Z21" s="1994"/>
      <c r="AA21" s="1995"/>
    </row>
    <row r="22" spans="1:27" ht="13.5" customHeight="1" x14ac:dyDescent="0.2">
      <c r="A22" s="87" t="s">
        <v>552</v>
      </c>
      <c r="B22" s="59"/>
      <c r="C22" s="59"/>
      <c r="D22" s="59"/>
      <c r="E22" s="59"/>
      <c r="F22" s="59"/>
      <c r="G22" s="59"/>
      <c r="H22" s="60"/>
      <c r="I22" s="2038" t="s">
        <v>1504</v>
      </c>
      <c r="J22" s="2039"/>
      <c r="K22" s="2039"/>
      <c r="L22" s="2039"/>
      <c r="M22" s="2039"/>
      <c r="N22" s="2039"/>
      <c r="O22" s="2039"/>
      <c r="P22" s="2039"/>
      <c r="Q22" s="2039"/>
      <c r="R22" s="2039"/>
      <c r="S22" s="2040"/>
      <c r="T22" s="85" t="s">
        <v>1596</v>
      </c>
      <c r="U22" s="51"/>
      <c r="V22" s="72"/>
      <c r="W22" s="51"/>
      <c r="X22" s="159" t="s">
        <v>1385</v>
      </c>
      <c r="Z22" s="45"/>
      <c r="AA22" s="46"/>
    </row>
    <row r="23" spans="1:27" ht="13.5" customHeight="1" x14ac:dyDescent="0.2">
      <c r="A23" s="2034" t="s">
        <v>2079</v>
      </c>
      <c r="B23" s="2035"/>
      <c r="C23" s="2035"/>
      <c r="D23" s="2035"/>
      <c r="E23" s="2035"/>
      <c r="F23" s="2035"/>
      <c r="G23" s="2035"/>
      <c r="H23" s="2036"/>
      <c r="T23" s="1974" t="s">
        <v>2095</v>
      </c>
      <c r="U23" s="1975"/>
      <c r="V23" s="1975"/>
      <c r="W23" s="1975"/>
      <c r="X23" s="1990">
        <v>43466</v>
      </c>
      <c r="Y23" s="1991"/>
      <c r="Z23" s="1991"/>
      <c r="AA23" s="1992"/>
    </row>
    <row r="24" spans="1:27" ht="14.1" customHeight="1" x14ac:dyDescent="0.2">
      <c r="A24" s="88" t="s">
        <v>698</v>
      </c>
      <c r="B24" s="49"/>
      <c r="C24" s="49"/>
      <c r="D24" s="49"/>
      <c r="E24" s="49"/>
      <c r="F24" s="49"/>
      <c r="G24" s="49"/>
      <c r="H24" s="61"/>
      <c r="J24" s="2076">
        <f>IF(B5="x",IF(AUDITCHECK!D29="AFR form Incomplete.","",IF(AUDITCHECK!D29="Deficit reduction plan is required.","School District must complete a deficit reduction plan in the 2018-2019 Budget",)),"")</f>
        <v>0</v>
      </c>
      <c r="K24" s="2076"/>
      <c r="L24" s="2076"/>
      <c r="M24" s="2076"/>
      <c r="N24" s="2076"/>
      <c r="O24" s="2076"/>
      <c r="P24" s="2076"/>
      <c r="Q24" s="2076"/>
      <c r="R24" s="2076"/>
      <c r="S24" s="2077"/>
      <c r="T24" s="104" t="s">
        <v>552</v>
      </c>
      <c r="U24" s="105"/>
      <c r="V24" s="105"/>
      <c r="W24" s="105"/>
      <c r="X24" s="106"/>
      <c r="Y24" s="106"/>
      <c r="Z24" s="106"/>
      <c r="AA24" s="107"/>
    </row>
    <row r="25" spans="1:27" ht="14.1" customHeight="1" x14ac:dyDescent="0.2">
      <c r="A25" s="2011"/>
      <c r="B25" s="2012"/>
      <c r="C25" s="2012"/>
      <c r="D25" s="2012"/>
      <c r="E25" s="2012"/>
      <c r="F25" s="2012"/>
      <c r="G25" s="2012"/>
      <c r="H25" s="2013"/>
      <c r="I25" s="112"/>
      <c r="J25" s="2078"/>
      <c r="K25" s="2078"/>
      <c r="L25" s="2078"/>
      <c r="M25" s="2078"/>
      <c r="N25" s="2078"/>
      <c r="O25" s="2078"/>
      <c r="P25" s="2078"/>
      <c r="Q25" s="2078"/>
      <c r="R25" s="2078"/>
      <c r="S25" s="2079"/>
      <c r="T25" s="1971" t="s">
        <v>2096</v>
      </c>
      <c r="U25" s="1972"/>
      <c r="V25" s="1972"/>
      <c r="W25" s="1972"/>
      <c r="X25" s="1972"/>
      <c r="Y25" s="1972"/>
      <c r="Z25" s="1972"/>
      <c r="AA25" s="197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69" t="s">
        <v>1591</v>
      </c>
      <c r="J27" s="2042"/>
      <c r="K27" s="2042"/>
      <c r="L27" s="2042"/>
      <c r="M27" s="2042"/>
      <c r="N27" s="2042"/>
      <c r="O27" s="2042"/>
      <c r="P27" s="2042"/>
      <c r="Q27" s="2042"/>
      <c r="R27" s="2042"/>
      <c r="S27" s="2043"/>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t="s">
        <v>2075</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t="s">
        <v>2075</v>
      </c>
      <c r="C30" s="123" t="s">
        <v>1226</v>
      </c>
      <c r="D30" s="28"/>
      <c r="E30" s="28"/>
      <c r="F30" s="139"/>
      <c r="G30" s="113"/>
      <c r="H30" s="113"/>
      <c r="I30" s="54"/>
      <c r="J30" s="147" t="s">
        <v>2075</v>
      </c>
      <c r="K30" s="28" t="s">
        <v>597</v>
      </c>
      <c r="L30" s="101"/>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2075</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2075</v>
      </c>
      <c r="C34" s="32" t="s">
        <v>563</v>
      </c>
      <c r="D34" s="31"/>
      <c r="E34" s="31"/>
      <c r="F34" s="31"/>
      <c r="G34" s="31"/>
      <c r="H34" s="31"/>
      <c r="I34" s="54"/>
      <c r="J34" s="83"/>
      <c r="L34" s="148" t="s">
        <v>2075</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5" t="s">
        <v>2084</v>
      </c>
      <c r="Q35" s="2012"/>
      <c r="R35" s="201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74" t="s">
        <v>2080</v>
      </c>
      <c r="B38" s="2044"/>
      <c r="C38" s="2044"/>
      <c r="D38" s="2044"/>
      <c r="E38" s="2044"/>
      <c r="F38" s="2012"/>
      <c r="G38" s="2012"/>
      <c r="H38" s="2013"/>
      <c r="I38" s="2063" t="s">
        <v>2085</v>
      </c>
      <c r="J38" s="1983"/>
      <c r="K38" s="1983"/>
      <c r="L38" s="1983"/>
      <c r="M38" s="1983"/>
      <c r="N38" s="1983"/>
      <c r="O38" s="1983"/>
      <c r="P38" s="1984"/>
      <c r="Q38" s="1984"/>
      <c r="R38" s="1984"/>
      <c r="S38" s="1985"/>
      <c r="T38" s="1982"/>
      <c r="U38" s="1983"/>
      <c r="V38" s="1983"/>
      <c r="W38" s="1983"/>
      <c r="X38" s="1984"/>
      <c r="Y38" s="1984"/>
      <c r="Z38" s="1984"/>
      <c r="AA38" s="1985"/>
    </row>
    <row r="39" spans="1:27" ht="12" customHeight="1" x14ac:dyDescent="0.2">
      <c r="A39" s="2067" t="s">
        <v>552</v>
      </c>
      <c r="B39" s="2068"/>
      <c r="C39" s="72"/>
      <c r="D39" s="69"/>
      <c r="E39" s="69"/>
      <c r="F39" s="79"/>
      <c r="G39" s="69"/>
      <c r="H39" s="56"/>
      <c r="I39" s="2067" t="s">
        <v>552</v>
      </c>
      <c r="J39" s="2068"/>
      <c r="K39" s="2068"/>
      <c r="L39" s="2068"/>
      <c r="M39" s="2068"/>
      <c r="N39" s="67"/>
      <c r="O39" s="72"/>
      <c r="P39" s="72"/>
      <c r="Q39" s="78"/>
      <c r="R39" s="72"/>
      <c r="S39" s="56"/>
      <c r="T39" s="72" t="s">
        <v>552</v>
      </c>
      <c r="U39" s="51"/>
      <c r="V39" s="72"/>
      <c r="W39" s="50"/>
      <c r="X39" s="78"/>
      <c r="Y39" s="45"/>
      <c r="Z39" s="45"/>
      <c r="AA39" s="46"/>
    </row>
    <row r="40" spans="1:27" ht="13.5" customHeight="1" x14ac:dyDescent="0.2">
      <c r="A40" s="2070" t="s">
        <v>2081</v>
      </c>
      <c r="B40" s="2071"/>
      <c r="C40" s="2072"/>
      <c r="D40" s="2072"/>
      <c r="E40" s="2072"/>
      <c r="F40" s="2073"/>
      <c r="G40" s="2073"/>
      <c r="H40" s="2074"/>
      <c r="I40" s="1986"/>
      <c r="J40" s="1988"/>
      <c r="K40" s="1988"/>
      <c r="L40" s="1988"/>
      <c r="M40" s="1988"/>
      <c r="N40" s="1988"/>
      <c r="O40" s="1988"/>
      <c r="P40" s="1988"/>
      <c r="Q40" s="1988"/>
      <c r="R40" s="1988"/>
      <c r="S40" s="1989"/>
      <c r="T40" s="1986"/>
      <c r="U40" s="1987"/>
      <c r="V40" s="1988"/>
      <c r="W40" s="1988"/>
      <c r="X40" s="1988"/>
      <c r="Y40" s="1988"/>
      <c r="Z40" s="1988"/>
      <c r="AA40" s="198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0" t="s">
        <v>2082</v>
      </c>
      <c r="B42" s="2061"/>
      <c r="C42" s="2062"/>
      <c r="D42" s="2075" t="s">
        <v>2083</v>
      </c>
      <c r="E42" s="2061"/>
      <c r="F42" s="2061"/>
      <c r="G42" s="2061"/>
      <c r="H42" s="2062"/>
      <c r="I42" s="1981" t="s">
        <v>2086</v>
      </c>
      <c r="J42" s="1977"/>
      <c r="K42" s="1977"/>
      <c r="L42" s="1977"/>
      <c r="M42" s="1977"/>
      <c r="N42" s="1977"/>
      <c r="O42" s="1978"/>
      <c r="P42" s="1976" t="s">
        <v>2087</v>
      </c>
      <c r="Q42" s="1977"/>
      <c r="R42" s="1977"/>
      <c r="S42" s="1978"/>
      <c r="T42" s="1981"/>
      <c r="U42" s="1977"/>
      <c r="V42" s="1977"/>
      <c r="W42" s="1978"/>
      <c r="X42" s="1976"/>
      <c r="Y42" s="1977"/>
      <c r="Z42" s="1977"/>
      <c r="AA42" s="197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4"/>
      <c r="B44" s="2065"/>
      <c r="C44" s="2065"/>
      <c r="D44" s="2065"/>
      <c r="E44" s="2065"/>
      <c r="F44" s="2065"/>
      <c r="G44" s="2065"/>
      <c r="H44" s="2066"/>
      <c r="I44" s="2056"/>
      <c r="J44" s="2058"/>
      <c r="K44" s="2058"/>
      <c r="L44" s="2058"/>
      <c r="M44" s="2058"/>
      <c r="N44" s="2058"/>
      <c r="O44" s="2058"/>
      <c r="P44" s="2058"/>
      <c r="Q44" s="2058"/>
      <c r="R44" s="2058"/>
      <c r="S44" s="2059"/>
      <c r="T44" s="2056"/>
      <c r="U44" s="2057"/>
      <c r="V44" s="2057"/>
      <c r="W44" s="2057"/>
      <c r="X44" s="2057"/>
      <c r="Y44" s="2057"/>
      <c r="Z44" s="2058"/>
      <c r="AA44" s="2059"/>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0" zoomScale="110" zoomScaleNormal="110" workbookViewId="0">
      <selection activeCell="C33" sqref="C33:I34"/>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1968</v>
      </c>
      <c r="C4" s="161" t="s">
        <v>1231</v>
      </c>
      <c r="D4" s="168" t="s">
        <v>10</v>
      </c>
      <c r="E4" s="169" t="s">
        <v>22</v>
      </c>
    </row>
    <row r="5" spans="1:5" x14ac:dyDescent="0.2">
      <c r="A5" s="167" t="s">
        <v>1970</v>
      </c>
      <c r="C5" s="161" t="s">
        <v>1231</v>
      </c>
      <c r="D5" s="168" t="s">
        <v>10</v>
      </c>
      <c r="E5" s="169" t="s">
        <v>22</v>
      </c>
    </row>
    <row r="6" spans="1:5" x14ac:dyDescent="0.2">
      <c r="A6" s="167" t="s">
        <v>1969</v>
      </c>
      <c r="C6" s="161" t="s">
        <v>1231</v>
      </c>
      <c r="D6" s="166" t="s">
        <v>11</v>
      </c>
      <c r="E6" s="169" t="s">
        <v>998</v>
      </c>
    </row>
    <row r="7" spans="1:5" x14ac:dyDescent="0.2">
      <c r="A7" s="167" t="s">
        <v>1971</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1972</v>
      </c>
      <c r="C11" s="161" t="s">
        <v>1231</v>
      </c>
      <c r="D11" s="168" t="s">
        <v>14</v>
      </c>
      <c r="E11" s="169" t="s">
        <v>1218</v>
      </c>
    </row>
    <row r="12" spans="1:5" x14ac:dyDescent="0.2">
      <c r="B12" s="168" t="s">
        <v>1973</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1974</v>
      </c>
      <c r="C15" s="161" t="s">
        <v>1231</v>
      </c>
      <c r="D15" s="168" t="s">
        <v>17</v>
      </c>
      <c r="E15" s="169" t="s">
        <v>657</v>
      </c>
    </row>
    <row r="16" spans="1:5" x14ac:dyDescent="0.2">
      <c r="A16" s="171"/>
      <c r="B16" s="161" t="s">
        <v>1975</v>
      </c>
      <c r="C16" s="161" t="s">
        <v>1231</v>
      </c>
      <c r="D16" s="168" t="s">
        <v>702</v>
      </c>
      <c r="E16" s="169" t="s">
        <v>1100</v>
      </c>
    </row>
    <row r="17" spans="1:5" x14ac:dyDescent="0.2">
      <c r="B17" s="166" t="s">
        <v>1045</v>
      </c>
      <c r="C17" s="161" t="s">
        <v>1231</v>
      </c>
    </row>
    <row r="18" spans="1:5" x14ac:dyDescent="0.2">
      <c r="B18" s="166" t="s">
        <v>1981</v>
      </c>
      <c r="D18" s="168" t="s">
        <v>18</v>
      </c>
      <c r="E18" s="169" t="s">
        <v>1101</v>
      </c>
    </row>
    <row r="19" spans="1:5" x14ac:dyDescent="0.2">
      <c r="A19" s="167" t="s">
        <v>1161</v>
      </c>
      <c r="C19" s="161" t="s">
        <v>1231</v>
      </c>
      <c r="D19" s="168"/>
      <c r="E19" s="170"/>
    </row>
    <row r="20" spans="1:5" x14ac:dyDescent="0.2">
      <c r="B20" s="166" t="s">
        <v>1976</v>
      </c>
      <c r="C20" s="161" t="s">
        <v>1231</v>
      </c>
      <c r="D20" s="168" t="s">
        <v>19</v>
      </c>
      <c r="E20" s="169" t="s">
        <v>53</v>
      </c>
    </row>
    <row r="21" spans="1:5" x14ac:dyDescent="0.2">
      <c r="B21" s="166" t="s">
        <v>1977</v>
      </c>
      <c r="C21" s="161" t="s">
        <v>1231</v>
      </c>
      <c r="D21" s="168" t="s">
        <v>20</v>
      </c>
      <c r="E21" s="169" t="s">
        <v>1708</v>
      </c>
    </row>
    <row r="22" spans="1:5" x14ac:dyDescent="0.2">
      <c r="A22" s="167"/>
      <c r="B22" s="161" t="s">
        <v>1965</v>
      </c>
      <c r="C22" s="161" t="s">
        <v>1231</v>
      </c>
      <c r="D22" s="166" t="s">
        <v>1967</v>
      </c>
      <c r="E22" s="1858" t="s">
        <v>1709</v>
      </c>
    </row>
    <row r="23" spans="1:5" x14ac:dyDescent="0.2">
      <c r="A23" s="167"/>
      <c r="B23" s="161" t="s">
        <v>1966</v>
      </c>
      <c r="D23" s="166" t="s">
        <v>658</v>
      </c>
      <c r="E23" s="1858" t="s">
        <v>1016</v>
      </c>
    </row>
    <row r="24" spans="1:5" x14ac:dyDescent="0.2">
      <c r="A24" s="167" t="s">
        <v>1707</v>
      </c>
      <c r="C24" s="161" t="s">
        <v>1231</v>
      </c>
      <c r="D24" s="166" t="s">
        <v>1460</v>
      </c>
      <c r="E24" s="169" t="s">
        <v>1017</v>
      </c>
    </row>
    <row r="25" spans="1:5" x14ac:dyDescent="0.2">
      <c r="A25" s="167" t="s">
        <v>1978</v>
      </c>
      <c r="C25" s="161" t="s">
        <v>1231</v>
      </c>
      <c r="D25" s="168" t="s">
        <v>21</v>
      </c>
      <c r="E25" s="169" t="s">
        <v>1102</v>
      </c>
    </row>
    <row r="26" spans="1:5" x14ac:dyDescent="0.2">
      <c r="A26" s="167" t="s">
        <v>1979</v>
      </c>
      <c r="C26" s="161" t="s">
        <v>1231</v>
      </c>
      <c r="D26" s="168" t="s">
        <v>584</v>
      </c>
      <c r="E26" s="169" t="s">
        <v>1103</v>
      </c>
    </row>
    <row r="27" spans="1:5" x14ac:dyDescent="0.2">
      <c r="A27" s="167" t="s">
        <v>1980</v>
      </c>
      <c r="C27" s="161" t="s">
        <v>1231</v>
      </c>
      <c r="D27" s="168" t="s">
        <v>578</v>
      </c>
      <c r="E27" s="169" t="s">
        <v>704</v>
      </c>
    </row>
    <row r="28" spans="1:5" x14ac:dyDescent="0.2">
      <c r="A28" s="167" t="s">
        <v>1982</v>
      </c>
      <c r="D28" s="168" t="s">
        <v>705</v>
      </c>
      <c r="E28" s="169" t="s">
        <v>1433</v>
      </c>
    </row>
    <row r="29" spans="1:5" x14ac:dyDescent="0.2">
      <c r="A29" s="167" t="s">
        <v>1983</v>
      </c>
      <c r="D29" s="168" t="s">
        <v>1461</v>
      </c>
      <c r="E29" s="169" t="s">
        <v>1442</v>
      </c>
    </row>
    <row r="30" spans="1:5" x14ac:dyDescent="0.2">
      <c r="A30" s="172" t="s">
        <v>1984</v>
      </c>
      <c r="C30" s="161" t="s">
        <v>1231</v>
      </c>
      <c r="D30" s="168" t="s">
        <v>42</v>
      </c>
      <c r="E30" s="169" t="s">
        <v>1039</v>
      </c>
    </row>
    <row r="31" spans="1:5" x14ac:dyDescent="0.2">
      <c r="A31" s="167" t="s">
        <v>1602</v>
      </c>
      <c r="C31" s="161" t="s">
        <v>1231</v>
      </c>
      <c r="D31" s="166"/>
      <c r="E31" s="170"/>
    </row>
    <row r="32" spans="1:5" x14ac:dyDescent="0.2">
      <c r="B32" s="166" t="s">
        <v>1985</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83" t="s">
        <v>1125</v>
      </c>
      <c r="B35" s="2083"/>
      <c r="C35" s="2083"/>
      <c r="D35" s="2083"/>
      <c r="E35" s="208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6"/>
      <c r="B43" s="175"/>
    </row>
    <row r="44" spans="1:5" x14ac:dyDescent="0.2">
      <c r="A44" s="184" t="s">
        <v>1040</v>
      </c>
      <c r="B44" s="185" t="s">
        <v>2015</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1872</v>
      </c>
    </row>
    <row r="52" spans="1:3" x14ac:dyDescent="0.2">
      <c r="A52" s="189"/>
      <c r="B52" s="187" t="s">
        <v>1892</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1873</v>
      </c>
    </row>
    <row r="57" spans="1:3" x14ac:dyDescent="0.2">
      <c r="A57" s="192"/>
      <c r="B57" s="189" t="s">
        <v>1875</v>
      </c>
    </row>
    <row r="58" spans="1:3" x14ac:dyDescent="0.2">
      <c r="A58" s="193"/>
      <c r="B58" s="189" t="s">
        <v>1876</v>
      </c>
    </row>
    <row r="59" spans="1:3" x14ac:dyDescent="0.2">
      <c r="A59" s="194"/>
      <c r="B59" s="1506" t="s">
        <v>1877</v>
      </c>
    </row>
    <row r="60" spans="1:3" x14ac:dyDescent="0.2">
      <c r="A60" s="195"/>
      <c r="B60" s="1506" t="s">
        <v>1878</v>
      </c>
    </row>
    <row r="61" spans="1:3" ht="6" customHeight="1" x14ac:dyDescent="0.2">
      <c r="A61" s="196"/>
      <c r="B61" s="188"/>
    </row>
    <row r="62" spans="1:3" x14ac:dyDescent="0.2">
      <c r="A62" s="168" t="s">
        <v>1714</v>
      </c>
      <c r="B62" s="197" t="s">
        <v>1874</v>
      </c>
    </row>
    <row r="63" spans="1:3" x14ac:dyDescent="0.2">
      <c r="A63" s="187"/>
      <c r="B63" s="168" t="s">
        <v>1889</v>
      </c>
    </row>
    <row r="64" spans="1:3" x14ac:dyDescent="0.2">
      <c r="A64" s="194"/>
      <c r="B64" s="1508" t="s">
        <v>1879</v>
      </c>
    </row>
    <row r="65" spans="1:9" x14ac:dyDescent="0.2">
      <c r="A65" s="187"/>
      <c r="B65" s="168" t="s">
        <v>1890</v>
      </c>
    </row>
    <row r="66" spans="1:9" x14ac:dyDescent="0.2">
      <c r="A66" s="189"/>
      <c r="B66" s="189" t="s">
        <v>1880</v>
      </c>
    </row>
    <row r="67" spans="1:9" ht="12" customHeight="1" x14ac:dyDescent="0.2">
      <c r="A67" s="187"/>
      <c r="B67" s="168" t="s">
        <v>1891</v>
      </c>
    </row>
    <row r="68" spans="1:9" x14ac:dyDescent="0.2">
      <c r="A68" s="188"/>
      <c r="B68" s="189" t="s">
        <v>1881</v>
      </c>
    </row>
    <row r="69" spans="1:9" x14ac:dyDescent="0.2">
      <c r="A69" s="189"/>
      <c r="B69" s="187" t="s">
        <v>1882</v>
      </c>
    </row>
    <row r="70" spans="1:9" ht="13.5" customHeight="1" x14ac:dyDescent="0.2">
      <c r="A70" s="189"/>
      <c r="B70" s="187" t="s">
        <v>1883</v>
      </c>
    </row>
    <row r="71" spans="1:9" ht="12" customHeight="1" x14ac:dyDescent="0.2">
      <c r="A71" s="191"/>
      <c r="B71" s="1507" t="s">
        <v>1717</v>
      </c>
    </row>
    <row r="72" spans="1:9" ht="9" customHeight="1" x14ac:dyDescent="0.2">
      <c r="A72" s="191"/>
      <c r="B72" s="198"/>
    </row>
    <row r="73" spans="1:9" x14ac:dyDescent="0.2">
      <c r="A73" s="188" t="s">
        <v>1718</v>
      </c>
      <c r="B73" s="168" t="s">
        <v>1885</v>
      </c>
    </row>
    <row r="74" spans="1:9" x14ac:dyDescent="0.2">
      <c r="A74" s="188"/>
      <c r="B74" s="168" t="s">
        <v>1884</v>
      </c>
    </row>
    <row r="75" spans="1:9" ht="8.25" customHeight="1" x14ac:dyDescent="0.2">
      <c r="A75" s="188"/>
      <c r="B75" s="188"/>
    </row>
    <row r="76" spans="1:9" ht="12.2" customHeight="1" x14ac:dyDescent="0.2">
      <c r="A76" s="188" t="s">
        <v>1719</v>
      </c>
      <c r="B76" s="197" t="s">
        <v>1886</v>
      </c>
    </row>
    <row r="77" spans="1:9" ht="12.2" customHeight="1" x14ac:dyDescent="0.2">
      <c r="A77" s="189"/>
      <c r="B77" s="168" t="s">
        <v>1720</v>
      </c>
      <c r="C77" s="178"/>
      <c r="D77" s="179"/>
      <c r="E77" s="180"/>
      <c r="F77" s="180"/>
      <c r="G77" s="180"/>
      <c r="H77" s="180"/>
      <c r="I77" s="180"/>
    </row>
    <row r="78" spans="1:9" ht="11.25" customHeight="1" x14ac:dyDescent="0.2">
      <c r="A78" s="189"/>
      <c r="B78" s="189" t="s">
        <v>1888</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1887</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C33" sqref="C33:I3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84" t="s">
        <v>1230</v>
      </c>
      <c r="B2" s="2084"/>
      <c r="C2" s="2084"/>
      <c r="D2" s="2084"/>
      <c r="E2" s="2084"/>
      <c r="F2" s="2084"/>
      <c r="G2" s="2084"/>
      <c r="H2" s="2084"/>
      <c r="I2" s="2084"/>
      <c r="J2" s="2084"/>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1894</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98" t="s">
        <v>1731</v>
      </c>
      <c r="B35" s="2099"/>
      <c r="C35" s="2099"/>
      <c r="D35" s="2099"/>
      <c r="E35" s="2100"/>
      <c r="F35" s="2100"/>
      <c r="G35" s="2100"/>
      <c r="H35" s="2100"/>
      <c r="I35" s="2100"/>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98" t="s">
        <v>331</v>
      </c>
      <c r="B47" s="2101"/>
      <c r="C47" s="2101"/>
      <c r="D47" s="2101"/>
      <c r="E47" s="2102"/>
      <c r="F47" s="2102"/>
      <c r="G47" s="2102"/>
      <c r="H47" s="2102"/>
      <c r="I47" s="2102"/>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2075</v>
      </c>
      <c r="C53" s="178">
        <v>22</v>
      </c>
      <c r="D53" s="246" t="s">
        <v>1537</v>
      </c>
      <c r="E53" s="247"/>
      <c r="F53" s="248"/>
      <c r="G53" s="248" t="s">
        <v>1536</v>
      </c>
      <c r="H53" s="249">
        <v>34335</v>
      </c>
      <c r="I53" s="236" t="s">
        <v>1562</v>
      </c>
    </row>
    <row r="54" spans="1:10" s="180" customFormat="1" x14ac:dyDescent="0.2">
      <c r="A54" s="218"/>
      <c r="B54" s="219" t="s">
        <v>2075</v>
      </c>
      <c r="C54" s="178">
        <v>23</v>
      </c>
      <c r="D54" s="242" t="s">
        <v>1429</v>
      </c>
      <c r="E54" s="247"/>
      <c r="F54" s="248"/>
    </row>
    <row r="55" spans="1:10" s="180" customFormat="1" x14ac:dyDescent="0.2">
      <c r="A55" s="213"/>
      <c r="B55" s="250"/>
      <c r="C55" s="250"/>
      <c r="D55" s="230" t="s">
        <v>1893</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05" t="s">
        <v>2097</v>
      </c>
      <c r="C57" s="2106"/>
      <c r="D57" s="2106"/>
      <c r="E57" s="2106"/>
      <c r="F57" s="2106"/>
      <c r="G57" s="2106"/>
      <c r="H57" s="2106"/>
      <c r="I57" s="2106"/>
      <c r="J57" s="2107"/>
    </row>
    <row r="58" spans="1:10" s="180" customFormat="1" x14ac:dyDescent="0.2">
      <c r="A58" s="252"/>
      <c r="B58" s="2108"/>
      <c r="C58" s="2109"/>
      <c r="D58" s="2109"/>
      <c r="E58" s="2109"/>
      <c r="F58" s="2109"/>
      <c r="G58" s="2109"/>
      <c r="H58" s="2109"/>
      <c r="I58" s="2109"/>
      <c r="J58" s="2110"/>
    </row>
    <row r="59" spans="1:10" s="180" customFormat="1" x14ac:dyDescent="0.2">
      <c r="A59" s="252"/>
      <c r="B59" s="2108"/>
      <c r="C59" s="2109"/>
      <c r="D59" s="2109"/>
      <c r="E59" s="2109"/>
      <c r="F59" s="2109"/>
      <c r="G59" s="2109"/>
      <c r="H59" s="2109"/>
      <c r="I59" s="2109"/>
      <c r="J59" s="2110"/>
    </row>
    <row r="60" spans="1:10" s="180" customFormat="1" x14ac:dyDescent="0.2">
      <c r="A60" s="252"/>
      <c r="B60" s="2108"/>
      <c r="C60" s="2109"/>
      <c r="D60" s="2109"/>
      <c r="E60" s="2109"/>
      <c r="F60" s="2109"/>
      <c r="G60" s="2109"/>
      <c r="H60" s="2109"/>
      <c r="I60" s="2109"/>
      <c r="J60" s="2110"/>
    </row>
    <row r="61" spans="1:10" s="180" customFormat="1" x14ac:dyDescent="0.2">
      <c r="A61" s="252"/>
      <c r="B61" s="2108"/>
      <c r="C61" s="2109"/>
      <c r="D61" s="2109"/>
      <c r="E61" s="2109"/>
      <c r="F61" s="2109"/>
      <c r="G61" s="2109"/>
      <c r="H61" s="2109"/>
      <c r="I61" s="2109"/>
      <c r="J61" s="2110"/>
    </row>
    <row r="62" spans="1:10" s="180" customFormat="1" x14ac:dyDescent="0.2">
      <c r="A62" s="252"/>
      <c r="B62" s="2108"/>
      <c r="C62" s="2109"/>
      <c r="D62" s="2109"/>
      <c r="E62" s="2109"/>
      <c r="F62" s="2109"/>
      <c r="G62" s="2109"/>
      <c r="H62" s="2109"/>
      <c r="I62" s="2109"/>
      <c r="J62" s="2110"/>
    </row>
    <row r="63" spans="1:10" s="180" customFormat="1" x14ac:dyDescent="0.2">
      <c r="A63" s="252"/>
      <c r="B63" s="2108"/>
      <c r="C63" s="2109"/>
      <c r="D63" s="2109"/>
      <c r="E63" s="2109"/>
      <c r="F63" s="2109"/>
      <c r="G63" s="2109"/>
      <c r="H63" s="2109"/>
      <c r="I63" s="2109"/>
      <c r="J63" s="2110"/>
    </row>
    <row r="64" spans="1:10" s="180" customFormat="1" x14ac:dyDescent="0.2">
      <c r="A64" s="252"/>
      <c r="B64" s="2108"/>
      <c r="C64" s="2109"/>
      <c r="D64" s="2109"/>
      <c r="E64" s="2109"/>
      <c r="F64" s="2109"/>
      <c r="G64" s="2109"/>
      <c r="H64" s="2109"/>
      <c r="I64" s="2109"/>
      <c r="J64" s="2110"/>
    </row>
    <row r="65" spans="1:10" s="180" customFormat="1" x14ac:dyDescent="0.2">
      <c r="A65" s="252"/>
      <c r="B65" s="2108"/>
      <c r="C65" s="2109"/>
      <c r="D65" s="2109"/>
      <c r="E65" s="2109"/>
      <c r="F65" s="2109"/>
      <c r="G65" s="2109"/>
      <c r="H65" s="2109"/>
      <c r="I65" s="2109"/>
      <c r="J65" s="2110"/>
    </row>
    <row r="66" spans="1:10" s="180" customFormat="1" x14ac:dyDescent="0.2">
      <c r="A66" s="252"/>
      <c r="B66" s="2108"/>
      <c r="C66" s="2109"/>
      <c r="D66" s="2109"/>
      <c r="E66" s="2109"/>
      <c r="F66" s="2109"/>
      <c r="G66" s="2109"/>
      <c r="H66" s="2109"/>
      <c r="I66" s="2109"/>
      <c r="J66" s="2110"/>
    </row>
    <row r="67" spans="1:10" s="180" customFormat="1" ht="9" customHeight="1" x14ac:dyDescent="0.2">
      <c r="A67" s="253"/>
      <c r="B67" s="2111"/>
      <c r="C67" s="2112"/>
      <c r="D67" s="2112"/>
      <c r="E67" s="2112"/>
      <c r="F67" s="2112"/>
      <c r="G67" s="2112"/>
      <c r="H67" s="2112"/>
      <c r="I67" s="2112"/>
      <c r="J67" s="211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8" t="s">
        <v>1390</v>
      </c>
      <c r="B70" s="2101"/>
      <c r="C70" s="2101"/>
      <c r="D70" s="2101"/>
      <c r="E70" s="2102"/>
      <c r="F70" s="2102"/>
      <c r="G70" s="2102"/>
      <c r="H70" s="2102"/>
      <c r="I70" s="2102"/>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2067</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2018</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03" t="s">
        <v>1387</v>
      </c>
      <c r="B83" s="2103"/>
      <c r="C83" s="2103"/>
      <c r="D83" s="2104"/>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2065</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2066</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85"/>
      <c r="C102" s="2086"/>
      <c r="D102" s="2086"/>
      <c r="E102" s="2086"/>
      <c r="F102" s="2086"/>
      <c r="G102" s="2086"/>
      <c r="H102" s="2086"/>
      <c r="I102" s="2087"/>
    </row>
    <row r="103" spans="1:9" s="180" customFormat="1" ht="11.25" customHeight="1" x14ac:dyDescent="0.2">
      <c r="A103" s="315"/>
      <c r="B103" s="2088"/>
      <c r="C103" s="2089"/>
      <c r="D103" s="2089"/>
      <c r="E103" s="2089"/>
      <c r="F103" s="2089"/>
      <c r="G103" s="2089"/>
      <c r="H103" s="2089"/>
      <c r="I103" s="2090"/>
    </row>
    <row r="104" spans="1:9" s="180" customFormat="1" ht="11.25" customHeight="1" x14ac:dyDescent="0.2">
      <c r="A104" s="315"/>
      <c r="B104" s="2088"/>
      <c r="C104" s="2089"/>
      <c r="D104" s="2089"/>
      <c r="E104" s="2089"/>
      <c r="F104" s="2089"/>
      <c r="G104" s="2089"/>
      <c r="H104" s="2089"/>
      <c r="I104" s="2090"/>
    </row>
    <row r="105" spans="1:9" s="180" customFormat="1" x14ac:dyDescent="0.2">
      <c r="A105" s="315"/>
      <c r="B105" s="2088"/>
      <c r="C105" s="2089"/>
      <c r="D105" s="2089"/>
      <c r="E105" s="2089"/>
      <c r="F105" s="2089"/>
      <c r="G105" s="2089"/>
      <c r="H105" s="2089"/>
      <c r="I105" s="2090"/>
    </row>
    <row r="106" spans="1:9" s="180" customFormat="1" ht="11.25" customHeight="1" x14ac:dyDescent="0.2">
      <c r="A106" s="315"/>
      <c r="B106" s="2088"/>
      <c r="C106" s="2089"/>
      <c r="D106" s="2089"/>
      <c r="E106" s="2089"/>
      <c r="F106" s="2089"/>
      <c r="G106" s="2089"/>
      <c r="H106" s="2089"/>
      <c r="I106" s="2090"/>
    </row>
    <row r="107" spans="1:9" s="180" customFormat="1" ht="11.25" customHeight="1" x14ac:dyDescent="0.2">
      <c r="A107" s="315"/>
      <c r="B107" s="2088"/>
      <c r="C107" s="2089"/>
      <c r="D107" s="2089"/>
      <c r="E107" s="2089"/>
      <c r="F107" s="2089"/>
      <c r="G107" s="2089"/>
      <c r="H107" s="2089"/>
      <c r="I107" s="2090"/>
    </row>
    <row r="108" spans="1:9" s="180" customFormat="1" ht="11.25" customHeight="1" x14ac:dyDescent="0.2">
      <c r="A108" s="315"/>
      <c r="B108" s="2088"/>
      <c r="C108" s="2089"/>
      <c r="D108" s="2089"/>
      <c r="E108" s="2089"/>
      <c r="F108" s="2089"/>
      <c r="G108" s="2089"/>
      <c r="H108" s="2089"/>
      <c r="I108" s="2090"/>
    </row>
    <row r="109" spans="1:9" s="180" customFormat="1" ht="11.25" customHeight="1" x14ac:dyDescent="0.2">
      <c r="A109" s="315"/>
      <c r="B109" s="2088"/>
      <c r="C109" s="2089"/>
      <c r="D109" s="2089"/>
      <c r="E109" s="2089"/>
      <c r="F109" s="2089"/>
      <c r="G109" s="2089"/>
      <c r="H109" s="2089"/>
      <c r="I109" s="2090"/>
    </row>
    <row r="110" spans="1:9" s="180" customFormat="1" ht="11.25" customHeight="1" x14ac:dyDescent="0.2">
      <c r="A110" s="315"/>
      <c r="B110" s="2088"/>
      <c r="C110" s="2089"/>
      <c r="D110" s="2089"/>
      <c r="E110" s="2089"/>
      <c r="F110" s="2089"/>
      <c r="G110" s="2089"/>
      <c r="H110" s="2089"/>
      <c r="I110" s="2090"/>
    </row>
    <row r="111" spans="1:9" s="180" customFormat="1" ht="11.25" customHeight="1" x14ac:dyDescent="0.2">
      <c r="A111" s="315"/>
      <c r="B111" s="2088"/>
      <c r="C111" s="2089"/>
      <c r="D111" s="2089"/>
      <c r="E111" s="2089"/>
      <c r="F111" s="2089"/>
      <c r="G111" s="2089"/>
      <c r="H111" s="2089"/>
      <c r="I111" s="2090"/>
    </row>
    <row r="112" spans="1:9" s="180" customFormat="1" ht="11.25" customHeight="1" x14ac:dyDescent="0.2">
      <c r="A112" s="315"/>
      <c r="B112" s="2091"/>
      <c r="C112" s="2092"/>
      <c r="D112" s="2092"/>
      <c r="E112" s="2092"/>
      <c r="F112" s="2092"/>
      <c r="G112" s="2092"/>
      <c r="H112" s="2092"/>
      <c r="I112" s="209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94" t="s">
        <v>2088</v>
      </c>
      <c r="D114" s="2094"/>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95" t="s">
        <v>1397</v>
      </c>
      <c r="D117" s="2096"/>
      <c r="E117" s="2097"/>
      <c r="F117" s="2097"/>
      <c r="G117" s="2097"/>
      <c r="H117" s="2097"/>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2019</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14" t="s">
        <v>404</v>
      </c>
      <c r="B1" s="2114"/>
      <c r="C1" s="2114"/>
      <c r="D1" s="2114"/>
      <c r="E1" s="2114"/>
      <c r="F1" s="2114"/>
      <c r="G1" s="2114"/>
      <c r="H1" s="2114"/>
      <c r="I1" s="2114"/>
      <c r="J1" s="2114"/>
      <c r="K1" s="2114"/>
      <c r="L1" s="2114"/>
      <c r="M1" s="2114"/>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31911537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4.2779999999999999E-2</v>
      </c>
      <c r="E10" s="355" t="s">
        <v>1062</v>
      </c>
      <c r="F10" s="354">
        <v>4.1999999999999997E-3</v>
      </c>
      <c r="G10" s="355" t="s">
        <v>1062</v>
      </c>
      <c r="H10" s="354">
        <v>3.3600000000000001E-3</v>
      </c>
      <c r="I10" s="355" t="s">
        <v>1063</v>
      </c>
      <c r="J10" s="1753">
        <f>ROUND(D10+F10+H10,5)</f>
        <v>5.0340000000000003E-2</v>
      </c>
      <c r="K10" s="221"/>
      <c r="L10" s="354">
        <v>3.8000000000000002E-4</v>
      </c>
      <c r="M10" s="221"/>
    </row>
    <row r="11" spans="1:14" ht="7.5" customHeight="1" x14ac:dyDescent="0.2">
      <c r="B11" s="221"/>
      <c r="C11" s="221"/>
      <c r="D11" s="2124" t="str">
        <f>IF(SUM(J10)&lt;=0.0999999,"","Enter the Tax Rates by moving the decimal two places to the left.")</f>
        <v/>
      </c>
      <c r="E11" s="2125"/>
      <c r="F11" s="2125"/>
      <c r="G11" s="2125"/>
      <c r="H11" s="2125"/>
      <c r="I11" s="2125"/>
      <c r="J11" s="212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4841657</v>
      </c>
      <c r="E16" s="355"/>
      <c r="F16" s="1754">
        <f>SUM('Acct Summary 7-8'!C17,'Acct Summary 7-8'!D17,'Acct Summary 7-8'!F17)</f>
        <v>4549939</v>
      </c>
      <c r="G16" s="355"/>
      <c r="H16" s="1754">
        <f>SUM(D16-F16)</f>
        <v>291718</v>
      </c>
      <c r="I16" s="221"/>
      <c r="J16" s="1754">
        <f>SUM('Acct Summary 7-8'!C81,'Acct Summary 7-8'!D81,'Acct Summary 7-8'!F81,'Acct Summary 7-8'!I81)</f>
        <v>2648310</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2075</v>
      </c>
      <c r="C31" s="366" t="s">
        <v>607</v>
      </c>
      <c r="D31" s="236" t="s">
        <v>1132</v>
      </c>
      <c r="E31" s="221"/>
      <c r="F31" s="221"/>
      <c r="G31" s="362"/>
      <c r="H31" s="1756">
        <f>IF(B31="X",(J7*0.069),IF(B32="X",(J7*0.138),"Enter x in a.or b."))</f>
        <v>2201896.0530000003</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875000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15"/>
      <c r="C54" s="2116"/>
      <c r="D54" s="2116"/>
      <c r="E54" s="2116"/>
      <c r="F54" s="2116"/>
      <c r="G54" s="2116"/>
      <c r="H54" s="2116"/>
      <c r="I54" s="2116"/>
      <c r="J54" s="2116"/>
      <c r="K54" s="2116"/>
      <c r="L54" s="2117"/>
      <c r="M54" s="379"/>
    </row>
    <row r="55" spans="1:13" ht="12.75" customHeight="1" x14ac:dyDescent="0.2">
      <c r="B55" s="2118"/>
      <c r="C55" s="2119"/>
      <c r="D55" s="2119"/>
      <c r="E55" s="2119"/>
      <c r="F55" s="2119"/>
      <c r="G55" s="2119"/>
      <c r="H55" s="2119"/>
      <c r="I55" s="2119"/>
      <c r="J55" s="2119"/>
      <c r="K55" s="2119"/>
      <c r="L55" s="2120"/>
      <c r="M55" s="379"/>
    </row>
    <row r="56" spans="1:13" ht="12.75" customHeight="1" x14ac:dyDescent="0.2">
      <c r="B56" s="2118"/>
      <c r="C56" s="2119"/>
      <c r="D56" s="2119"/>
      <c r="E56" s="2119"/>
      <c r="F56" s="2119"/>
      <c r="G56" s="2119"/>
      <c r="H56" s="2119"/>
      <c r="I56" s="2119"/>
      <c r="J56" s="2119"/>
      <c r="K56" s="2119"/>
      <c r="L56" s="2120"/>
      <c r="M56" s="221"/>
    </row>
    <row r="57" spans="1:13" ht="12.75" customHeight="1" x14ac:dyDescent="0.2">
      <c r="B57" s="2118"/>
      <c r="C57" s="2119"/>
      <c r="D57" s="2119"/>
      <c r="E57" s="2119"/>
      <c r="F57" s="2119"/>
      <c r="G57" s="2119"/>
      <c r="H57" s="2119"/>
      <c r="I57" s="2119"/>
      <c r="J57" s="2119"/>
      <c r="K57" s="2119"/>
      <c r="L57" s="2120"/>
      <c r="M57" s="221"/>
    </row>
    <row r="58" spans="1:13" x14ac:dyDescent="0.2">
      <c r="B58" s="2121"/>
      <c r="C58" s="2122"/>
      <c r="D58" s="2122"/>
      <c r="E58" s="2122"/>
      <c r="F58" s="2122"/>
      <c r="G58" s="2122"/>
      <c r="H58" s="2122"/>
      <c r="I58" s="2122"/>
      <c r="J58" s="2122"/>
      <c r="K58" s="2122"/>
      <c r="L58" s="212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26"/>
      <c r="D61" s="212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33" sqref="C33:I3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9"/>
      <c r="B1" s="2130"/>
      <c r="C1" s="2130"/>
      <c r="D1" s="383"/>
      <c r="E1" s="383"/>
      <c r="F1" s="383"/>
      <c r="G1" s="383"/>
      <c r="H1" s="383"/>
      <c r="I1" s="383"/>
      <c r="J1" s="383"/>
      <c r="K1" s="383"/>
      <c r="L1" s="383"/>
      <c r="M1" s="383"/>
      <c r="N1" s="383"/>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General George Patton S 133</v>
      </c>
      <c r="E7" s="390"/>
      <c r="G7" s="251"/>
      <c r="H7" s="386"/>
      <c r="I7" s="386"/>
      <c r="J7" s="386"/>
      <c r="K7" s="386"/>
      <c r="L7" s="328"/>
      <c r="M7" s="328"/>
      <c r="N7" s="328"/>
      <c r="O7" s="328"/>
      <c r="P7" s="328"/>
    </row>
    <row r="8" spans="1:18" ht="12.75" x14ac:dyDescent="0.2">
      <c r="A8" s="328"/>
      <c r="B8" s="328"/>
      <c r="C8" s="388" t="s">
        <v>1187</v>
      </c>
      <c r="D8" s="391">
        <f>COVER!A13</f>
        <v>7016133002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2648310</v>
      </c>
      <c r="I12" s="403"/>
      <c r="J12" s="403"/>
      <c r="K12" s="404">
        <f>TRUNC((H12/H13*100000),5)/100000</f>
        <v>0.54698422460000007</v>
      </c>
      <c r="L12" s="405"/>
      <c r="M12" s="359" t="s">
        <v>1206</v>
      </c>
      <c r="N12" s="359"/>
      <c r="O12" s="406">
        <v>0.35</v>
      </c>
      <c r="P12" s="217"/>
      <c r="Q12" s="217"/>
    </row>
    <row r="13" spans="1:18" s="407" customFormat="1" ht="12.75" x14ac:dyDescent="0.2">
      <c r="A13" s="217"/>
      <c r="B13" s="400"/>
      <c r="C13" s="2131" t="s">
        <v>1391</v>
      </c>
      <c r="D13" s="2132"/>
      <c r="E13" s="217"/>
      <c r="F13" s="408" t="s">
        <v>826</v>
      </c>
      <c r="G13" s="401"/>
      <c r="H13" s="402">
        <f>SUM('Acct Summary 7-8'!C8+'Acct Summary 7-8'!D8+'Acct Summary 7-8'!F8+'Acct Summary 7-8'!I8)+H14</f>
        <v>4841657</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4549939</v>
      </c>
      <c r="I17" s="403"/>
      <c r="J17" s="415"/>
      <c r="K17" s="404">
        <f>TRUNC((H17/H18*100000),5)/100000</f>
        <v>0.93974831340000009</v>
      </c>
      <c r="L17" s="405"/>
      <c r="M17" s="416" t="s">
        <v>1233</v>
      </c>
      <c r="O17" s="417" t="str">
        <f>IF(AND(O16="2", J20 &gt; 2),"1",IF(AND(O16 = "1", J20 &gt; 2),"2",IF(AND(O16="1", J20 &gt;1),"1","0")))</f>
        <v>0</v>
      </c>
      <c r="P17" s="217"/>
    </row>
    <row r="18" spans="1:18" s="407" customFormat="1" ht="11.25" x14ac:dyDescent="0.2">
      <c r="A18" s="217"/>
      <c r="B18" s="400"/>
      <c r="C18" s="2131" t="s">
        <v>1384</v>
      </c>
      <c r="D18" s="2132"/>
      <c r="E18" s="217"/>
      <c r="F18" s="418" t="s">
        <v>827</v>
      </c>
      <c r="G18" s="401"/>
      <c r="H18" s="402">
        <f>SUM('Acct Summary 7-8'!C8+'Acct Summary 7-8'!D8+'Acct Summary 7-8'!F8+'Acct Summary 7-8'!I8)+H19</f>
        <v>4841657</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28" t="s">
        <v>1479</v>
      </c>
      <c r="D24" s="2128"/>
      <c r="E24" s="217"/>
      <c r="F24" s="217" t="s">
        <v>465</v>
      </c>
      <c r="G24" s="401"/>
      <c r="H24" s="402">
        <f>SUM('Assets-Liab 5-6'!C4+'Assets-Liab 5-6'!D4+'Assets-Liab 5-6'!F4+'Assets-Liab 5-6'!I4+'Assets-Liab 5-6'!C5+'Assets-Liab 5-6'!D5+'Assets-Liab 5-6'!F5+'Assets-Liab 5-6'!I5)</f>
        <v>2669220</v>
      </c>
      <c r="I24" s="421"/>
      <c r="J24" s="421"/>
      <c r="K24" s="422">
        <f>TRUNC(((H24/H25*100000)/100000),2)</f>
        <v>211.19</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12638.719440000001</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2068</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1365462.75669</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875000</v>
      </c>
      <c r="I32" s="419"/>
      <c r="J32" s="419"/>
      <c r="K32" s="422">
        <f>TRUNC(100-((((H32/H33*100))*100)/100),2)</f>
        <v>60.26</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2201896.0530000003</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15" activePane="bottomLeft" state="frozen"/>
      <selection activeCell="C33" sqref="C33:I34"/>
      <selection pane="bottomLeft" activeCell="C33" sqref="C33:I3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36"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37"/>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38" t="s">
        <v>1030</v>
      </c>
      <c r="B3" s="2139"/>
      <c r="C3" s="1580"/>
      <c r="D3" s="1581"/>
      <c r="E3" s="1581"/>
      <c r="F3" s="1581"/>
      <c r="G3" s="1581"/>
      <c r="H3" s="1581"/>
      <c r="I3" s="1581"/>
      <c r="J3" s="1581"/>
      <c r="K3" s="1581"/>
      <c r="L3" s="1581"/>
      <c r="M3" s="1582"/>
      <c r="N3" s="1583"/>
    </row>
    <row r="4" spans="1:14" ht="13.5" customHeight="1" x14ac:dyDescent="0.2">
      <c r="A4" s="462" t="s">
        <v>1750</v>
      </c>
      <c r="B4" s="463"/>
      <c r="C4" s="464">
        <v>1586857</v>
      </c>
      <c r="D4" s="465">
        <v>308050</v>
      </c>
      <c r="E4" s="465"/>
      <c r="F4" s="465">
        <v>277235</v>
      </c>
      <c r="G4" s="465">
        <v>432087</v>
      </c>
      <c r="H4" s="465">
        <v>2822</v>
      </c>
      <c r="I4" s="465">
        <v>497078</v>
      </c>
      <c r="J4" s="466">
        <v>206722</v>
      </c>
      <c r="K4" s="465">
        <v>215309</v>
      </c>
      <c r="L4" s="465">
        <v>875</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1586857</v>
      </c>
      <c r="D13" s="1758">
        <f t="shared" ref="D13:L13" si="0">SUM(D4:D12)</f>
        <v>308050</v>
      </c>
      <c r="E13" s="1758">
        <f t="shared" si="0"/>
        <v>0</v>
      </c>
      <c r="F13" s="1758">
        <f t="shared" si="0"/>
        <v>277235</v>
      </c>
      <c r="G13" s="1758">
        <f t="shared" si="0"/>
        <v>432087</v>
      </c>
      <c r="H13" s="1758">
        <f t="shared" si="0"/>
        <v>2822</v>
      </c>
      <c r="I13" s="1758">
        <f t="shared" si="0"/>
        <v>497078</v>
      </c>
      <c r="J13" s="1758">
        <f t="shared" si="0"/>
        <v>206722</v>
      </c>
      <c r="K13" s="1758">
        <f t="shared" si="0"/>
        <v>215309</v>
      </c>
      <c r="L13" s="1758">
        <f t="shared" si="0"/>
        <v>875</v>
      </c>
      <c r="M13" s="467"/>
      <c r="N13" s="468"/>
    </row>
    <row r="14" spans="1:14" ht="18" customHeight="1" thickTop="1" x14ac:dyDescent="0.2">
      <c r="A14" s="2140" t="s">
        <v>149</v>
      </c>
      <c r="B14" s="2141"/>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12072</v>
      </c>
      <c r="N16" s="483"/>
    </row>
    <row r="17" spans="1:14" s="484" customFormat="1" ht="12.75" customHeight="1" x14ac:dyDescent="0.2">
      <c r="A17" s="481" t="s">
        <v>1470</v>
      </c>
      <c r="B17" s="482">
        <v>230</v>
      </c>
      <c r="C17" s="476"/>
      <c r="D17" s="476"/>
      <c r="E17" s="476"/>
      <c r="F17" s="476"/>
      <c r="G17" s="476"/>
      <c r="H17" s="476"/>
      <c r="I17" s="476"/>
      <c r="J17" s="476"/>
      <c r="K17" s="476"/>
      <c r="L17" s="476"/>
      <c r="M17" s="466">
        <v>7668839</v>
      </c>
      <c r="N17" s="483"/>
    </row>
    <row r="18" spans="1:14" s="484" customFormat="1" ht="12.75" customHeight="1" x14ac:dyDescent="0.2">
      <c r="A18" s="481" t="s">
        <v>1471</v>
      </c>
      <c r="B18" s="482">
        <v>240</v>
      </c>
      <c r="C18" s="476"/>
      <c r="D18" s="476"/>
      <c r="E18" s="476"/>
      <c r="F18" s="476"/>
      <c r="G18" s="476"/>
      <c r="H18" s="476"/>
      <c r="I18" s="476"/>
      <c r="J18" s="476"/>
      <c r="K18" s="476"/>
      <c r="L18" s="476"/>
      <c r="M18" s="466">
        <v>628807</v>
      </c>
      <c r="N18" s="483"/>
    </row>
    <row r="19" spans="1:14" s="484" customFormat="1" ht="12.75" customHeight="1" x14ac:dyDescent="0.2">
      <c r="A19" s="481" t="s">
        <v>1472</v>
      </c>
      <c r="B19" s="482">
        <v>250</v>
      </c>
      <c r="C19" s="476"/>
      <c r="D19" s="476"/>
      <c r="E19" s="476"/>
      <c r="F19" s="476"/>
      <c r="G19" s="476"/>
      <c r="H19" s="476"/>
      <c r="I19" s="476"/>
      <c r="J19" s="476"/>
      <c r="K19" s="476"/>
      <c r="L19" s="476"/>
      <c r="M19" s="466">
        <v>852770</v>
      </c>
      <c r="N19" s="483"/>
    </row>
    <row r="20" spans="1:14" s="484" customFormat="1" ht="12.75" customHeight="1" x14ac:dyDescent="0.2">
      <c r="A20" s="481" t="s">
        <v>1473</v>
      </c>
      <c r="B20" s="482">
        <v>260</v>
      </c>
      <c r="C20" s="476"/>
      <c r="D20" s="476"/>
      <c r="E20" s="476"/>
      <c r="F20" s="476"/>
      <c r="G20" s="476"/>
      <c r="H20" s="476"/>
      <c r="I20" s="476"/>
      <c r="J20" s="476"/>
      <c r="K20" s="476"/>
      <c r="L20" s="476"/>
      <c r="M20" s="466"/>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875000</v>
      </c>
    </row>
    <row r="23" spans="1:14" ht="13.5" customHeight="1" thickBot="1" x14ac:dyDescent="0.25">
      <c r="A23" s="1757" t="s">
        <v>664</v>
      </c>
      <c r="B23" s="1762"/>
      <c r="C23" s="467"/>
      <c r="D23" s="467"/>
      <c r="E23" s="467"/>
      <c r="F23" s="467"/>
      <c r="G23" s="467"/>
      <c r="H23" s="467"/>
      <c r="I23" s="467"/>
      <c r="J23" s="467"/>
      <c r="K23" s="467"/>
      <c r="L23" s="467"/>
      <c r="M23" s="1709">
        <f>SUM(M15:M22)</f>
        <v>9162488</v>
      </c>
      <c r="N23" s="1709">
        <f>SUM(N21:N22)</f>
        <v>875000</v>
      </c>
    </row>
    <row r="24" spans="1:14" ht="18" customHeight="1" thickTop="1" x14ac:dyDescent="0.2">
      <c r="A24" s="2142" t="s">
        <v>619</v>
      </c>
      <c r="B24" s="2143"/>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v>20814</v>
      </c>
      <c r="D31" s="466">
        <v>96</v>
      </c>
      <c r="E31" s="466"/>
      <c r="F31" s="465"/>
      <c r="G31" s="466"/>
      <c r="H31" s="466"/>
      <c r="I31" s="466"/>
      <c r="J31" s="466">
        <v>87</v>
      </c>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875</v>
      </c>
      <c r="M33" s="467"/>
      <c r="N33" s="468"/>
    </row>
    <row r="34" spans="1:14" ht="13.5" customHeight="1" thickBot="1" x14ac:dyDescent="0.25">
      <c r="A34" s="1759" t="s">
        <v>675</v>
      </c>
      <c r="B34" s="1760"/>
      <c r="C34" s="1761">
        <f>SUM(C25:C33)</f>
        <v>20814</v>
      </c>
      <c r="D34" s="1761">
        <f t="shared" ref="D34:K34" si="1">SUM(D25:D33)</f>
        <v>96</v>
      </c>
      <c r="E34" s="1761">
        <f t="shared" si="1"/>
        <v>0</v>
      </c>
      <c r="F34" s="1761">
        <f t="shared" si="1"/>
        <v>0</v>
      </c>
      <c r="G34" s="1761">
        <f t="shared" si="1"/>
        <v>0</v>
      </c>
      <c r="H34" s="1761">
        <f t="shared" si="1"/>
        <v>0</v>
      </c>
      <c r="I34" s="1761">
        <f t="shared" si="1"/>
        <v>0</v>
      </c>
      <c r="J34" s="1761">
        <f t="shared" si="1"/>
        <v>87</v>
      </c>
      <c r="K34" s="1761">
        <f t="shared" si="1"/>
        <v>0</v>
      </c>
      <c r="L34" s="1742">
        <f>SUM(L33)</f>
        <v>875</v>
      </c>
      <c r="M34" s="467"/>
      <c r="N34" s="479"/>
    </row>
    <row r="35" spans="1:14" ht="18" customHeight="1" thickTop="1" x14ac:dyDescent="0.2">
      <c r="A35" s="2144" t="s">
        <v>550</v>
      </c>
      <c r="B35" s="2145"/>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875000</v>
      </c>
    </row>
    <row r="37" spans="1:14" ht="13.5" thickBot="1" x14ac:dyDescent="0.25">
      <c r="A37" s="1757" t="s">
        <v>674</v>
      </c>
      <c r="B37" s="1762"/>
      <c r="C37" s="476"/>
      <c r="D37" s="476"/>
      <c r="E37" s="476"/>
      <c r="F37" s="476"/>
      <c r="G37" s="476"/>
      <c r="H37" s="476"/>
      <c r="I37" s="476"/>
      <c r="J37" s="476"/>
      <c r="K37" s="476"/>
      <c r="L37" s="479"/>
      <c r="M37" s="467"/>
      <c r="N37" s="1709">
        <f>SUM(N36:N36)</f>
        <v>875000</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1566043</v>
      </c>
      <c r="D39" s="465">
        <v>307954</v>
      </c>
      <c r="E39" s="465"/>
      <c r="F39" s="465">
        <v>277235</v>
      </c>
      <c r="G39" s="465">
        <v>432087</v>
      </c>
      <c r="H39" s="465">
        <v>2822</v>
      </c>
      <c r="I39" s="465">
        <v>497078</v>
      </c>
      <c r="J39" s="466">
        <v>206635</v>
      </c>
      <c r="K39" s="465">
        <v>215309</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9162488</v>
      </c>
      <c r="N40" s="496"/>
    </row>
    <row r="41" spans="1:14" ht="13.5" customHeight="1" thickBot="1" x14ac:dyDescent="0.25">
      <c r="A41" s="1757" t="s">
        <v>676</v>
      </c>
      <c r="B41" s="1727"/>
      <c r="C41" s="1709">
        <f>(SUM(C34,C37,C38,C39))</f>
        <v>1586857</v>
      </c>
      <c r="D41" s="1709">
        <f t="shared" ref="D41:L41" si="2">SUM(D34,D37,D38:D39)</f>
        <v>308050</v>
      </c>
      <c r="E41" s="1709">
        <f t="shared" si="2"/>
        <v>0</v>
      </c>
      <c r="F41" s="1709">
        <f t="shared" si="2"/>
        <v>277235</v>
      </c>
      <c r="G41" s="1709">
        <f t="shared" si="2"/>
        <v>432087</v>
      </c>
      <c r="H41" s="1709">
        <f t="shared" si="2"/>
        <v>2822</v>
      </c>
      <c r="I41" s="1709">
        <f t="shared" si="2"/>
        <v>497078</v>
      </c>
      <c r="J41" s="1709">
        <f t="shared" si="2"/>
        <v>206722</v>
      </c>
      <c r="K41" s="1709">
        <f t="shared" si="2"/>
        <v>215309</v>
      </c>
      <c r="L41" s="1709">
        <f t="shared" si="2"/>
        <v>875</v>
      </c>
      <c r="M41" s="1709">
        <f>SUM(M40)</f>
        <v>9162488</v>
      </c>
      <c r="N41" s="1709">
        <f>SUM(N37)</f>
        <v>875000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C33" sqref="C33:I34"/>
      <selection pane="bottomLeft" activeCell="C33" sqref="C33:I34"/>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54"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55"/>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66" t="s">
        <v>1237</v>
      </c>
      <c r="B3" s="2167"/>
      <c r="C3" s="1594"/>
      <c r="D3" s="1595"/>
      <c r="E3" s="1595"/>
      <c r="F3" s="1595"/>
      <c r="G3" s="1595"/>
      <c r="H3" s="1595"/>
      <c r="I3" s="1595"/>
      <c r="J3" s="1595"/>
      <c r="K3" s="1596"/>
      <c r="L3" s="505"/>
    </row>
    <row r="4" spans="1:13" ht="15.75" customHeight="1" x14ac:dyDescent="0.2">
      <c r="A4" s="1953" t="s">
        <v>1579</v>
      </c>
      <c r="B4" s="1954">
        <v>1000</v>
      </c>
      <c r="C4" s="1763">
        <f>'Revenues 9-14'!C109</f>
        <v>926954</v>
      </c>
      <c r="D4" s="1763">
        <f>'Revenues 9-14'!D109</f>
        <v>352062</v>
      </c>
      <c r="E4" s="1763">
        <f>'Revenues 9-14'!E109</f>
        <v>415128</v>
      </c>
      <c r="F4" s="1763">
        <f>'Revenues 9-14'!F109</f>
        <v>213781</v>
      </c>
      <c r="G4" s="1763">
        <f>'Revenues 9-14'!G109</f>
        <v>-155071</v>
      </c>
      <c r="H4" s="1763">
        <f>'Revenues 9-14'!H109</f>
        <v>23</v>
      </c>
      <c r="I4" s="1763">
        <f>'Revenues 9-14'!I109</f>
        <v>8462</v>
      </c>
      <c r="J4" s="1763">
        <f>'Revenues 9-14'!J109</f>
        <v>235799</v>
      </c>
      <c r="K4" s="1763">
        <f>'Revenues 9-14'!K109</f>
        <v>1770</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2362200</v>
      </c>
      <c r="D6" s="1764">
        <f>'Revenues 9-14'!D173</f>
        <v>0</v>
      </c>
      <c r="E6" s="1764">
        <f>'Revenues 9-14'!E173</f>
        <v>14642</v>
      </c>
      <c r="F6" s="1764">
        <f>'Revenues 9-14'!F173</f>
        <v>53882</v>
      </c>
      <c r="G6" s="1764">
        <f>'Revenues 9-14'!G173</f>
        <v>0</v>
      </c>
      <c r="H6" s="1764">
        <f>'Revenues 9-14'!H173</f>
        <v>0</v>
      </c>
      <c r="I6" s="1764">
        <f>'Revenues 9-14'!I173</f>
        <v>0</v>
      </c>
      <c r="J6" s="1764">
        <f>'Revenues 9-14'!J173</f>
        <v>218452</v>
      </c>
      <c r="K6" s="1764">
        <f>'Revenues 9-14'!K173</f>
        <v>0</v>
      </c>
      <c r="L6" s="346"/>
      <c r="M6" s="512"/>
    </row>
    <row r="7" spans="1:13" ht="15.75" customHeight="1" x14ac:dyDescent="0.2">
      <c r="A7" s="1597" t="s">
        <v>1582</v>
      </c>
      <c r="B7" s="1599">
        <v>4000</v>
      </c>
      <c r="C7" s="1764">
        <f>'Revenues 9-14'!C274</f>
        <v>924316</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4213470</v>
      </c>
      <c r="D8" s="1709">
        <f t="shared" ref="D8:K8" si="0">SUM(D4:D7)</f>
        <v>352062</v>
      </c>
      <c r="E8" s="1709">
        <f t="shared" si="0"/>
        <v>429770</v>
      </c>
      <c r="F8" s="1709">
        <f t="shared" si="0"/>
        <v>267663</v>
      </c>
      <c r="G8" s="1709">
        <f t="shared" si="0"/>
        <v>-155071</v>
      </c>
      <c r="H8" s="1709">
        <f t="shared" si="0"/>
        <v>23</v>
      </c>
      <c r="I8" s="1709">
        <f t="shared" si="0"/>
        <v>8462</v>
      </c>
      <c r="J8" s="1709">
        <f t="shared" si="0"/>
        <v>454251</v>
      </c>
      <c r="K8" s="1709">
        <f t="shared" si="0"/>
        <v>1770</v>
      </c>
      <c r="L8" s="346"/>
    </row>
    <row r="9" spans="1:13" ht="15.75" thickTop="1" x14ac:dyDescent="0.2">
      <c r="A9" s="513" t="s">
        <v>1752</v>
      </c>
      <c r="B9" s="514">
        <v>3998</v>
      </c>
      <c r="C9" s="480">
        <v>1455499</v>
      </c>
      <c r="D9" s="515"/>
      <c r="E9" s="480"/>
      <c r="F9" s="480"/>
      <c r="G9" s="516"/>
      <c r="H9" s="480"/>
      <c r="I9" s="508" t="s">
        <v>1231</v>
      </c>
      <c r="J9" s="477"/>
      <c r="K9" s="480"/>
      <c r="L9" s="346"/>
    </row>
    <row r="10" spans="1:13" s="518" customFormat="1" ht="13.5" thickBot="1" x14ac:dyDescent="0.25">
      <c r="A10" s="1757" t="s">
        <v>1235</v>
      </c>
      <c r="B10" s="1730"/>
      <c r="C10" s="1709">
        <f>SUM(C8:C9)</f>
        <v>5668969</v>
      </c>
      <c r="D10" s="1709">
        <f t="shared" ref="D10:K10" si="1">SUM(D8:D9)</f>
        <v>352062</v>
      </c>
      <c r="E10" s="1709">
        <f t="shared" si="1"/>
        <v>429770</v>
      </c>
      <c r="F10" s="1709">
        <f t="shared" si="1"/>
        <v>267663</v>
      </c>
      <c r="G10" s="1709">
        <f t="shared" si="1"/>
        <v>-155071</v>
      </c>
      <c r="H10" s="1709">
        <f t="shared" si="1"/>
        <v>23</v>
      </c>
      <c r="I10" s="1709">
        <f t="shared" si="1"/>
        <v>8462</v>
      </c>
      <c r="J10" s="1709">
        <f t="shared" si="1"/>
        <v>454251</v>
      </c>
      <c r="K10" s="1709">
        <f t="shared" si="1"/>
        <v>1770</v>
      </c>
      <c r="L10" s="517"/>
    </row>
    <row r="11" spans="1:13" s="518" customFormat="1" ht="16.7" customHeight="1" thickTop="1" x14ac:dyDescent="0.2">
      <c r="A11" s="2140" t="s">
        <v>1238</v>
      </c>
      <c r="B11" s="2141"/>
      <c r="C11" s="1591"/>
      <c r="D11" s="1592"/>
      <c r="E11" s="1592"/>
      <c r="F11" s="1592"/>
      <c r="G11" s="1592"/>
      <c r="H11" s="1592"/>
      <c r="I11" s="1592"/>
      <c r="J11" s="1592"/>
      <c r="K11" s="1593"/>
      <c r="L11" s="517"/>
    </row>
    <row r="12" spans="1:13" ht="15.75" customHeight="1" x14ac:dyDescent="0.2">
      <c r="A12" s="1597" t="s">
        <v>476</v>
      </c>
      <c r="B12" s="1599">
        <v>1000</v>
      </c>
      <c r="C12" s="1763">
        <f>'Expenditures 15-22'!K33</f>
        <v>1723060</v>
      </c>
      <c r="D12" s="519" t="s">
        <v>1231</v>
      </c>
      <c r="E12" s="467" t="s">
        <v>1231</v>
      </c>
      <c r="F12" s="467" t="s">
        <v>1231</v>
      </c>
      <c r="G12" s="1763">
        <f>'Expenditures 15-22'!K229</f>
        <v>38969</v>
      </c>
      <c r="H12" s="520"/>
      <c r="I12" s="467" t="s">
        <v>1231</v>
      </c>
      <c r="J12" s="467" t="s">
        <v>1231</v>
      </c>
      <c r="K12" s="520" t="s">
        <v>1231</v>
      </c>
      <c r="L12" s="346"/>
    </row>
    <row r="13" spans="1:13" ht="15.75" customHeight="1" x14ac:dyDescent="0.2">
      <c r="A13" s="1597" t="s">
        <v>477</v>
      </c>
      <c r="B13" s="1599">
        <v>2000</v>
      </c>
      <c r="C13" s="1764">
        <f>'Expenditures 15-22'!K74</f>
        <v>1916807</v>
      </c>
      <c r="D13" s="1764">
        <f>'Expenditures 15-22'!K129</f>
        <v>575192</v>
      </c>
      <c r="E13" s="468" t="s">
        <v>1231</v>
      </c>
      <c r="F13" s="1764">
        <f>'Expenditures 15-22'!K184</f>
        <v>87363</v>
      </c>
      <c r="G13" s="1764">
        <f>'Expenditures 15-22'!K279</f>
        <v>113560</v>
      </c>
      <c r="H13" s="1764">
        <f>'Expenditures 15-22'!K303</f>
        <v>0</v>
      </c>
      <c r="I13" s="467" t="s">
        <v>1231</v>
      </c>
      <c r="J13" s="1764">
        <f>'Expenditures 15-22'!K330</f>
        <v>349973</v>
      </c>
      <c r="K13" s="1768">
        <f>'Expenditures 15-22'!K352</f>
        <v>0</v>
      </c>
      <c r="L13" s="346"/>
    </row>
    <row r="14" spans="1:13" ht="15.75" customHeight="1" x14ac:dyDescent="0.2">
      <c r="A14" s="1597" t="s">
        <v>469</v>
      </c>
      <c r="B14" s="1599">
        <v>3000</v>
      </c>
      <c r="C14" s="1764">
        <f>'Expenditures 15-22'!K75</f>
        <v>37130</v>
      </c>
      <c r="D14" s="1764">
        <f>'Expenditures 15-22'!K130</f>
        <v>0</v>
      </c>
      <c r="E14" s="519" t="s">
        <v>1231</v>
      </c>
      <c r="F14" s="1764">
        <f>'Expenditures 15-22'!K185</f>
        <v>0</v>
      </c>
      <c r="G14" s="1764">
        <f>'Expenditures 15-22'!K280</f>
        <v>4401</v>
      </c>
      <c r="H14" s="511"/>
      <c r="I14" s="467" t="s">
        <v>1231</v>
      </c>
      <c r="J14" s="467" t="s">
        <v>1231</v>
      </c>
      <c r="K14" s="511" t="s">
        <v>1231</v>
      </c>
      <c r="L14" s="346"/>
    </row>
    <row r="15" spans="1:13" ht="15.75" customHeight="1" x14ac:dyDescent="0.2">
      <c r="A15" s="1597" t="s">
        <v>109</v>
      </c>
      <c r="B15" s="1599">
        <v>4000</v>
      </c>
      <c r="C15" s="1764">
        <f>'Expenditures 15-22'!K102</f>
        <v>210387</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371750</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3887384</v>
      </c>
      <c r="D17" s="1709">
        <f t="shared" si="2"/>
        <v>575192</v>
      </c>
      <c r="E17" s="1709">
        <f t="shared" si="2"/>
        <v>371750</v>
      </c>
      <c r="F17" s="1709">
        <f t="shared" si="2"/>
        <v>87363</v>
      </c>
      <c r="G17" s="1709">
        <f t="shared" si="2"/>
        <v>156930</v>
      </c>
      <c r="H17" s="1709">
        <f t="shared" si="2"/>
        <v>0</v>
      </c>
      <c r="I17" s="467"/>
      <c r="J17" s="1709">
        <f>SUM(J12:J16)</f>
        <v>349973</v>
      </c>
      <c r="K17" s="1709">
        <f>SUM(K12:K16)</f>
        <v>0</v>
      </c>
      <c r="L17" s="346"/>
    </row>
    <row r="18" spans="1:12" ht="15" customHeight="1" thickTop="1" x14ac:dyDescent="0.2">
      <c r="A18" s="1765" t="s">
        <v>1753</v>
      </c>
      <c r="B18" s="1766">
        <v>4180</v>
      </c>
      <c r="C18" s="1763">
        <f t="shared" ref="C18:H18" si="3">C9</f>
        <v>1455499</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5342883</v>
      </c>
      <c r="D19" s="1709">
        <f t="shared" si="4"/>
        <v>575192</v>
      </c>
      <c r="E19" s="1709">
        <f t="shared" si="4"/>
        <v>371750</v>
      </c>
      <c r="F19" s="1709">
        <f t="shared" si="4"/>
        <v>87363</v>
      </c>
      <c r="G19" s="1709">
        <f t="shared" si="4"/>
        <v>156930</v>
      </c>
      <c r="H19" s="1709">
        <f t="shared" si="4"/>
        <v>0</v>
      </c>
      <c r="I19" s="467"/>
      <c r="J19" s="1709">
        <f>SUM(J17:J18)</f>
        <v>349973</v>
      </c>
      <c r="K19" s="1709">
        <f>SUM(K17:K18)</f>
        <v>0</v>
      </c>
      <c r="L19" s="346"/>
    </row>
    <row r="20" spans="1:12" ht="16.5" thickTop="1" thickBot="1" x14ac:dyDescent="0.25">
      <c r="A20" s="2156" t="s">
        <v>1754</v>
      </c>
      <c r="B20" s="2157"/>
      <c r="C20" s="1767">
        <f>C8-C17</f>
        <v>326086</v>
      </c>
      <c r="D20" s="1767">
        <f t="shared" ref="D20:K20" si="5">D8-D17</f>
        <v>-223130</v>
      </c>
      <c r="E20" s="1767">
        <f t="shared" si="5"/>
        <v>58020</v>
      </c>
      <c r="F20" s="1767">
        <f t="shared" si="5"/>
        <v>180300</v>
      </c>
      <c r="G20" s="1767">
        <f t="shared" si="5"/>
        <v>-312001</v>
      </c>
      <c r="H20" s="1767">
        <f t="shared" si="5"/>
        <v>23</v>
      </c>
      <c r="I20" s="1767">
        <f t="shared" si="5"/>
        <v>8462</v>
      </c>
      <c r="J20" s="1767">
        <f t="shared" si="5"/>
        <v>104278</v>
      </c>
      <c r="K20" s="1767">
        <f t="shared" si="5"/>
        <v>1770</v>
      </c>
      <c r="L20" s="346"/>
    </row>
    <row r="21" spans="1:12" ht="16.7" customHeight="1" thickTop="1" x14ac:dyDescent="0.2">
      <c r="A21" s="2168" t="s">
        <v>616</v>
      </c>
      <c r="B21" s="2169"/>
      <c r="C21" s="1591"/>
      <c r="D21" s="1592"/>
      <c r="E21" s="1592"/>
      <c r="F21" s="1592"/>
      <c r="G21" s="1592"/>
      <c r="H21" s="1592"/>
      <c r="I21" s="1592"/>
      <c r="J21" s="1592"/>
      <c r="K21" s="1593"/>
      <c r="L21" s="523"/>
    </row>
    <row r="22" spans="1:12" ht="15.75" customHeight="1" collapsed="1" x14ac:dyDescent="0.2">
      <c r="A22" s="2164" t="s">
        <v>617</v>
      </c>
      <c r="B22" s="2165"/>
      <c r="C22" s="476"/>
      <c r="D22" s="476"/>
      <c r="E22" s="476"/>
      <c r="F22" s="476"/>
      <c r="G22" s="476"/>
      <c r="H22" s="476"/>
      <c r="I22" s="476"/>
      <c r="J22" s="476"/>
      <c r="K22" s="476"/>
      <c r="L22" s="346"/>
    </row>
    <row r="23" spans="1:12" s="484" customFormat="1" ht="15.75" customHeight="1" x14ac:dyDescent="0.2">
      <c r="A23" s="2160" t="s">
        <v>311</v>
      </c>
      <c r="B23" s="2161"/>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c r="D25" s="466"/>
      <c r="E25" s="466"/>
      <c r="F25" s="466"/>
      <c r="G25" s="466"/>
      <c r="H25" s="466"/>
      <c r="I25" s="476"/>
      <c r="J25" s="466"/>
      <c r="K25" s="466"/>
      <c r="L25" s="523"/>
    </row>
    <row r="26" spans="1:12" s="484" customFormat="1" ht="13.5" customHeight="1" x14ac:dyDescent="0.2">
      <c r="A26" s="1510" t="s">
        <v>193</v>
      </c>
      <c r="B26" s="482">
        <v>7120</v>
      </c>
      <c r="C26" s="466"/>
      <c r="D26" s="466"/>
      <c r="E26" s="466"/>
      <c r="F26" s="466"/>
      <c r="G26" s="466"/>
      <c r="H26" s="466"/>
      <c r="I26" s="476"/>
      <c r="J26" s="466"/>
      <c r="K26" s="466"/>
      <c r="L26" s="523"/>
    </row>
    <row r="27" spans="1:12" s="484" customFormat="1" ht="13.5" customHeight="1" x14ac:dyDescent="0.2">
      <c r="A27" s="1510" t="s">
        <v>194</v>
      </c>
      <c r="B27" s="482">
        <v>7130</v>
      </c>
      <c r="C27" s="466">
        <v>150000</v>
      </c>
      <c r="D27" s="466">
        <v>200000</v>
      </c>
      <c r="E27" s="525"/>
      <c r="F27" s="466"/>
      <c r="G27" s="479"/>
      <c r="H27" s="479"/>
      <c r="I27" s="479"/>
      <c r="J27" s="479"/>
      <c r="K27" s="479"/>
      <c r="L27" s="523"/>
    </row>
    <row r="28" spans="1:12" s="484" customFormat="1" ht="13.5" customHeight="1" x14ac:dyDescent="0.2">
      <c r="A28" s="1510" t="s">
        <v>1465</v>
      </c>
      <c r="B28" s="482">
        <v>7140</v>
      </c>
      <c r="C28" s="466"/>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1895</v>
      </c>
      <c r="B30" s="526">
        <v>7160</v>
      </c>
      <c r="C30" s="476"/>
      <c r="D30" s="466"/>
      <c r="E30" s="476"/>
      <c r="F30" s="476"/>
      <c r="G30" s="476"/>
      <c r="H30" s="476"/>
      <c r="I30" s="476"/>
      <c r="J30" s="476"/>
      <c r="K30" s="476"/>
      <c r="L30" s="523"/>
    </row>
    <row r="31" spans="1:12" s="484" customFormat="1" ht="26.25" x14ac:dyDescent="0.2">
      <c r="A31" s="1510" t="s">
        <v>1899</v>
      </c>
      <c r="B31" s="526">
        <v>7170</v>
      </c>
      <c r="C31" s="476"/>
      <c r="D31" s="476"/>
      <c r="E31" s="473"/>
      <c r="F31" s="476"/>
      <c r="G31" s="476"/>
      <c r="H31" s="476"/>
      <c r="I31" s="476"/>
      <c r="J31" s="476"/>
      <c r="K31" s="476"/>
      <c r="L31" s="523"/>
    </row>
    <row r="32" spans="1:12" s="484" customFormat="1" ht="15.75" customHeight="1" x14ac:dyDescent="0.2">
      <c r="A32" s="2162" t="s">
        <v>1038</v>
      </c>
      <c r="B32" s="2163"/>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0</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c r="D43" s="466"/>
      <c r="E43" s="466"/>
      <c r="F43" s="466"/>
      <c r="G43" s="466"/>
      <c r="H43" s="466"/>
      <c r="I43" s="466"/>
      <c r="J43" s="466"/>
      <c r="K43" s="466"/>
      <c r="L43" s="523"/>
    </row>
    <row r="44" spans="1:12" s="484" customFormat="1" ht="13.5" customHeight="1" thickBot="1" x14ac:dyDescent="0.25">
      <c r="A44" s="2170" t="s">
        <v>392</v>
      </c>
      <c r="B44" s="2171"/>
      <c r="C44" s="1724">
        <f>SUM(C24:C43)</f>
        <v>150000</v>
      </c>
      <c r="D44" s="1724">
        <f t="shared" ref="D44:K44" si="6">SUM(D24:D43)</f>
        <v>200000</v>
      </c>
      <c r="E44" s="1724">
        <f t="shared" si="6"/>
        <v>0</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64" t="s">
        <v>110</v>
      </c>
      <c r="B45" s="2165"/>
      <c r="C45" s="527"/>
      <c r="D45" s="527"/>
      <c r="E45" s="527"/>
      <c r="F45" s="527"/>
      <c r="G45" s="527"/>
      <c r="H45" s="527"/>
      <c r="I45" s="527"/>
      <c r="J45" s="527"/>
      <c r="K45" s="527"/>
      <c r="L45" s="346"/>
    </row>
    <row r="46" spans="1:12" s="484" customFormat="1" ht="15.75" customHeight="1" x14ac:dyDescent="0.2">
      <c r="A46" s="2172" t="s">
        <v>111</v>
      </c>
      <c r="B46" s="2173"/>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0</v>
      </c>
      <c r="J47" s="476"/>
      <c r="K47" s="476"/>
      <c r="L47" s="528"/>
    </row>
    <row r="48" spans="1:12" s="484" customFormat="1" ht="15" x14ac:dyDescent="0.2">
      <c r="A48" s="1511" t="s">
        <v>1759</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c r="D49" s="466"/>
      <c r="E49" s="479"/>
      <c r="F49" s="466">
        <v>350000</v>
      </c>
      <c r="G49" s="479"/>
      <c r="H49" s="479"/>
      <c r="I49" s="476"/>
      <c r="J49" s="479"/>
      <c r="K49" s="476"/>
      <c r="L49" s="523"/>
    </row>
    <row r="50" spans="1:12" s="484" customFormat="1" x14ac:dyDescent="0.2">
      <c r="A50" s="1511" t="s">
        <v>1465</v>
      </c>
      <c r="B50" s="482">
        <v>8140</v>
      </c>
      <c r="C50" s="466"/>
      <c r="D50" s="466"/>
      <c r="E50" s="466"/>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1898</v>
      </c>
      <c r="B52" s="482">
        <v>8160</v>
      </c>
      <c r="C52" s="476"/>
      <c r="D52" s="476"/>
      <c r="E52" s="476"/>
      <c r="F52" s="476"/>
      <c r="G52" s="476"/>
      <c r="H52" s="476"/>
      <c r="I52" s="476"/>
      <c r="J52" s="476"/>
      <c r="K52" s="1764">
        <f>D30</f>
        <v>0</v>
      </c>
      <c r="L52" s="523"/>
    </row>
    <row r="53" spans="1:12" s="484" customFormat="1" ht="26.25" x14ac:dyDescent="0.2">
      <c r="A53" s="1511" t="s">
        <v>1897</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46" t="s">
        <v>460</v>
      </c>
      <c r="B76" s="2147"/>
      <c r="C76" s="1724">
        <f t="shared" ref="C76:K76" si="7">SUM(C47:C75)</f>
        <v>0</v>
      </c>
      <c r="D76" s="1724">
        <f t="shared" si="7"/>
        <v>0</v>
      </c>
      <c r="E76" s="1724">
        <f t="shared" si="7"/>
        <v>0</v>
      </c>
      <c r="F76" s="1724">
        <f t="shared" si="7"/>
        <v>350000</v>
      </c>
      <c r="G76" s="1724">
        <f t="shared" si="7"/>
        <v>0</v>
      </c>
      <c r="H76" s="1724">
        <f t="shared" si="7"/>
        <v>0</v>
      </c>
      <c r="I76" s="1724">
        <f t="shared" si="7"/>
        <v>0</v>
      </c>
      <c r="J76" s="1724">
        <f t="shared" si="7"/>
        <v>0</v>
      </c>
      <c r="K76" s="1724">
        <f t="shared" si="7"/>
        <v>0</v>
      </c>
      <c r="L76" s="523"/>
    </row>
    <row r="77" spans="1:12" ht="14.25" thickTop="1" thickBot="1" x14ac:dyDescent="0.25">
      <c r="A77" s="2148" t="s">
        <v>1239</v>
      </c>
      <c r="B77" s="2149"/>
      <c r="C77" s="1724">
        <f t="shared" ref="C77:K77" si="8">C44-C76</f>
        <v>150000</v>
      </c>
      <c r="D77" s="1724">
        <f t="shared" si="8"/>
        <v>200000</v>
      </c>
      <c r="E77" s="1724">
        <f t="shared" si="8"/>
        <v>0</v>
      </c>
      <c r="F77" s="1724">
        <f t="shared" si="8"/>
        <v>-350000</v>
      </c>
      <c r="G77" s="1724">
        <f t="shared" si="8"/>
        <v>0</v>
      </c>
      <c r="H77" s="1724">
        <f t="shared" si="8"/>
        <v>0</v>
      </c>
      <c r="I77" s="1724">
        <f t="shared" si="8"/>
        <v>0</v>
      </c>
      <c r="J77" s="1724">
        <f t="shared" si="8"/>
        <v>0</v>
      </c>
      <c r="K77" s="1724">
        <f t="shared" si="8"/>
        <v>0</v>
      </c>
      <c r="L77" s="346"/>
    </row>
    <row r="78" spans="1:12" ht="21.75" customHeight="1" thickTop="1" thickBot="1" x14ac:dyDescent="0.25">
      <c r="A78" s="2152" t="s">
        <v>618</v>
      </c>
      <c r="B78" s="2153"/>
      <c r="C78" s="1723">
        <f t="shared" ref="C78:K78" si="9">C20+C77</f>
        <v>476086</v>
      </c>
      <c r="D78" s="1723">
        <f t="shared" si="9"/>
        <v>-23130</v>
      </c>
      <c r="E78" s="1723">
        <f t="shared" si="9"/>
        <v>58020</v>
      </c>
      <c r="F78" s="1723">
        <f t="shared" si="9"/>
        <v>-169700</v>
      </c>
      <c r="G78" s="1723">
        <f t="shared" si="9"/>
        <v>-312001</v>
      </c>
      <c r="H78" s="1723">
        <f t="shared" si="9"/>
        <v>23</v>
      </c>
      <c r="I78" s="1723">
        <f t="shared" si="9"/>
        <v>8462</v>
      </c>
      <c r="J78" s="1723">
        <f t="shared" si="9"/>
        <v>104278</v>
      </c>
      <c r="K78" s="1723">
        <f t="shared" si="9"/>
        <v>1770</v>
      </c>
      <c r="L78" s="532"/>
    </row>
    <row r="79" spans="1:12" ht="13.5" thickTop="1" x14ac:dyDescent="0.2">
      <c r="A79" s="1515" t="s">
        <v>2069</v>
      </c>
      <c r="B79" s="533"/>
      <c r="C79" s="477">
        <v>1089957</v>
      </c>
      <c r="D79" s="534">
        <v>331084</v>
      </c>
      <c r="E79" s="534">
        <v>-58020</v>
      </c>
      <c r="F79" s="534">
        <v>446935</v>
      </c>
      <c r="G79" s="534">
        <v>744088</v>
      </c>
      <c r="H79" s="534">
        <v>2799</v>
      </c>
      <c r="I79" s="534">
        <v>488616</v>
      </c>
      <c r="J79" s="534">
        <v>102357</v>
      </c>
      <c r="K79" s="534">
        <v>213539</v>
      </c>
      <c r="L79" s="346"/>
    </row>
    <row r="80" spans="1:12" x14ac:dyDescent="0.2">
      <c r="A80" s="2158" t="s">
        <v>1896</v>
      </c>
      <c r="B80" s="2159"/>
      <c r="C80" s="466"/>
      <c r="D80" s="466"/>
      <c r="E80" s="466"/>
      <c r="F80" s="466"/>
      <c r="G80" s="466"/>
      <c r="H80" s="466"/>
      <c r="I80" s="466"/>
      <c r="J80" s="466"/>
      <c r="K80" s="466"/>
      <c r="L80" s="346"/>
    </row>
    <row r="81" spans="1:12" ht="13.5" thickBot="1" x14ac:dyDescent="0.25">
      <c r="A81" s="2150" t="s">
        <v>2070</v>
      </c>
      <c r="B81" s="2151"/>
      <c r="C81" s="1709">
        <f>(SUM(C78:C80))</f>
        <v>1566043</v>
      </c>
      <c r="D81" s="1709">
        <f>SUM(D78:D80)</f>
        <v>307954</v>
      </c>
      <c r="E81" s="1709">
        <f t="shared" ref="E81:K81" si="10">SUM(E78:E80)</f>
        <v>0</v>
      </c>
      <c r="F81" s="1709">
        <f t="shared" si="10"/>
        <v>277235</v>
      </c>
      <c r="G81" s="1709">
        <f t="shared" si="10"/>
        <v>432087</v>
      </c>
      <c r="H81" s="1709">
        <f t="shared" si="10"/>
        <v>2822</v>
      </c>
      <c r="I81" s="1709">
        <f t="shared" si="10"/>
        <v>497078</v>
      </c>
      <c r="J81" s="1709">
        <f t="shared" si="10"/>
        <v>206635</v>
      </c>
      <c r="K81" s="1709">
        <f t="shared" si="10"/>
        <v>215309</v>
      </c>
      <c r="L81" s="346"/>
    </row>
    <row r="82" spans="1:12" ht="0.75" customHeight="1" thickTop="1" thickBot="1" x14ac:dyDescent="0.25">
      <c r="A82" s="535" t="s">
        <v>361</v>
      </c>
      <c r="B82" s="536"/>
      <c r="C82" s="537">
        <f>(C81-C79)</f>
        <v>476086</v>
      </c>
      <c r="D82" s="537">
        <f t="shared" ref="D82:K82" si="11">(D81-D79)</f>
        <v>-23130</v>
      </c>
      <c r="E82" s="537">
        <f t="shared" si="11"/>
        <v>58020</v>
      </c>
      <c r="F82" s="537">
        <f t="shared" si="11"/>
        <v>-169700</v>
      </c>
      <c r="G82" s="537">
        <f t="shared" si="11"/>
        <v>-312001</v>
      </c>
      <c r="H82" s="537">
        <f t="shared" si="11"/>
        <v>23</v>
      </c>
      <c r="I82" s="537">
        <f t="shared" si="11"/>
        <v>8462</v>
      </c>
      <c r="J82" s="537">
        <f t="shared" si="11"/>
        <v>104278</v>
      </c>
      <c r="K82" s="537">
        <f t="shared" si="11"/>
        <v>1770</v>
      </c>
    </row>
    <row r="83" spans="1:12" ht="14.25" hidden="1" thickTop="1" thickBot="1" x14ac:dyDescent="0.25">
      <c r="A83" s="538" t="s">
        <v>362</v>
      </c>
      <c r="B83" s="463"/>
      <c r="C83" s="539">
        <f>C82/C81</f>
        <v>0.3040057009928846</v>
      </c>
      <c r="D83" s="539">
        <f t="shared" ref="D83:K83" si="12">D82/D81</f>
        <v>-7.5108620118589139E-2</v>
      </c>
      <c r="E83" s="539" t="e">
        <f t="shared" si="12"/>
        <v>#DIV/0!</v>
      </c>
      <c r="F83" s="539">
        <f t="shared" si="12"/>
        <v>-0.61211607481017904</v>
      </c>
      <c r="G83" s="539">
        <f t="shared" si="12"/>
        <v>-0.72207911832570759</v>
      </c>
      <c r="H83" s="539">
        <f t="shared" si="12"/>
        <v>8.1502480510276393E-3</v>
      </c>
      <c r="I83" s="539">
        <f t="shared" si="12"/>
        <v>1.7023485247788073E-2</v>
      </c>
      <c r="J83" s="539">
        <f t="shared" si="12"/>
        <v>0.50464829288358704</v>
      </c>
      <c r="K83" s="539">
        <f t="shared" si="12"/>
        <v>8.220743210920119E-3</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33" sqref="C33:I34"/>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54" t="s">
        <v>1903</v>
      </c>
      <c r="B1" s="451"/>
      <c r="C1" s="452" t="s">
        <v>445</v>
      </c>
      <c r="D1" s="452" t="s">
        <v>446</v>
      </c>
      <c r="E1" s="452" t="s">
        <v>447</v>
      </c>
      <c r="F1" s="452" t="s">
        <v>448</v>
      </c>
      <c r="G1" s="452" t="s">
        <v>449</v>
      </c>
      <c r="H1" s="452" t="s">
        <v>450</v>
      </c>
      <c r="I1" s="452" t="s">
        <v>451</v>
      </c>
      <c r="J1" s="452" t="s">
        <v>452</v>
      </c>
      <c r="K1" s="452" t="s">
        <v>780</v>
      </c>
    </row>
    <row r="2" spans="1:12" ht="36" x14ac:dyDescent="0.2">
      <c r="A2" s="2155"/>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453431</v>
      </c>
      <c r="D5" s="480">
        <v>50425</v>
      </c>
      <c r="E5" s="465">
        <v>413295</v>
      </c>
      <c r="F5" s="547">
        <v>195683</v>
      </c>
      <c r="G5" s="465">
        <v>-81123</v>
      </c>
      <c r="H5" s="465"/>
      <c r="I5" s="465">
        <v>4564</v>
      </c>
      <c r="J5" s="466">
        <v>235598</v>
      </c>
      <c r="K5" s="465"/>
    </row>
    <row r="6" spans="1:12" ht="15" x14ac:dyDescent="0.2">
      <c r="A6" s="462" t="s">
        <v>1761</v>
      </c>
      <c r="B6" s="469">
        <v>1130</v>
      </c>
      <c r="C6" s="465"/>
      <c r="D6" s="465"/>
      <c r="E6" s="474"/>
      <c r="F6" s="474"/>
      <c r="G6" s="467"/>
      <c r="H6" s="467"/>
      <c r="I6" s="467"/>
      <c r="J6" s="467"/>
      <c r="K6" s="467"/>
    </row>
    <row r="7" spans="1:12" x14ac:dyDescent="0.2">
      <c r="A7" s="462" t="s">
        <v>112</v>
      </c>
      <c r="B7" s="548">
        <v>1140</v>
      </c>
      <c r="C7" s="465">
        <v>36461</v>
      </c>
      <c r="D7" s="465"/>
      <c r="E7" s="467"/>
      <c r="F7" s="466"/>
      <c r="G7" s="466"/>
      <c r="H7" s="466"/>
      <c r="I7" s="467"/>
      <c r="J7" s="467"/>
      <c r="K7" s="467"/>
    </row>
    <row r="8" spans="1:12" x14ac:dyDescent="0.2">
      <c r="A8" s="462" t="s">
        <v>433</v>
      </c>
      <c r="B8" s="469">
        <v>1150</v>
      </c>
      <c r="C8" s="474"/>
      <c r="D8" s="474"/>
      <c r="E8" s="476"/>
      <c r="F8" s="476"/>
      <c r="G8" s="480">
        <v>-81123</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489892</v>
      </c>
      <c r="D12" s="1728">
        <f t="shared" si="0"/>
        <v>50425</v>
      </c>
      <c r="E12" s="1728">
        <f t="shared" si="0"/>
        <v>413295</v>
      </c>
      <c r="F12" s="1728">
        <f t="shared" si="0"/>
        <v>195683</v>
      </c>
      <c r="G12" s="1728">
        <f t="shared" si="0"/>
        <v>-162246</v>
      </c>
      <c r="H12" s="1728">
        <f t="shared" si="0"/>
        <v>0</v>
      </c>
      <c r="I12" s="1728">
        <f t="shared" si="0"/>
        <v>4564</v>
      </c>
      <c r="J12" s="1728">
        <f t="shared" si="0"/>
        <v>235598</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217185</v>
      </c>
      <c r="D16" s="465">
        <v>215322</v>
      </c>
      <c r="E16" s="465"/>
      <c r="F16" s="465"/>
      <c r="G16" s="465">
        <v>1500</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217185</v>
      </c>
      <c r="D18" s="1731">
        <f t="shared" ref="D18:K18" si="1">SUM(D14:D17)</f>
        <v>215322</v>
      </c>
      <c r="E18" s="1731">
        <f t="shared" si="1"/>
        <v>0</v>
      </c>
      <c r="F18" s="1731">
        <f t="shared" si="1"/>
        <v>0</v>
      </c>
      <c r="G18" s="1731">
        <f t="shared" si="1"/>
        <v>1500</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0</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11127</v>
      </c>
      <c r="D65" s="465">
        <v>1539</v>
      </c>
      <c r="E65" s="465">
        <v>1833</v>
      </c>
      <c r="F65" s="466">
        <v>4178</v>
      </c>
      <c r="G65" s="465">
        <v>5675</v>
      </c>
      <c r="H65" s="465">
        <v>23</v>
      </c>
      <c r="I65" s="465">
        <v>3898</v>
      </c>
      <c r="J65" s="466">
        <v>201</v>
      </c>
      <c r="K65" s="465">
        <v>1770</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11127</v>
      </c>
      <c r="D67" s="1709">
        <f t="shared" ref="D67:K67" si="2">SUM(D65:D66)</f>
        <v>1539</v>
      </c>
      <c r="E67" s="1709">
        <f t="shared" si="2"/>
        <v>1833</v>
      </c>
      <c r="F67" s="1709">
        <f t="shared" si="2"/>
        <v>4178</v>
      </c>
      <c r="G67" s="1709">
        <f t="shared" si="2"/>
        <v>5675</v>
      </c>
      <c r="H67" s="1709">
        <f t="shared" si="2"/>
        <v>23</v>
      </c>
      <c r="I67" s="1709">
        <f t="shared" si="2"/>
        <v>3898</v>
      </c>
      <c r="J67" s="1709">
        <f t="shared" si="2"/>
        <v>201</v>
      </c>
      <c r="K67" s="1709">
        <f t="shared" si="2"/>
        <v>1770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0</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885</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885</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v>763</v>
      </c>
      <c r="D92" s="467"/>
      <c r="E92" s="467"/>
      <c r="F92" s="467"/>
      <c r="G92" s="467"/>
      <c r="H92" s="467"/>
      <c r="I92" s="467"/>
      <c r="J92" s="467"/>
      <c r="K92" s="467"/>
    </row>
    <row r="93" spans="1:11" ht="12.75" customHeight="1" thickBot="1" x14ac:dyDescent="0.25">
      <c r="A93" s="1729" t="s">
        <v>261</v>
      </c>
      <c r="B93" s="1730"/>
      <c r="C93" s="1709">
        <f>SUM(C84:C92)</f>
        <v>763</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c r="D95" s="550">
        <v>84547</v>
      </c>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205346</v>
      </c>
      <c r="D99" s="465">
        <v>16</v>
      </c>
      <c r="E99" s="465"/>
      <c r="F99" s="465">
        <v>13920</v>
      </c>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1756</v>
      </c>
      <c r="D107" s="465">
        <v>213</v>
      </c>
      <c r="E107" s="465"/>
      <c r="F107" s="465"/>
      <c r="G107" s="465"/>
      <c r="H107" s="465"/>
      <c r="I107" s="465"/>
      <c r="J107" s="466"/>
      <c r="K107" s="465"/>
    </row>
    <row r="108" spans="1:12" ht="12.75" customHeight="1" thickBot="1" x14ac:dyDescent="0.25">
      <c r="A108" s="1729" t="s">
        <v>508</v>
      </c>
      <c r="B108" s="1733"/>
      <c r="C108" s="1728">
        <f>SUM(C95:C107)</f>
        <v>207102</v>
      </c>
      <c r="D108" s="1728">
        <f t="shared" ref="D108:K108" si="3">SUM(D95:D107)</f>
        <v>84776</v>
      </c>
      <c r="E108" s="1728">
        <f t="shared" si="3"/>
        <v>0</v>
      </c>
      <c r="F108" s="1728">
        <f t="shared" si="3"/>
        <v>13920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926954</v>
      </c>
      <c r="D109" s="1736">
        <f t="shared" si="4"/>
        <v>352062</v>
      </c>
      <c r="E109" s="1736">
        <f t="shared" si="4"/>
        <v>415128</v>
      </c>
      <c r="F109" s="1736">
        <f t="shared" si="4"/>
        <v>213781</v>
      </c>
      <c r="G109" s="1736">
        <f t="shared" si="4"/>
        <v>-155071</v>
      </c>
      <c r="H109" s="1736">
        <f t="shared" si="4"/>
        <v>23</v>
      </c>
      <c r="I109" s="1736">
        <f t="shared" si="4"/>
        <v>8462</v>
      </c>
      <c r="J109" s="1736">
        <f t="shared" si="4"/>
        <v>235799</v>
      </c>
      <c r="K109" s="1723">
        <f t="shared" si="4"/>
        <v>1770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1970546</v>
      </c>
      <c r="D117" s="480"/>
      <c r="E117" s="465">
        <v>14642</v>
      </c>
      <c r="F117" s="480"/>
      <c r="G117" s="480"/>
      <c r="H117" s="465"/>
      <c r="I117" s="467"/>
      <c r="J117" s="466">
        <v>218452</v>
      </c>
      <c r="K117" s="465"/>
    </row>
    <row r="118" spans="1:11" ht="12.75" customHeight="1" x14ac:dyDescent="0.2">
      <c r="A118" s="462" t="s">
        <v>1900</v>
      </c>
      <c r="B118" s="561">
        <v>3002</v>
      </c>
      <c r="C118" s="550"/>
      <c r="D118" s="465"/>
      <c r="E118" s="465"/>
      <c r="F118" s="465"/>
      <c r="G118" s="465"/>
      <c r="H118" s="465"/>
      <c r="I118" s="467"/>
      <c r="J118" s="466"/>
      <c r="K118" s="465"/>
    </row>
    <row r="119" spans="1:11" ht="12.75" customHeight="1" x14ac:dyDescent="0.2">
      <c r="A119" s="462" t="s">
        <v>1901</v>
      </c>
      <c r="B119" s="561">
        <v>3005</v>
      </c>
      <c r="C119" s="550"/>
      <c r="D119" s="465"/>
      <c r="E119" s="465"/>
      <c r="F119" s="465"/>
      <c r="G119" s="465"/>
      <c r="H119" s="465"/>
      <c r="I119" s="467"/>
      <c r="J119" s="466"/>
      <c r="K119" s="465"/>
    </row>
    <row r="120" spans="1:11" x14ac:dyDescent="0.2">
      <c r="A120" s="1517" t="s">
        <v>1902</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1970546</v>
      </c>
      <c r="D121" s="1728">
        <f t="shared" si="5"/>
        <v>0</v>
      </c>
      <c r="E121" s="1728">
        <f t="shared" si="5"/>
        <v>14642</v>
      </c>
      <c r="F121" s="1728">
        <f t="shared" si="5"/>
        <v>0</v>
      </c>
      <c r="G121" s="1728">
        <f t="shared" si="5"/>
        <v>0</v>
      </c>
      <c r="H121" s="1728">
        <f t="shared" si="5"/>
        <v>0</v>
      </c>
      <c r="I121" s="467"/>
      <c r="J121" s="1728">
        <f>SUM(J117:J120)</f>
        <v>218452</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3106</v>
      </c>
      <c r="D124" s="560"/>
      <c r="E124" s="467"/>
      <c r="F124" s="547"/>
      <c r="G124" s="467"/>
      <c r="H124" s="467"/>
      <c r="I124" s="467"/>
      <c r="J124" s="467"/>
      <c r="K124" s="467"/>
    </row>
    <row r="125" spans="1:11" ht="12.75" customHeight="1" x14ac:dyDescent="0.2">
      <c r="A125" s="462" t="s">
        <v>1521</v>
      </c>
      <c r="B125" s="561">
        <v>3105</v>
      </c>
      <c r="C125" s="465">
        <v>22476</v>
      </c>
      <c r="D125" s="560"/>
      <c r="E125" s="467"/>
      <c r="F125" s="465"/>
      <c r="G125" s="467"/>
      <c r="H125" s="467"/>
      <c r="I125" s="467"/>
      <c r="J125" s="467"/>
      <c r="K125" s="467"/>
    </row>
    <row r="126" spans="1:11" ht="12.75" customHeight="1" x14ac:dyDescent="0.2">
      <c r="A126" s="462" t="s">
        <v>922</v>
      </c>
      <c r="B126" s="561">
        <v>3110</v>
      </c>
      <c r="C126" s="550">
        <v>37595</v>
      </c>
      <c r="D126" s="465"/>
      <c r="E126" s="467"/>
      <c r="F126" s="465"/>
      <c r="G126" s="467"/>
      <c r="H126" s="467"/>
      <c r="I126" s="467"/>
      <c r="J126" s="467"/>
      <c r="K126" s="467"/>
    </row>
    <row r="127" spans="1:11" ht="12.75" customHeight="1" x14ac:dyDescent="0.2">
      <c r="A127" s="462" t="s">
        <v>107</v>
      </c>
      <c r="B127" s="561">
        <v>3120</v>
      </c>
      <c r="C127" s="465"/>
      <c r="D127" s="560"/>
      <c r="E127" s="467"/>
      <c r="F127" s="465"/>
      <c r="G127" s="467"/>
      <c r="H127" s="467"/>
      <c r="I127" s="467"/>
      <c r="J127" s="467"/>
      <c r="K127" s="467"/>
    </row>
    <row r="128" spans="1:11" ht="12.75" customHeight="1" x14ac:dyDescent="0.2">
      <c r="A128" s="462" t="s">
        <v>1522</v>
      </c>
      <c r="B128" s="561">
        <v>3130</v>
      </c>
      <c r="C128" s="465"/>
      <c r="D128" s="560"/>
      <c r="E128" s="467"/>
      <c r="F128" s="465"/>
      <c r="G128" s="467"/>
      <c r="H128" s="467"/>
      <c r="I128" s="467"/>
      <c r="J128" s="467"/>
      <c r="K128" s="467"/>
    </row>
    <row r="129" spans="1:11" ht="12.75" customHeight="1" x14ac:dyDescent="0.2">
      <c r="A129" s="462" t="s">
        <v>139</v>
      </c>
      <c r="B129" s="561">
        <v>3145</v>
      </c>
      <c r="C129" s="465"/>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63177</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0</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3764</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v>16875</v>
      </c>
      <c r="G151" s="466"/>
      <c r="H151" s="467"/>
      <c r="I151" s="467"/>
      <c r="J151" s="467"/>
      <c r="K151" s="467"/>
    </row>
    <row r="152" spans="1:11" ht="12.75" customHeight="1" x14ac:dyDescent="0.2">
      <c r="A152" s="462" t="s">
        <v>1117</v>
      </c>
      <c r="B152" s="561">
        <v>3510</v>
      </c>
      <c r="C152" s="550"/>
      <c r="D152" s="465"/>
      <c r="E152" s="560"/>
      <c r="F152" s="465">
        <v>37007</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53882</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v>296085</v>
      </c>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v>28628</v>
      </c>
      <c r="D171" s="579"/>
      <c r="E171" s="579"/>
      <c r="F171" s="579"/>
      <c r="G171" s="580"/>
      <c r="H171" s="581"/>
      <c r="I171" s="580"/>
      <c r="J171" s="580"/>
      <c r="K171" s="581"/>
    </row>
    <row r="172" spans="1:11" ht="12.75" customHeight="1" thickTop="1" thickBot="1" x14ac:dyDescent="0.25">
      <c r="A172" s="2174" t="s">
        <v>418</v>
      </c>
      <c r="B172" s="2175"/>
      <c r="C172" s="1743">
        <f t="shared" ref="C172:K172" si="6">SUM(C131,C140,C144,C145:C149,C154,C155:C170,C171)</f>
        <v>391654</v>
      </c>
      <c r="D172" s="1743">
        <f t="shared" si="6"/>
        <v>0</v>
      </c>
      <c r="E172" s="1743">
        <f t="shared" si="6"/>
        <v>0</v>
      </c>
      <c r="F172" s="1743">
        <f t="shared" si="6"/>
        <v>53882</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2362200</v>
      </c>
      <c r="D173" s="1736">
        <f>SUM(D121,D172)</f>
        <v>0</v>
      </c>
      <c r="E173" s="1736">
        <f>SUM(E121,E172)</f>
        <v>14642</v>
      </c>
      <c r="F173" s="1736">
        <f t="shared" ref="F173:K173" si="7">SUM(F121,F172)</f>
        <v>53882</v>
      </c>
      <c r="G173" s="1736">
        <f t="shared" si="7"/>
        <v>0</v>
      </c>
      <c r="H173" s="1736">
        <f t="shared" si="7"/>
        <v>0</v>
      </c>
      <c r="I173" s="1736">
        <f t="shared" si="7"/>
        <v>0</v>
      </c>
      <c r="J173" s="1736">
        <f t="shared" si="7"/>
        <v>218452</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6" t="s">
        <v>1572</v>
      </c>
      <c r="B175" s="2177"/>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80" t="s">
        <v>1764</v>
      </c>
      <c r="B178" s="218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84" t="s">
        <v>1763</v>
      </c>
      <c r="B179" s="2185"/>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82" t="s">
        <v>818</v>
      </c>
      <c r="B184" s="2183"/>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78" t="s">
        <v>1904</v>
      </c>
      <c r="B185" s="2179"/>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141347</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v>77088</v>
      </c>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v>13244</v>
      </c>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231679</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493225</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493225</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v>6633</v>
      </c>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6633</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v>4501</v>
      </c>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130213</v>
      </c>
      <c r="D220" s="465"/>
      <c r="E220" s="467"/>
      <c r="F220" s="465"/>
      <c r="G220" s="465"/>
      <c r="H220" s="467"/>
      <c r="I220" s="467"/>
      <c r="J220" s="467"/>
      <c r="K220" s="467"/>
    </row>
    <row r="221" spans="1:11" ht="12.75" customHeight="1" x14ac:dyDescent="0.2">
      <c r="A221" s="462" t="s">
        <v>1114</v>
      </c>
      <c r="B221" s="469">
        <v>4625</v>
      </c>
      <c r="C221" s="550"/>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134714</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24748</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v>18907</v>
      </c>
      <c r="D270" s="575"/>
      <c r="E270" s="467"/>
      <c r="F270" s="575"/>
      <c r="G270" s="575"/>
      <c r="H270" s="467"/>
      <c r="I270" s="467"/>
      <c r="J270" s="467"/>
      <c r="K270" s="467"/>
    </row>
    <row r="271" spans="1:11" ht="12.75" customHeight="1" thickTop="1" thickBot="1" x14ac:dyDescent="0.25">
      <c r="A271" s="462" t="s">
        <v>395</v>
      </c>
      <c r="B271" s="469">
        <v>4992</v>
      </c>
      <c r="C271" s="574">
        <v>14410</v>
      </c>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924316</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924316</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4213470</v>
      </c>
      <c r="D275" s="1736">
        <f t="shared" si="12"/>
        <v>352062</v>
      </c>
      <c r="E275" s="1736">
        <f t="shared" si="12"/>
        <v>429770</v>
      </c>
      <c r="F275" s="1736">
        <f t="shared" si="12"/>
        <v>267663</v>
      </c>
      <c r="G275" s="1736">
        <f t="shared" si="12"/>
        <v>-155071</v>
      </c>
      <c r="H275" s="1736">
        <f t="shared" si="12"/>
        <v>23</v>
      </c>
      <c r="I275" s="1736">
        <f t="shared" si="12"/>
        <v>8462</v>
      </c>
      <c r="J275" s="1736">
        <f t="shared" si="12"/>
        <v>454251</v>
      </c>
      <c r="K275" s="1723">
        <f t="shared" si="12"/>
        <v>1770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8" activePane="bottomLeft" state="frozen"/>
      <selection activeCell="C33" sqref="C33:I34"/>
      <selection pane="bottomLeft" activeCell="C33" sqref="C33:I3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54" t="s">
        <v>1903</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86"/>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92" t="s">
        <v>315</v>
      </c>
      <c r="B3" s="2193"/>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763755</v>
      </c>
      <c r="D5" s="465">
        <v>74479</v>
      </c>
      <c r="E5" s="465">
        <v>15382</v>
      </c>
      <c r="F5" s="465">
        <v>88786</v>
      </c>
      <c r="G5" s="465"/>
      <c r="H5" s="465">
        <v>460</v>
      </c>
      <c r="I5" s="466">
        <v>7193</v>
      </c>
      <c r="J5" s="466"/>
      <c r="K5" s="1692">
        <f>SUM(C5:J5)</f>
        <v>950055</v>
      </c>
      <c r="L5" s="465">
        <v>1002300</v>
      </c>
    </row>
    <row r="6" spans="1:14" x14ac:dyDescent="0.2">
      <c r="A6" s="1525" t="s">
        <v>1508</v>
      </c>
      <c r="B6" s="614" t="s">
        <v>1506</v>
      </c>
      <c r="C6" s="476"/>
      <c r="D6" s="476"/>
      <c r="E6" s="465"/>
      <c r="F6" s="476"/>
      <c r="G6" s="476"/>
      <c r="H6" s="476"/>
      <c r="I6" s="476"/>
      <c r="J6" s="476"/>
      <c r="K6" s="1692">
        <f>SUM(C6,E6)</f>
        <v>0</v>
      </c>
      <c r="L6" s="465"/>
    </row>
    <row r="7" spans="1:14" x14ac:dyDescent="0.2">
      <c r="A7" s="1525" t="s">
        <v>165</v>
      </c>
      <c r="B7" s="614" t="s">
        <v>1024</v>
      </c>
      <c r="C7" s="466">
        <v>229861</v>
      </c>
      <c r="D7" s="466">
        <v>30468</v>
      </c>
      <c r="E7" s="466">
        <v>2965</v>
      </c>
      <c r="F7" s="466">
        <v>9324</v>
      </c>
      <c r="G7" s="466"/>
      <c r="H7" s="466"/>
      <c r="I7" s="466"/>
      <c r="J7" s="466"/>
      <c r="K7" s="1692">
        <f t="shared" ref="K7:K32" si="0">SUM(C7:J7)</f>
        <v>272618</v>
      </c>
      <c r="L7" s="465">
        <v>296360</v>
      </c>
    </row>
    <row r="8" spans="1:14" x14ac:dyDescent="0.2">
      <c r="A8" s="1525" t="s">
        <v>166</v>
      </c>
      <c r="B8" s="614">
        <v>1200</v>
      </c>
      <c r="C8" s="465">
        <v>225287</v>
      </c>
      <c r="D8" s="465">
        <v>27604</v>
      </c>
      <c r="E8" s="465">
        <v>14288</v>
      </c>
      <c r="F8" s="465">
        <v>19471</v>
      </c>
      <c r="G8" s="465"/>
      <c r="H8" s="465"/>
      <c r="I8" s="466">
        <v>5821</v>
      </c>
      <c r="J8" s="466"/>
      <c r="K8" s="1692">
        <f t="shared" si="0"/>
        <v>292471</v>
      </c>
      <c r="L8" s="465">
        <v>336000</v>
      </c>
    </row>
    <row r="9" spans="1:14" x14ac:dyDescent="0.2">
      <c r="A9" s="1525" t="s">
        <v>745</v>
      </c>
      <c r="B9" s="614" t="s">
        <v>1025</v>
      </c>
      <c r="C9" s="466"/>
      <c r="D9" s="466"/>
      <c r="E9" s="466"/>
      <c r="F9" s="466"/>
      <c r="G9" s="466"/>
      <c r="H9" s="466"/>
      <c r="I9" s="466"/>
      <c r="J9" s="466"/>
      <c r="K9" s="1692">
        <f t="shared" si="0"/>
        <v>0</v>
      </c>
      <c r="L9" s="465"/>
    </row>
    <row r="10" spans="1:14" x14ac:dyDescent="0.2">
      <c r="A10" s="1525" t="s">
        <v>746</v>
      </c>
      <c r="B10" s="614">
        <v>1250</v>
      </c>
      <c r="C10" s="465">
        <v>153806</v>
      </c>
      <c r="D10" s="465">
        <v>20189</v>
      </c>
      <c r="E10" s="465">
        <v>12719</v>
      </c>
      <c r="F10" s="465">
        <v>11285</v>
      </c>
      <c r="G10" s="465"/>
      <c r="H10" s="465"/>
      <c r="I10" s="466"/>
      <c r="J10" s="466"/>
      <c r="K10" s="1692">
        <f t="shared" si="0"/>
        <v>197999</v>
      </c>
      <c r="L10" s="465">
        <v>427800</v>
      </c>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c r="G13" s="465"/>
      <c r="H13" s="465"/>
      <c r="I13" s="466"/>
      <c r="J13" s="466"/>
      <c r="K13" s="1692">
        <f t="shared" si="0"/>
        <v>0</v>
      </c>
      <c r="L13" s="465"/>
    </row>
    <row r="14" spans="1:14" x14ac:dyDescent="0.2">
      <c r="A14" s="1525" t="s">
        <v>1020</v>
      </c>
      <c r="B14" s="614">
        <v>1500</v>
      </c>
      <c r="C14" s="465">
        <v>7562</v>
      </c>
      <c r="D14" s="465">
        <v>157</v>
      </c>
      <c r="E14" s="465">
        <v>1120</v>
      </c>
      <c r="F14" s="465">
        <v>484</v>
      </c>
      <c r="G14" s="465"/>
      <c r="H14" s="465"/>
      <c r="I14" s="466"/>
      <c r="J14" s="466"/>
      <c r="K14" s="1692">
        <f t="shared" si="0"/>
        <v>9323</v>
      </c>
      <c r="L14" s="465">
        <v>18538</v>
      </c>
    </row>
    <row r="15" spans="1:14" x14ac:dyDescent="0.2">
      <c r="A15" s="1525" t="s">
        <v>1021</v>
      </c>
      <c r="B15" s="614">
        <v>1600</v>
      </c>
      <c r="C15" s="465">
        <v>594</v>
      </c>
      <c r="D15" s="465"/>
      <c r="E15" s="465"/>
      <c r="F15" s="465"/>
      <c r="G15" s="465"/>
      <c r="H15" s="465"/>
      <c r="I15" s="466"/>
      <c r="J15" s="466"/>
      <c r="K15" s="1692">
        <f t="shared" si="0"/>
        <v>594</v>
      </c>
      <c r="L15" s="465">
        <v>1194</v>
      </c>
    </row>
    <row r="16" spans="1:14" x14ac:dyDescent="0.2">
      <c r="A16" s="1525" t="s">
        <v>1044</v>
      </c>
      <c r="B16" s="614" t="s">
        <v>444</v>
      </c>
      <c r="C16" s="465"/>
      <c r="D16" s="465"/>
      <c r="E16" s="465"/>
      <c r="F16" s="465"/>
      <c r="G16" s="465"/>
      <c r="H16" s="465"/>
      <c r="I16" s="466"/>
      <c r="J16" s="466"/>
      <c r="K16" s="1692">
        <f t="shared" si="0"/>
        <v>0</v>
      </c>
      <c r="L16" s="465"/>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c r="D18" s="465"/>
      <c r="E18" s="465"/>
      <c r="F18" s="465"/>
      <c r="G18" s="465"/>
      <c r="H18" s="465"/>
      <c r="I18" s="466"/>
      <c r="J18" s="466"/>
      <c r="K18" s="1692">
        <f t="shared" si="0"/>
        <v>0</v>
      </c>
      <c r="L18" s="465"/>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c r="I22" s="616"/>
      <c r="J22" s="476"/>
      <c r="K22" s="1692">
        <f t="shared" si="0"/>
        <v>0</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1767</v>
      </c>
      <c r="B33" s="1690" t="s">
        <v>591</v>
      </c>
      <c r="C33" s="1691">
        <f>SUM(C5:C32)</f>
        <v>1380865</v>
      </c>
      <c r="D33" s="1691">
        <f t="shared" ref="D33:L33" si="1">SUM(D5:D32)</f>
        <v>152897</v>
      </c>
      <c r="E33" s="1691">
        <f t="shared" si="1"/>
        <v>46474</v>
      </c>
      <c r="F33" s="1691">
        <f t="shared" si="1"/>
        <v>129350</v>
      </c>
      <c r="G33" s="1691">
        <f t="shared" si="1"/>
        <v>0</v>
      </c>
      <c r="H33" s="1691">
        <f t="shared" si="1"/>
        <v>460</v>
      </c>
      <c r="I33" s="1691">
        <f t="shared" si="1"/>
        <v>13014</v>
      </c>
      <c r="J33" s="1691">
        <f t="shared" si="1"/>
        <v>0</v>
      </c>
      <c r="K33" s="1691">
        <f t="shared" si="1"/>
        <v>1723060</v>
      </c>
      <c r="L33" s="1691">
        <f t="shared" si="1"/>
        <v>2082192</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77602</v>
      </c>
      <c r="D36" s="480">
        <v>7324</v>
      </c>
      <c r="E36" s="480">
        <v>783</v>
      </c>
      <c r="F36" s="480">
        <v>1935</v>
      </c>
      <c r="G36" s="480"/>
      <c r="H36" s="480">
        <v>120</v>
      </c>
      <c r="I36" s="466"/>
      <c r="J36" s="466"/>
      <c r="K36" s="1692">
        <f t="shared" ref="K36:K41" si="2">SUM(C36:J36)</f>
        <v>87764</v>
      </c>
      <c r="L36" s="465">
        <v>90996</v>
      </c>
    </row>
    <row r="37" spans="1:14" x14ac:dyDescent="0.2">
      <c r="A37" s="1525" t="s">
        <v>1151</v>
      </c>
      <c r="B37" s="614">
        <v>2120</v>
      </c>
      <c r="C37" s="465">
        <v>43775</v>
      </c>
      <c r="D37" s="465">
        <v>6224</v>
      </c>
      <c r="E37" s="465"/>
      <c r="F37" s="465"/>
      <c r="G37" s="465"/>
      <c r="H37" s="465"/>
      <c r="I37" s="466"/>
      <c r="J37" s="466"/>
      <c r="K37" s="1692">
        <f t="shared" si="2"/>
        <v>49999</v>
      </c>
      <c r="L37" s="465">
        <v>55300</v>
      </c>
    </row>
    <row r="38" spans="1:14" x14ac:dyDescent="0.2">
      <c r="A38" s="1525" t="s">
        <v>207</v>
      </c>
      <c r="B38" s="614">
        <v>2130</v>
      </c>
      <c r="C38" s="465">
        <v>59532</v>
      </c>
      <c r="D38" s="465">
        <v>904</v>
      </c>
      <c r="E38" s="465">
        <v>7616</v>
      </c>
      <c r="F38" s="465">
        <v>5974</v>
      </c>
      <c r="G38" s="465"/>
      <c r="H38" s="465">
        <v>161</v>
      </c>
      <c r="I38" s="466"/>
      <c r="J38" s="466"/>
      <c r="K38" s="1692">
        <f t="shared" si="2"/>
        <v>74187</v>
      </c>
      <c r="L38" s="465">
        <v>78769</v>
      </c>
    </row>
    <row r="39" spans="1:14" x14ac:dyDescent="0.2">
      <c r="A39" s="1525" t="s">
        <v>208</v>
      </c>
      <c r="B39" s="614">
        <v>2140</v>
      </c>
      <c r="C39" s="465"/>
      <c r="D39" s="465"/>
      <c r="E39" s="465">
        <v>6956</v>
      </c>
      <c r="F39" s="465"/>
      <c r="G39" s="465"/>
      <c r="H39" s="465"/>
      <c r="I39" s="466"/>
      <c r="J39" s="466"/>
      <c r="K39" s="1692">
        <f t="shared" si="2"/>
        <v>6956</v>
      </c>
      <c r="L39" s="465">
        <v>8000</v>
      </c>
    </row>
    <row r="40" spans="1:14" x14ac:dyDescent="0.2">
      <c r="A40" s="1525" t="s">
        <v>209</v>
      </c>
      <c r="B40" s="614">
        <v>2150</v>
      </c>
      <c r="C40" s="465">
        <v>52993</v>
      </c>
      <c r="D40" s="465"/>
      <c r="E40" s="465"/>
      <c r="F40" s="465">
        <v>541</v>
      </c>
      <c r="G40" s="465"/>
      <c r="H40" s="465"/>
      <c r="I40" s="466"/>
      <c r="J40" s="466"/>
      <c r="K40" s="1692">
        <f t="shared" si="2"/>
        <v>53534</v>
      </c>
      <c r="L40" s="465">
        <v>61280</v>
      </c>
    </row>
    <row r="41" spans="1:14" x14ac:dyDescent="0.2">
      <c r="A41" s="1525" t="s">
        <v>1768</v>
      </c>
      <c r="B41" s="614">
        <v>2190</v>
      </c>
      <c r="C41" s="465"/>
      <c r="D41" s="465"/>
      <c r="E41" s="465">
        <v>3122</v>
      </c>
      <c r="F41" s="465"/>
      <c r="G41" s="465"/>
      <c r="H41" s="465"/>
      <c r="I41" s="466"/>
      <c r="J41" s="466"/>
      <c r="K41" s="1692">
        <f t="shared" si="2"/>
        <v>3122</v>
      </c>
      <c r="L41" s="465">
        <v>3200</v>
      </c>
    </row>
    <row r="42" spans="1:14" ht="12.75" customHeight="1" thickBot="1" x14ac:dyDescent="0.25">
      <c r="A42" s="1689" t="s">
        <v>581</v>
      </c>
      <c r="B42" s="1690" t="s">
        <v>740</v>
      </c>
      <c r="C42" s="1691">
        <f>SUM(C36:C41)</f>
        <v>233902</v>
      </c>
      <c r="D42" s="1691">
        <f t="shared" ref="D42:L42" si="3">SUM(D36:D41)</f>
        <v>14452</v>
      </c>
      <c r="E42" s="1691">
        <f t="shared" si="3"/>
        <v>18477</v>
      </c>
      <c r="F42" s="1691">
        <f t="shared" si="3"/>
        <v>8450</v>
      </c>
      <c r="G42" s="1691">
        <f t="shared" si="3"/>
        <v>0</v>
      </c>
      <c r="H42" s="1691">
        <f t="shared" si="3"/>
        <v>281</v>
      </c>
      <c r="I42" s="1691">
        <f t="shared" si="3"/>
        <v>0</v>
      </c>
      <c r="J42" s="1691">
        <f t="shared" si="3"/>
        <v>0</v>
      </c>
      <c r="K42" s="1691">
        <f t="shared" si="3"/>
        <v>275562</v>
      </c>
      <c r="L42" s="1691">
        <f t="shared" si="3"/>
        <v>297545</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147771</v>
      </c>
      <c r="D44" s="480">
        <v>30888</v>
      </c>
      <c r="E44" s="480">
        <v>47074</v>
      </c>
      <c r="F44" s="480"/>
      <c r="G44" s="480"/>
      <c r="H44" s="480">
        <v>59</v>
      </c>
      <c r="I44" s="466">
        <v>672</v>
      </c>
      <c r="J44" s="466"/>
      <c r="K44" s="1693">
        <f>SUM(C44:J44)</f>
        <v>226464</v>
      </c>
      <c r="L44" s="480">
        <v>241259</v>
      </c>
    </row>
    <row r="45" spans="1:14" x14ac:dyDescent="0.2">
      <c r="A45" s="1525" t="s">
        <v>869</v>
      </c>
      <c r="B45" s="614">
        <v>2220</v>
      </c>
      <c r="C45" s="465">
        <v>104710</v>
      </c>
      <c r="D45" s="465">
        <v>28632</v>
      </c>
      <c r="E45" s="465">
        <v>8902</v>
      </c>
      <c r="F45" s="465">
        <v>43629</v>
      </c>
      <c r="G45" s="465"/>
      <c r="H45" s="465"/>
      <c r="I45" s="466">
        <v>78764</v>
      </c>
      <c r="J45" s="466"/>
      <c r="K45" s="1693">
        <f>SUM(C45:J45)</f>
        <v>264637</v>
      </c>
      <c r="L45" s="465">
        <v>276339</v>
      </c>
    </row>
    <row r="46" spans="1:14" x14ac:dyDescent="0.2">
      <c r="A46" s="1525" t="s">
        <v>870</v>
      </c>
      <c r="B46" s="614">
        <v>2230</v>
      </c>
      <c r="C46" s="465"/>
      <c r="D46" s="465"/>
      <c r="E46" s="465"/>
      <c r="F46" s="465"/>
      <c r="G46" s="465"/>
      <c r="H46" s="465"/>
      <c r="I46" s="466"/>
      <c r="J46" s="466"/>
      <c r="K46" s="1693">
        <f>SUM(C46:J46)</f>
        <v>0</v>
      </c>
      <c r="L46" s="465"/>
    </row>
    <row r="47" spans="1:14" ht="12.75" customHeight="1" thickBot="1" x14ac:dyDescent="0.25">
      <c r="A47" s="1689" t="s">
        <v>582</v>
      </c>
      <c r="B47" s="1690" t="s">
        <v>32</v>
      </c>
      <c r="C47" s="1691">
        <f>SUM(C44:C46)</f>
        <v>252481</v>
      </c>
      <c r="D47" s="1691">
        <f t="shared" ref="D47:K47" si="4">SUM(D44:D46)</f>
        <v>59520</v>
      </c>
      <c r="E47" s="1691">
        <f t="shared" si="4"/>
        <v>55976</v>
      </c>
      <c r="F47" s="1691">
        <f t="shared" si="4"/>
        <v>43629</v>
      </c>
      <c r="G47" s="1691">
        <f t="shared" si="4"/>
        <v>0</v>
      </c>
      <c r="H47" s="1691">
        <f t="shared" si="4"/>
        <v>59</v>
      </c>
      <c r="I47" s="1691">
        <f t="shared" si="4"/>
        <v>79436</v>
      </c>
      <c r="J47" s="1691">
        <f t="shared" si="4"/>
        <v>0</v>
      </c>
      <c r="K47" s="1691">
        <f t="shared" si="4"/>
        <v>491101</v>
      </c>
      <c r="L47" s="1691">
        <f>SUM(L44:L46)</f>
        <v>517598</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v>720</v>
      </c>
      <c r="D49" s="480"/>
      <c r="E49" s="480">
        <v>72833</v>
      </c>
      <c r="F49" s="480">
        <v>3679</v>
      </c>
      <c r="G49" s="480"/>
      <c r="H49" s="480">
        <v>3521</v>
      </c>
      <c r="I49" s="466"/>
      <c r="J49" s="466"/>
      <c r="K49" s="1693">
        <f>SUM(C49:J49)</f>
        <v>80753</v>
      </c>
      <c r="L49" s="480">
        <v>87432</v>
      </c>
    </row>
    <row r="50" spans="1:14" x14ac:dyDescent="0.2">
      <c r="A50" s="1525" t="s">
        <v>872</v>
      </c>
      <c r="B50" s="614">
        <v>2320</v>
      </c>
      <c r="C50" s="465">
        <v>212252</v>
      </c>
      <c r="D50" s="465">
        <v>50600</v>
      </c>
      <c r="E50" s="465">
        <v>2792</v>
      </c>
      <c r="F50" s="465">
        <v>9002</v>
      </c>
      <c r="G50" s="465"/>
      <c r="H50" s="465">
        <v>4004</v>
      </c>
      <c r="I50" s="466">
        <v>672</v>
      </c>
      <c r="J50" s="466"/>
      <c r="K50" s="1693">
        <f>SUM(C50:J50)</f>
        <v>279322</v>
      </c>
      <c r="L50" s="465">
        <v>285500</v>
      </c>
    </row>
    <row r="51" spans="1:14" x14ac:dyDescent="0.2">
      <c r="A51" s="1525" t="s">
        <v>44</v>
      </c>
      <c r="B51" s="614">
        <v>2330</v>
      </c>
      <c r="C51" s="465">
        <v>13286</v>
      </c>
      <c r="D51" s="465">
        <v>4324</v>
      </c>
      <c r="E51" s="465"/>
      <c r="F51" s="465"/>
      <c r="G51" s="465"/>
      <c r="H51" s="465"/>
      <c r="I51" s="466"/>
      <c r="J51" s="466"/>
      <c r="K51" s="1693">
        <f>SUM(C51:J51)</f>
        <v>17610</v>
      </c>
      <c r="L51" s="465">
        <v>19198</v>
      </c>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226258</v>
      </c>
      <c r="D53" s="1691">
        <f t="shared" ref="D53:L53" si="5">SUM(D49:D52)</f>
        <v>54924</v>
      </c>
      <c r="E53" s="1691">
        <f t="shared" si="5"/>
        <v>75625</v>
      </c>
      <c r="F53" s="1691">
        <f t="shared" si="5"/>
        <v>12681</v>
      </c>
      <c r="G53" s="1691">
        <f t="shared" si="5"/>
        <v>0</v>
      </c>
      <c r="H53" s="1691">
        <f t="shared" si="5"/>
        <v>7525</v>
      </c>
      <c r="I53" s="1691">
        <f t="shared" si="5"/>
        <v>672</v>
      </c>
      <c r="J53" s="1691">
        <f t="shared" si="5"/>
        <v>0</v>
      </c>
      <c r="K53" s="1691">
        <f t="shared" si="5"/>
        <v>377685</v>
      </c>
      <c r="L53" s="1691">
        <f t="shared" si="5"/>
        <v>392130</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213568</v>
      </c>
      <c r="D55" s="480">
        <v>52282</v>
      </c>
      <c r="E55" s="480">
        <v>843</v>
      </c>
      <c r="F55" s="480">
        <v>8098</v>
      </c>
      <c r="G55" s="480"/>
      <c r="H55" s="480">
        <v>369</v>
      </c>
      <c r="I55" s="466">
        <v>4496</v>
      </c>
      <c r="J55" s="466"/>
      <c r="K55" s="1693">
        <f>SUM(C55:J55)</f>
        <v>279656</v>
      </c>
      <c r="L55" s="480">
        <v>280440</v>
      </c>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213568</v>
      </c>
      <c r="D57" s="1695">
        <f t="shared" ref="D57:K57" si="6">SUM(D55:D56)</f>
        <v>52282</v>
      </c>
      <c r="E57" s="1695">
        <f t="shared" si="6"/>
        <v>843</v>
      </c>
      <c r="F57" s="1695">
        <f t="shared" si="6"/>
        <v>8098</v>
      </c>
      <c r="G57" s="1695">
        <f t="shared" si="6"/>
        <v>0</v>
      </c>
      <c r="H57" s="1695">
        <f t="shared" si="6"/>
        <v>369</v>
      </c>
      <c r="I57" s="1695">
        <f t="shared" si="6"/>
        <v>4496</v>
      </c>
      <c r="J57" s="1695">
        <f t="shared" si="6"/>
        <v>0</v>
      </c>
      <c r="K57" s="1695">
        <f t="shared" si="6"/>
        <v>279656</v>
      </c>
      <c r="L57" s="1691">
        <f>SUM(L55:L56)</f>
        <v>280440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v>54075</v>
      </c>
      <c r="D59" s="480">
        <v>6517</v>
      </c>
      <c r="E59" s="480">
        <v>3671</v>
      </c>
      <c r="F59" s="480">
        <v>1352</v>
      </c>
      <c r="G59" s="480"/>
      <c r="H59" s="480">
        <v>340</v>
      </c>
      <c r="I59" s="466"/>
      <c r="J59" s="466"/>
      <c r="K59" s="1693">
        <f t="shared" ref="K59:K64" si="7">SUM(C59:J59)</f>
        <v>65955</v>
      </c>
      <c r="L59" s="480">
        <v>75080</v>
      </c>
      <c r="M59" s="609"/>
      <c r="N59" s="609"/>
    </row>
    <row r="60" spans="1:14" s="342" customFormat="1" x14ac:dyDescent="0.2">
      <c r="A60" s="1525" t="s">
        <v>483</v>
      </c>
      <c r="B60" s="614">
        <v>2520</v>
      </c>
      <c r="C60" s="465">
        <v>76650</v>
      </c>
      <c r="D60" s="465">
        <v>5424</v>
      </c>
      <c r="E60" s="465">
        <v>54005</v>
      </c>
      <c r="F60" s="465">
        <v>560</v>
      </c>
      <c r="G60" s="465"/>
      <c r="H60" s="465"/>
      <c r="I60" s="466">
        <v>4496</v>
      </c>
      <c r="J60" s="466"/>
      <c r="K60" s="1693">
        <f t="shared" si="7"/>
        <v>141135</v>
      </c>
      <c r="L60" s="465">
        <v>137973</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v>2210</v>
      </c>
      <c r="F62" s="465"/>
      <c r="G62" s="465"/>
      <c r="H62" s="465"/>
      <c r="I62" s="466"/>
      <c r="J62" s="466"/>
      <c r="K62" s="1693">
        <f t="shared" si="7"/>
        <v>2210</v>
      </c>
      <c r="L62" s="465">
        <v>5200</v>
      </c>
      <c r="M62" s="609"/>
      <c r="N62" s="609"/>
    </row>
    <row r="63" spans="1:14" s="609" customFormat="1" x14ac:dyDescent="0.2">
      <c r="A63" s="1525" t="s">
        <v>102</v>
      </c>
      <c r="B63" s="614">
        <v>2560</v>
      </c>
      <c r="C63" s="465">
        <v>753</v>
      </c>
      <c r="D63" s="465"/>
      <c r="E63" s="465">
        <v>147409</v>
      </c>
      <c r="F63" s="465">
        <f>32404-15735</f>
        <v>16669</v>
      </c>
      <c r="G63" s="465"/>
      <c r="H63" s="465"/>
      <c r="I63" s="466"/>
      <c r="J63" s="466"/>
      <c r="K63" s="1693">
        <f t="shared" si="7"/>
        <v>164831</v>
      </c>
      <c r="L63" s="465">
        <v>192400</v>
      </c>
    </row>
    <row r="64" spans="1:14" s="609" customFormat="1" x14ac:dyDescent="0.2">
      <c r="A64" s="1530" t="s">
        <v>103</v>
      </c>
      <c r="B64" s="630">
        <v>2570</v>
      </c>
      <c r="C64" s="480"/>
      <c r="D64" s="480"/>
      <c r="E64" s="480"/>
      <c r="F64" s="480"/>
      <c r="G64" s="480"/>
      <c r="H64" s="480"/>
      <c r="I64" s="466"/>
      <c r="J64" s="466"/>
      <c r="K64" s="1693">
        <f t="shared" si="7"/>
        <v>0</v>
      </c>
      <c r="L64" s="480"/>
    </row>
    <row r="65" spans="1:14" s="342" customFormat="1" ht="12.75" customHeight="1" thickBot="1" x14ac:dyDescent="0.25">
      <c r="A65" s="1689" t="s">
        <v>743</v>
      </c>
      <c r="B65" s="1690" t="s">
        <v>35</v>
      </c>
      <c r="C65" s="1691">
        <f>SUM(C59:C64)</f>
        <v>131478</v>
      </c>
      <c r="D65" s="1691">
        <f t="shared" ref="D65:L65" si="8">SUM(D59:D64)</f>
        <v>11941</v>
      </c>
      <c r="E65" s="1691">
        <f t="shared" si="8"/>
        <v>207295</v>
      </c>
      <c r="F65" s="1691">
        <f t="shared" si="8"/>
        <v>18581</v>
      </c>
      <c r="G65" s="1691">
        <f t="shared" si="8"/>
        <v>0</v>
      </c>
      <c r="H65" s="1691">
        <f t="shared" si="8"/>
        <v>340</v>
      </c>
      <c r="I65" s="1691">
        <f t="shared" si="8"/>
        <v>4496</v>
      </c>
      <c r="J65" s="1691">
        <f t="shared" si="8"/>
        <v>0</v>
      </c>
      <c r="K65" s="1691">
        <f t="shared" si="8"/>
        <v>374131</v>
      </c>
      <c r="L65" s="1691">
        <f t="shared" si="8"/>
        <v>410653</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v>14222</v>
      </c>
      <c r="F69" s="465">
        <v>155</v>
      </c>
      <c r="G69" s="465"/>
      <c r="H69" s="465"/>
      <c r="I69" s="466"/>
      <c r="J69" s="466"/>
      <c r="K69" s="1693">
        <f>SUM(C69:J69)</f>
        <v>14377</v>
      </c>
      <c r="L69" s="465">
        <v>21872</v>
      </c>
      <c r="M69" s="609"/>
      <c r="N69" s="609"/>
    </row>
    <row r="70" spans="1:14" s="342" customFormat="1" x14ac:dyDescent="0.2">
      <c r="A70" s="1525" t="s">
        <v>423</v>
      </c>
      <c r="B70" s="614">
        <v>2640</v>
      </c>
      <c r="C70" s="465"/>
      <c r="D70" s="465"/>
      <c r="E70" s="465">
        <v>785</v>
      </c>
      <c r="F70" s="465"/>
      <c r="G70" s="465"/>
      <c r="H70" s="465"/>
      <c r="I70" s="466"/>
      <c r="J70" s="466"/>
      <c r="K70" s="1693">
        <f>SUM(C70:J70)</f>
        <v>785</v>
      </c>
      <c r="L70" s="465">
        <v>2984</v>
      </c>
      <c r="M70" s="609"/>
      <c r="N70" s="609"/>
    </row>
    <row r="71" spans="1:14" s="342" customFormat="1" x14ac:dyDescent="0.2">
      <c r="A71" s="1525" t="s">
        <v>424</v>
      </c>
      <c r="B71" s="614">
        <v>2660</v>
      </c>
      <c r="C71" s="465"/>
      <c r="D71" s="465"/>
      <c r="E71" s="465"/>
      <c r="F71" s="465"/>
      <c r="G71" s="465"/>
      <c r="H71" s="465"/>
      <c r="I71" s="466"/>
      <c r="J71" s="466"/>
      <c r="K71" s="1693">
        <f>SUM(C71:J71)</f>
        <v>0</v>
      </c>
      <c r="L71" s="465"/>
      <c r="M71" s="609"/>
      <c r="N71" s="609"/>
    </row>
    <row r="72" spans="1:14" s="342" customFormat="1" ht="12.75" customHeight="1" thickBot="1" x14ac:dyDescent="0.25">
      <c r="A72" s="1689" t="s">
        <v>37</v>
      </c>
      <c r="B72" s="1696" t="s">
        <v>36</v>
      </c>
      <c r="C72" s="1691">
        <f>SUM(C67:C71)</f>
        <v>0</v>
      </c>
      <c r="D72" s="1691">
        <f t="shared" ref="D72:K72" si="9">SUM(D67:D71)</f>
        <v>0</v>
      </c>
      <c r="E72" s="1691">
        <f t="shared" si="9"/>
        <v>15007</v>
      </c>
      <c r="F72" s="1691">
        <f t="shared" si="9"/>
        <v>155</v>
      </c>
      <c r="G72" s="1691">
        <f t="shared" si="9"/>
        <v>0</v>
      </c>
      <c r="H72" s="1691">
        <f t="shared" si="9"/>
        <v>0</v>
      </c>
      <c r="I72" s="1691">
        <f t="shared" si="9"/>
        <v>0</v>
      </c>
      <c r="J72" s="1691">
        <f t="shared" si="9"/>
        <v>0</v>
      </c>
      <c r="K72" s="1691">
        <f t="shared" si="9"/>
        <v>15162</v>
      </c>
      <c r="L72" s="1691">
        <f>SUM(L67:L71)</f>
        <v>24856</v>
      </c>
      <c r="M72" s="609"/>
      <c r="N72" s="609"/>
    </row>
    <row r="73" spans="1:14" s="342" customFormat="1" ht="14.25" thickTop="1" thickBot="1" x14ac:dyDescent="0.25">
      <c r="A73" s="1531" t="s">
        <v>1037</v>
      </c>
      <c r="B73" s="632" t="s">
        <v>595</v>
      </c>
      <c r="C73" s="572">
        <v>13514</v>
      </c>
      <c r="D73" s="572">
        <v>89548</v>
      </c>
      <c r="E73" s="572"/>
      <c r="F73" s="572">
        <v>448</v>
      </c>
      <c r="G73" s="572"/>
      <c r="H73" s="572"/>
      <c r="I73" s="530"/>
      <c r="J73" s="530"/>
      <c r="K73" s="1691">
        <f>SUM(C73:J73)</f>
        <v>103510</v>
      </c>
      <c r="L73" s="575">
        <v>105500</v>
      </c>
      <c r="M73" s="609"/>
      <c r="N73" s="609"/>
    </row>
    <row r="74" spans="1:14" ht="12.75" customHeight="1" thickTop="1" thickBot="1" x14ac:dyDescent="0.25">
      <c r="A74" s="1689" t="s">
        <v>865</v>
      </c>
      <c r="B74" s="1697">
        <v>2000</v>
      </c>
      <c r="C74" s="1698">
        <f>SUM(C42,C47,C53,C57,C65,C72,C73)</f>
        <v>1071201</v>
      </c>
      <c r="D74" s="1698">
        <f t="shared" ref="D74:K74" si="10">SUM(D42,D47,D53,D57,D65,D72,D73)</f>
        <v>282667</v>
      </c>
      <c r="E74" s="1698">
        <f t="shared" si="10"/>
        <v>373223</v>
      </c>
      <c r="F74" s="1698">
        <f t="shared" si="10"/>
        <v>92042</v>
      </c>
      <c r="G74" s="1698">
        <f t="shared" si="10"/>
        <v>0</v>
      </c>
      <c r="H74" s="1698">
        <f t="shared" si="10"/>
        <v>8574</v>
      </c>
      <c r="I74" s="1698">
        <f t="shared" si="10"/>
        <v>89100</v>
      </c>
      <c r="J74" s="1698">
        <f t="shared" si="10"/>
        <v>0</v>
      </c>
      <c r="K74" s="1698">
        <f t="shared" si="10"/>
        <v>1916807</v>
      </c>
      <c r="L74" s="1698">
        <f>SUM(L42,L47,L53,L57,L65,L72,L73)</f>
        <v>2028722</v>
      </c>
    </row>
    <row r="75" spans="1:14" s="258" customFormat="1" ht="15.75" customHeight="1" thickTop="1" thickBot="1" x14ac:dyDescent="0.25">
      <c r="A75" s="1631" t="s">
        <v>49</v>
      </c>
      <c r="B75" s="1632" t="s">
        <v>596</v>
      </c>
      <c r="C75" s="572">
        <v>31634</v>
      </c>
      <c r="D75" s="572">
        <v>48</v>
      </c>
      <c r="E75" s="572">
        <v>535</v>
      </c>
      <c r="F75" s="572">
        <v>4913</v>
      </c>
      <c r="G75" s="572"/>
      <c r="H75" s="572"/>
      <c r="I75" s="530"/>
      <c r="J75" s="530"/>
      <c r="K75" s="1691">
        <f>SUM(C75:J75)</f>
        <v>37130</v>
      </c>
      <c r="L75" s="575">
        <v>41085</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v>210000</v>
      </c>
    </row>
    <row r="79" spans="1:14" x14ac:dyDescent="0.2">
      <c r="A79" s="1525" t="s">
        <v>322</v>
      </c>
      <c r="B79" s="614">
        <v>4120</v>
      </c>
      <c r="C79" s="616"/>
      <c r="D79" s="616"/>
      <c r="E79" s="465"/>
      <c r="F79" s="616"/>
      <c r="G79" s="616"/>
      <c r="H79" s="465">
        <v>210387</v>
      </c>
      <c r="I79" s="476"/>
      <c r="J79" s="476"/>
      <c r="K79" s="1692">
        <f t="shared" si="11"/>
        <v>210387</v>
      </c>
      <c r="L79" s="465">
        <v>0</v>
      </c>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v>0</v>
      </c>
      <c r="F83" s="616"/>
      <c r="G83" s="616"/>
      <c r="H83" s="465"/>
      <c r="I83" s="476"/>
      <c r="J83" s="476"/>
      <c r="K83" s="1692">
        <f t="shared" si="11"/>
        <v>0</v>
      </c>
      <c r="L83" s="465">
        <v>1092</v>
      </c>
    </row>
    <row r="84" spans="1:12" ht="13.5" thickBot="1" x14ac:dyDescent="0.25">
      <c r="A84" s="1689" t="s">
        <v>1565</v>
      </c>
      <c r="B84" s="1699">
        <v>4100</v>
      </c>
      <c r="C84" s="616"/>
      <c r="D84" s="616"/>
      <c r="E84" s="1691">
        <f>SUM(E78:E83)</f>
        <v>0</v>
      </c>
      <c r="F84" s="616"/>
      <c r="G84" s="616"/>
      <c r="H84" s="1691">
        <f>SUM(H78:H83)</f>
        <v>210387</v>
      </c>
      <c r="I84" s="476"/>
      <c r="J84" s="476"/>
      <c r="K84" s="1691">
        <f>SUM(K78:K83)</f>
        <v>210387</v>
      </c>
      <c r="L84" s="1691">
        <f>SUM(L78:L83)</f>
        <v>211092</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c r="I86" s="476"/>
      <c r="J86" s="476"/>
      <c r="K86" s="1698">
        <f t="shared" ref="K86:K98" si="12">H86</f>
        <v>0</v>
      </c>
      <c r="L86" s="529"/>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0</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c r="I96" s="476"/>
      <c r="J96" s="476"/>
      <c r="K96" s="1698">
        <f t="shared" si="12"/>
        <v>0</v>
      </c>
      <c r="L96" s="529"/>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0</v>
      </c>
      <c r="F102" s="616"/>
      <c r="G102" s="616"/>
      <c r="H102" s="1698">
        <f>SUM(H84,H92,H100,H101)</f>
        <v>210387</v>
      </c>
      <c r="I102" s="476"/>
      <c r="J102" s="476"/>
      <c r="K102" s="1698">
        <f>SUM(K84,K92,K100,K101)</f>
        <v>210387</v>
      </c>
      <c r="L102" s="1698">
        <f>SUM(L84,L92,L100,L101)</f>
        <v>211092</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2483700</v>
      </c>
      <c r="D114" s="1691">
        <f t="shared" ref="D114:K114" si="13">SUM(D33,D74,D75,D102,D112,D113)</f>
        <v>435612</v>
      </c>
      <c r="E114" s="1691">
        <f t="shared" si="13"/>
        <v>420232</v>
      </c>
      <c r="F114" s="1691">
        <f t="shared" si="13"/>
        <v>226305</v>
      </c>
      <c r="G114" s="1691">
        <f t="shared" si="13"/>
        <v>0</v>
      </c>
      <c r="H114" s="1691">
        <f>SUM(H33,H74,H75,H102,H112,H113)</f>
        <v>219421</v>
      </c>
      <c r="I114" s="1691">
        <f t="shared" si="13"/>
        <v>102114</v>
      </c>
      <c r="J114" s="1691">
        <f t="shared" si="13"/>
        <v>0</v>
      </c>
      <c r="K114" s="1691">
        <f t="shared" si="13"/>
        <v>3887384</v>
      </c>
      <c r="L114" s="1691">
        <f>SUM(L33,L74,L75,L102,L112,L113)</f>
        <v>4363091</v>
      </c>
    </row>
    <row r="115" spans="1:14" ht="13.5" thickTop="1" x14ac:dyDescent="0.2">
      <c r="A115" s="2211" t="s">
        <v>1053</v>
      </c>
      <c r="B115" s="2212"/>
      <c r="C115" s="618"/>
      <c r="D115" s="618"/>
      <c r="E115" s="618"/>
      <c r="F115" s="618"/>
      <c r="G115" s="618"/>
      <c r="H115" s="618"/>
      <c r="I115" s="618"/>
      <c r="J115" s="618"/>
      <c r="K115" s="1705">
        <f>'Revenues 9-14'!C275-'Expenditures 15-22'!K114</f>
        <v>326086</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89" t="s">
        <v>314</v>
      </c>
      <c r="B117" s="2190"/>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c r="H123" s="465"/>
      <c r="I123" s="466"/>
      <c r="J123" s="466"/>
      <c r="K123" s="1691">
        <f>SUM(C123:J123)</f>
        <v>0</v>
      </c>
      <c r="L123" s="465"/>
    </row>
    <row r="124" spans="1:14" ht="14.25" thickTop="1" thickBot="1" x14ac:dyDescent="0.25">
      <c r="A124" s="1525" t="s">
        <v>206</v>
      </c>
      <c r="B124" s="614">
        <v>2540</v>
      </c>
      <c r="C124" s="465">
        <v>210154</v>
      </c>
      <c r="D124" s="465">
        <v>35343</v>
      </c>
      <c r="E124" s="465">
        <v>163661</v>
      </c>
      <c r="F124" s="465">
        <v>166034</v>
      </c>
      <c r="G124" s="465"/>
      <c r="H124" s="465"/>
      <c r="I124" s="466"/>
      <c r="J124" s="466"/>
      <c r="K124" s="1691">
        <f>SUM(C124:J124)</f>
        <v>575192</v>
      </c>
      <c r="L124" s="465">
        <v>610000</v>
      </c>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210154</v>
      </c>
      <c r="D127" s="1691">
        <f t="shared" ref="D127:L127" si="14">SUM(D122:D126)</f>
        <v>35343</v>
      </c>
      <c r="E127" s="1691">
        <f t="shared" si="14"/>
        <v>163661</v>
      </c>
      <c r="F127" s="1691">
        <f t="shared" si="14"/>
        <v>166034</v>
      </c>
      <c r="G127" s="1691">
        <f t="shared" si="14"/>
        <v>0</v>
      </c>
      <c r="H127" s="1691">
        <f t="shared" si="14"/>
        <v>0</v>
      </c>
      <c r="I127" s="1691">
        <f t="shared" si="14"/>
        <v>0</v>
      </c>
      <c r="J127" s="1691">
        <f t="shared" si="14"/>
        <v>0</v>
      </c>
      <c r="K127" s="1691">
        <f t="shared" si="14"/>
        <v>575192</v>
      </c>
      <c r="L127" s="1691">
        <f t="shared" si="14"/>
        <v>610000</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210154</v>
      </c>
      <c r="D129" s="1698">
        <f t="shared" ref="D129:L129" si="15">SUM(D120,D127,D128)</f>
        <v>35343</v>
      </c>
      <c r="E129" s="1698">
        <f t="shared" si="15"/>
        <v>163661</v>
      </c>
      <c r="F129" s="1698">
        <f t="shared" si="15"/>
        <v>166034</v>
      </c>
      <c r="G129" s="1698">
        <f t="shared" si="15"/>
        <v>0</v>
      </c>
      <c r="H129" s="1698">
        <f t="shared" si="15"/>
        <v>0</v>
      </c>
      <c r="I129" s="1698">
        <f t="shared" si="15"/>
        <v>0</v>
      </c>
      <c r="J129" s="1698">
        <f t="shared" si="15"/>
        <v>0</v>
      </c>
      <c r="K129" s="1698">
        <f t="shared" si="15"/>
        <v>575192</v>
      </c>
      <c r="L129" s="1698">
        <f t="shared" si="15"/>
        <v>610000</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1954</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v>1014</v>
      </c>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1014</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1014</v>
      </c>
    </row>
    <row r="150" spans="1:14" ht="15.75" customHeight="1" thickTop="1" thickBot="1" x14ac:dyDescent="0.25">
      <c r="A150" s="1627" t="s">
        <v>1098</v>
      </c>
      <c r="B150" s="1634" t="s">
        <v>916</v>
      </c>
      <c r="C150" s="616"/>
      <c r="D150" s="616"/>
      <c r="E150" s="616"/>
      <c r="F150" s="616"/>
      <c r="G150" s="616"/>
      <c r="H150" s="662"/>
      <c r="I150" s="520"/>
      <c r="J150" s="616"/>
      <c r="K150" s="623"/>
      <c r="L150" s="572"/>
    </row>
    <row r="151" spans="1:14" ht="12.75" customHeight="1" thickTop="1" thickBot="1" x14ac:dyDescent="0.25">
      <c r="A151" s="2201" t="s">
        <v>641</v>
      </c>
      <c r="B151" s="2183"/>
      <c r="C151" s="1691">
        <f>SUM(C129,C130,C139,C149,C150)</f>
        <v>210154</v>
      </c>
      <c r="D151" s="1691">
        <f t="shared" ref="D151:K151" si="16">SUM(D129,D130,D139,D149,D150)</f>
        <v>35343</v>
      </c>
      <c r="E151" s="1691">
        <f t="shared" si="16"/>
        <v>163661</v>
      </c>
      <c r="F151" s="1691">
        <f t="shared" si="16"/>
        <v>166034</v>
      </c>
      <c r="G151" s="1691">
        <f t="shared" si="16"/>
        <v>0</v>
      </c>
      <c r="H151" s="1691">
        <f t="shared" si="16"/>
        <v>0</v>
      </c>
      <c r="I151" s="1691">
        <f t="shared" si="16"/>
        <v>0</v>
      </c>
      <c r="J151" s="1691">
        <f t="shared" si="16"/>
        <v>0</v>
      </c>
      <c r="K151" s="1691">
        <f t="shared" si="16"/>
        <v>575192</v>
      </c>
      <c r="L151" s="1691">
        <f>SUM(L129,L130,L139,L149,L150)</f>
        <v>611014</v>
      </c>
    </row>
    <row r="152" spans="1:14" ht="12.75" customHeight="1" thickTop="1" x14ac:dyDescent="0.2">
      <c r="A152" s="2204" t="s">
        <v>1240</v>
      </c>
      <c r="B152" s="2205"/>
      <c r="C152" s="618"/>
      <c r="D152" s="618"/>
      <c r="E152" s="618"/>
      <c r="F152" s="618"/>
      <c r="G152" s="618"/>
      <c r="H152" s="618"/>
      <c r="I152" s="618"/>
      <c r="J152" s="616"/>
      <c r="K152" s="1705">
        <f>'Revenues 9-14'!D275-'Expenditures 15-22'!K151</f>
        <v>-223130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9" t="s">
        <v>642</v>
      </c>
      <c r="B154" s="2191"/>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1955</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1954</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1956</v>
      </c>
      <c r="C158" s="616"/>
      <c r="D158" s="616"/>
      <c r="E158" s="616"/>
      <c r="F158" s="616"/>
      <c r="G158" s="616"/>
      <c r="H158" s="466"/>
      <c r="I158" s="616"/>
      <c r="J158" s="616"/>
      <c r="K158" s="1692">
        <f>H158</f>
        <v>0</v>
      </c>
      <c r="L158" s="466"/>
      <c r="M158" s="619"/>
      <c r="N158" s="619"/>
    </row>
    <row r="159" spans="1:14" s="620" customFormat="1" ht="12" x14ac:dyDescent="0.2">
      <c r="A159" s="1848" t="s">
        <v>1957</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1958</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v>51750</v>
      </c>
      <c r="I169" s="616"/>
      <c r="J169" s="616"/>
      <c r="K169" s="1692">
        <f>SUM(C169:H169)</f>
        <v>51750</v>
      </c>
      <c r="L169" s="656">
        <v>37922</v>
      </c>
    </row>
    <row r="170" spans="1:14" ht="33.75" customHeight="1" x14ac:dyDescent="0.2">
      <c r="A170" s="669" t="s">
        <v>1769</v>
      </c>
      <c r="B170" s="671" t="s">
        <v>31</v>
      </c>
      <c r="C170" s="616"/>
      <c r="D170" s="616"/>
      <c r="E170" s="616"/>
      <c r="F170" s="616"/>
      <c r="G170" s="616"/>
      <c r="H170" s="568">
        <v>320000</v>
      </c>
      <c r="I170" s="616"/>
      <c r="J170" s="616"/>
      <c r="K170" s="1692">
        <f>SUM(C170:J170)</f>
        <v>320000</v>
      </c>
      <c r="L170" s="568">
        <v>322400</v>
      </c>
    </row>
    <row r="171" spans="1:14" ht="15.75" customHeight="1" x14ac:dyDescent="0.2">
      <c r="A171" s="621" t="s">
        <v>790</v>
      </c>
      <c r="B171" s="672" t="s">
        <v>86</v>
      </c>
      <c r="C171" s="616"/>
      <c r="D171" s="616"/>
      <c r="E171" s="465"/>
      <c r="F171" s="616"/>
      <c r="G171" s="616"/>
      <c r="H171" s="568"/>
      <c r="I171" s="476"/>
      <c r="J171" s="616"/>
      <c r="K171" s="1692">
        <f>SUM(C171:J171)</f>
        <v>0</v>
      </c>
      <c r="L171" s="568"/>
    </row>
    <row r="172" spans="1:14" ht="12.75" customHeight="1" thickBot="1" x14ac:dyDescent="0.25">
      <c r="A172" s="1689" t="s">
        <v>659</v>
      </c>
      <c r="B172" s="1690" t="s">
        <v>513</v>
      </c>
      <c r="C172" s="616"/>
      <c r="D172" s="616"/>
      <c r="E172" s="1698">
        <f>SUM(E168,E169,E170,E171)</f>
        <v>0</v>
      </c>
      <c r="F172" s="616"/>
      <c r="G172" s="616"/>
      <c r="H172" s="1698">
        <f>SUM(H168,H169,H170,H171)</f>
        <v>371750</v>
      </c>
      <c r="I172" s="638"/>
      <c r="J172" s="616"/>
      <c r="K172" s="1698">
        <f>SUM(K168,K169,K170,K171)</f>
        <v>371750</v>
      </c>
      <c r="L172" s="1698">
        <f>SUM(L168,L169,L170,L171)</f>
        <v>360322</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371750</v>
      </c>
      <c r="I174" s="638"/>
      <c r="J174" s="616"/>
      <c r="K174" s="1698">
        <f>SUM(K160,K172,K173)</f>
        <v>371750</v>
      </c>
      <c r="L174" s="1698">
        <f>SUM(L160,L172,L173)</f>
        <v>360322</v>
      </c>
    </row>
    <row r="175" spans="1:14" ht="13.5" thickTop="1" x14ac:dyDescent="0.2">
      <c r="A175" s="2211" t="s">
        <v>1053</v>
      </c>
      <c r="B175" s="2212"/>
      <c r="C175" s="616"/>
      <c r="D175" s="616"/>
      <c r="E175" s="616"/>
      <c r="F175" s="616"/>
      <c r="G175" s="616"/>
      <c r="H175" s="618"/>
      <c r="I175" s="616"/>
      <c r="J175" s="616"/>
      <c r="K175" s="1705">
        <f>'Revenues 9-14'!E275-'Expenditures 15-22'!K174</f>
        <v>58020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500</v>
      </c>
      <c r="D182" s="465"/>
      <c r="E182" s="465">
        <v>86863</v>
      </c>
      <c r="F182" s="465"/>
      <c r="G182" s="465"/>
      <c r="H182" s="465"/>
      <c r="I182" s="466"/>
      <c r="J182" s="466"/>
      <c r="K182" s="1692">
        <f>SUM(C182:J182)</f>
        <v>87363</v>
      </c>
      <c r="L182" s="465">
        <v>90000</v>
      </c>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500</v>
      </c>
      <c r="D184" s="1698">
        <f t="shared" ref="D184:J184" si="17">SUM(D180,D182,D183)</f>
        <v>0</v>
      </c>
      <c r="E184" s="1698">
        <f t="shared" si="17"/>
        <v>86863</v>
      </c>
      <c r="F184" s="1698">
        <f t="shared" si="17"/>
        <v>0</v>
      </c>
      <c r="G184" s="1698">
        <f t="shared" si="17"/>
        <v>0</v>
      </c>
      <c r="H184" s="1698">
        <f t="shared" si="17"/>
        <v>0</v>
      </c>
      <c r="I184" s="1698">
        <f t="shared" si="17"/>
        <v>0</v>
      </c>
      <c r="J184" s="1698">
        <f t="shared" si="17"/>
        <v>0</v>
      </c>
      <c r="K184" s="1698">
        <f>SUM(K180,K182,K183)</f>
        <v>87363</v>
      </c>
      <c r="L184" s="1698">
        <f>SUM(L180, L182:L183)</f>
        <v>90000</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row>
    <row r="206" spans="1:14" ht="30" customHeight="1" x14ac:dyDescent="0.2">
      <c r="A206" s="681" t="s">
        <v>1770</v>
      </c>
      <c r="B206" s="672" t="s">
        <v>31</v>
      </c>
      <c r="C206" s="616"/>
      <c r="D206" s="616"/>
      <c r="E206" s="616"/>
      <c r="F206" s="616"/>
      <c r="G206" s="616"/>
      <c r="H206" s="465"/>
      <c r="I206" s="616"/>
      <c r="J206" s="616"/>
      <c r="K206" s="1692">
        <f>SUM(H206)</f>
        <v>0</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row>
    <row r="210" spans="1:14" ht="12.75" customHeight="1" thickTop="1" thickBot="1" x14ac:dyDescent="0.25">
      <c r="A210" s="1713" t="s">
        <v>295</v>
      </c>
      <c r="B210" s="1714"/>
      <c r="C210" s="1691">
        <f>SUM(C184,C185)</f>
        <v>500</v>
      </c>
      <c r="D210" s="1691">
        <f>SUM(D184,D185)</f>
        <v>0</v>
      </c>
      <c r="E210" s="1691">
        <f>SUM(E184,E185,E196)</f>
        <v>86863</v>
      </c>
      <c r="F210" s="1691">
        <f>SUM(F184,F185)</f>
        <v>0</v>
      </c>
      <c r="G210" s="1691">
        <f>SUM(G184,G185)</f>
        <v>0</v>
      </c>
      <c r="H210" s="1691">
        <f>SUM(H184,H185,H196,H208,H209)</f>
        <v>0</v>
      </c>
      <c r="I210" s="1691">
        <f>SUM(I184,I185)</f>
        <v>0</v>
      </c>
      <c r="J210" s="1691">
        <f>SUM(J184,J185)</f>
        <v>0</v>
      </c>
      <c r="K210" s="1692">
        <f>SUM(K184,K185,K196,K208,K209)</f>
        <v>87363</v>
      </c>
      <c r="L210" s="1691">
        <f>SUM(L184,L185,L196,L208,L209)</f>
        <v>90000</v>
      </c>
    </row>
    <row r="211" spans="1:14" ht="13.5" thickTop="1" x14ac:dyDescent="0.2">
      <c r="A211" s="2211" t="s">
        <v>1053</v>
      </c>
      <c r="B211" s="2212"/>
      <c r="C211" s="618"/>
      <c r="D211" s="618"/>
      <c r="E211" s="618"/>
      <c r="F211" s="618"/>
      <c r="G211" s="618"/>
      <c r="H211" s="618"/>
      <c r="I211" s="616"/>
      <c r="J211" s="616"/>
      <c r="K211" s="1705">
        <f>'Revenues 9-14'!F275-'Expenditures 15-22'!K210</f>
        <v>180300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206" t="s">
        <v>1022</v>
      </c>
      <c r="B213" s="2207"/>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13147</v>
      </c>
      <c r="E215" s="616"/>
      <c r="F215" s="616"/>
      <c r="G215" s="616"/>
      <c r="H215" s="616"/>
      <c r="I215" s="616"/>
      <c r="J215" s="616"/>
      <c r="K215" s="1692">
        <f>D215</f>
        <v>13147</v>
      </c>
      <c r="L215" s="465">
        <v>13000</v>
      </c>
    </row>
    <row r="216" spans="1:14" x14ac:dyDescent="0.2">
      <c r="A216" s="1525" t="s">
        <v>165</v>
      </c>
      <c r="B216" s="614" t="s">
        <v>1024</v>
      </c>
      <c r="C216" s="616"/>
      <c r="D216" s="466">
        <v>12369</v>
      </c>
      <c r="E216" s="616"/>
      <c r="F216" s="616"/>
      <c r="G216" s="616"/>
      <c r="H216" s="616"/>
      <c r="I216" s="616"/>
      <c r="J216" s="616"/>
      <c r="K216" s="1692">
        <f t="shared" ref="K216:K228" si="19">D216</f>
        <v>12369</v>
      </c>
      <c r="L216" s="465">
        <v>12000</v>
      </c>
    </row>
    <row r="217" spans="1:14" x14ac:dyDescent="0.2">
      <c r="A217" s="1525" t="s">
        <v>166</v>
      </c>
      <c r="B217" s="614">
        <v>1200</v>
      </c>
      <c r="C217" s="616"/>
      <c r="D217" s="465">
        <v>7360</v>
      </c>
      <c r="E217" s="616"/>
      <c r="F217" s="616"/>
      <c r="G217" s="616"/>
      <c r="H217" s="616"/>
      <c r="I217" s="616"/>
      <c r="J217" s="616"/>
      <c r="K217" s="1692">
        <f t="shared" si="19"/>
        <v>7360</v>
      </c>
      <c r="L217" s="465">
        <v>7696</v>
      </c>
    </row>
    <row r="218" spans="1:14" x14ac:dyDescent="0.2">
      <c r="A218" s="1525" t="s">
        <v>296</v>
      </c>
      <c r="B218" s="614" t="s">
        <v>1025</v>
      </c>
      <c r="C218" s="616"/>
      <c r="D218" s="466"/>
      <c r="E218" s="616"/>
      <c r="F218" s="616"/>
      <c r="G218" s="616"/>
      <c r="H218" s="616"/>
      <c r="I218" s="616"/>
      <c r="J218" s="616"/>
      <c r="K218" s="1692">
        <f t="shared" si="19"/>
        <v>0</v>
      </c>
      <c r="L218" s="465"/>
    </row>
    <row r="219" spans="1:14" x14ac:dyDescent="0.2">
      <c r="A219" s="1525" t="s">
        <v>297</v>
      </c>
      <c r="B219" s="614">
        <v>1250</v>
      </c>
      <c r="C219" s="616"/>
      <c r="D219" s="465">
        <v>5472</v>
      </c>
      <c r="E219" s="616"/>
      <c r="F219" s="616"/>
      <c r="G219" s="616"/>
      <c r="H219" s="616"/>
      <c r="I219" s="616"/>
      <c r="J219" s="616"/>
      <c r="K219" s="1692">
        <f t="shared" si="19"/>
        <v>5472</v>
      </c>
      <c r="L219" s="465">
        <v>4000</v>
      </c>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v>547</v>
      </c>
      <c r="E223" s="616"/>
      <c r="F223" s="616"/>
      <c r="G223" s="616"/>
      <c r="H223" s="616"/>
      <c r="I223" s="616"/>
      <c r="J223" s="616"/>
      <c r="K223" s="1692">
        <f t="shared" si="19"/>
        <v>547</v>
      </c>
      <c r="L223" s="465">
        <v>520</v>
      </c>
    </row>
    <row r="224" spans="1:14" x14ac:dyDescent="0.2">
      <c r="A224" s="1525" t="s">
        <v>1021</v>
      </c>
      <c r="B224" s="614">
        <v>1600</v>
      </c>
      <c r="C224" s="616"/>
      <c r="D224" s="465">
        <v>74</v>
      </c>
      <c r="E224" s="616"/>
      <c r="F224" s="616"/>
      <c r="G224" s="616"/>
      <c r="H224" s="616"/>
      <c r="I224" s="616"/>
      <c r="J224" s="616"/>
      <c r="K224" s="1692">
        <f t="shared" si="19"/>
        <v>74</v>
      </c>
      <c r="L224" s="465">
        <v>0</v>
      </c>
    </row>
    <row r="225" spans="1:12" x14ac:dyDescent="0.2">
      <c r="A225" s="1525" t="s">
        <v>1044</v>
      </c>
      <c r="B225" s="614">
        <v>1650</v>
      </c>
      <c r="C225" s="616"/>
      <c r="D225" s="465"/>
      <c r="E225" s="616"/>
      <c r="F225" s="616"/>
      <c r="G225" s="616"/>
      <c r="H225" s="616"/>
      <c r="I225" s="616"/>
      <c r="J225" s="616"/>
      <c r="K225" s="1692">
        <f t="shared" si="19"/>
        <v>0</v>
      </c>
      <c r="L225" s="465"/>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c r="E227" s="616"/>
      <c r="F227" s="616"/>
      <c r="G227" s="616"/>
      <c r="H227" s="616"/>
      <c r="I227" s="616"/>
      <c r="J227" s="616"/>
      <c r="K227" s="1692">
        <f t="shared" si="19"/>
        <v>0</v>
      </c>
      <c r="L227" s="465"/>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38969</v>
      </c>
      <c r="E229" s="616"/>
      <c r="F229" s="616"/>
      <c r="G229" s="616"/>
      <c r="H229" s="616"/>
      <c r="I229" s="616"/>
      <c r="J229" s="616"/>
      <c r="K229" s="1691">
        <f>SUM(K215:K228)</f>
        <v>38969</v>
      </c>
      <c r="L229" s="1691">
        <f>SUM(L215:L228)</f>
        <v>37216</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1254</v>
      </c>
      <c r="E232" s="616"/>
      <c r="F232" s="616"/>
      <c r="G232" s="616"/>
      <c r="H232" s="616"/>
      <c r="I232" s="616"/>
      <c r="J232" s="616"/>
      <c r="K232" s="1692">
        <f t="shared" ref="K232:K237" si="20">D232</f>
        <v>1254</v>
      </c>
      <c r="L232" s="465">
        <v>1248</v>
      </c>
    </row>
    <row r="233" spans="1:12" x14ac:dyDescent="0.2">
      <c r="A233" s="1525" t="s">
        <v>1151</v>
      </c>
      <c r="B233" s="614">
        <v>2120</v>
      </c>
      <c r="C233" s="616"/>
      <c r="D233" s="465">
        <v>6009</v>
      </c>
      <c r="E233" s="616"/>
      <c r="F233" s="616"/>
      <c r="G233" s="616"/>
      <c r="H233" s="616"/>
      <c r="I233" s="616"/>
      <c r="J233" s="616"/>
      <c r="K233" s="1692">
        <f t="shared" si="20"/>
        <v>6009</v>
      </c>
      <c r="L233" s="465">
        <v>0</v>
      </c>
    </row>
    <row r="234" spans="1:12" x14ac:dyDescent="0.2">
      <c r="A234" s="1525" t="s">
        <v>207</v>
      </c>
      <c r="B234" s="614">
        <v>2130</v>
      </c>
      <c r="C234" s="616"/>
      <c r="D234" s="465">
        <v>867</v>
      </c>
      <c r="E234" s="616"/>
      <c r="F234" s="616"/>
      <c r="G234" s="616"/>
      <c r="H234" s="616"/>
      <c r="I234" s="616"/>
      <c r="J234" s="616"/>
      <c r="K234" s="1692">
        <f t="shared" si="20"/>
        <v>867</v>
      </c>
      <c r="L234" s="465">
        <v>1456</v>
      </c>
    </row>
    <row r="235" spans="1:12" x14ac:dyDescent="0.2">
      <c r="A235" s="1525" t="s">
        <v>208</v>
      </c>
      <c r="B235" s="614">
        <v>2140</v>
      </c>
      <c r="C235" s="616"/>
      <c r="D235" s="465"/>
      <c r="E235" s="616"/>
      <c r="F235" s="616"/>
      <c r="G235" s="616"/>
      <c r="H235" s="616"/>
      <c r="I235" s="616"/>
      <c r="J235" s="616"/>
      <c r="K235" s="1692">
        <f t="shared" si="20"/>
        <v>0</v>
      </c>
      <c r="L235" s="465"/>
    </row>
    <row r="236" spans="1:12" x14ac:dyDescent="0.2">
      <c r="A236" s="1525" t="s">
        <v>209</v>
      </c>
      <c r="B236" s="614">
        <v>2150</v>
      </c>
      <c r="C236" s="616"/>
      <c r="D236" s="465">
        <v>783</v>
      </c>
      <c r="E236" s="616"/>
      <c r="F236" s="616"/>
      <c r="G236" s="616"/>
      <c r="H236" s="616"/>
      <c r="I236" s="616"/>
      <c r="J236" s="616"/>
      <c r="K236" s="1692">
        <f t="shared" si="20"/>
        <v>783</v>
      </c>
      <c r="L236" s="465">
        <v>936</v>
      </c>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581</v>
      </c>
      <c r="B238" s="1696" t="s">
        <v>740</v>
      </c>
      <c r="C238" s="616"/>
      <c r="D238" s="1691">
        <f>SUM(D232:D237)</f>
        <v>8913</v>
      </c>
      <c r="E238" s="616"/>
      <c r="F238" s="616"/>
      <c r="G238" s="616"/>
      <c r="H238" s="616"/>
      <c r="I238" s="616"/>
      <c r="J238" s="616"/>
      <c r="K238" s="1691">
        <f>SUM(K232:K237)</f>
        <v>8913</v>
      </c>
      <c r="L238" s="1691">
        <f>SUM(L232:L237)</f>
        <v>3640</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v>2563</v>
      </c>
      <c r="E240" s="616"/>
      <c r="F240" s="616"/>
      <c r="G240" s="616"/>
      <c r="H240" s="616"/>
      <c r="I240" s="616"/>
      <c r="J240" s="616"/>
      <c r="K240" s="1693">
        <f>D240</f>
        <v>2563</v>
      </c>
      <c r="L240" s="480">
        <v>6000</v>
      </c>
    </row>
    <row r="241" spans="1:12" x14ac:dyDescent="0.2">
      <c r="A241" s="1525" t="s">
        <v>869</v>
      </c>
      <c r="B241" s="614">
        <v>2220</v>
      </c>
      <c r="C241" s="616"/>
      <c r="D241" s="465">
        <v>17849</v>
      </c>
      <c r="E241" s="616"/>
      <c r="F241" s="616"/>
      <c r="G241" s="616"/>
      <c r="H241" s="616"/>
      <c r="I241" s="616"/>
      <c r="J241" s="616"/>
      <c r="K241" s="1693">
        <f>D241</f>
        <v>17849</v>
      </c>
      <c r="L241" s="465">
        <v>16952</v>
      </c>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20412</v>
      </c>
      <c r="E243" s="616"/>
      <c r="F243" s="616"/>
      <c r="G243" s="616"/>
      <c r="H243" s="616"/>
      <c r="I243" s="616"/>
      <c r="J243" s="616"/>
      <c r="K243" s="1691">
        <f>SUM(K240:K242)</f>
        <v>20412</v>
      </c>
      <c r="L243" s="1691">
        <f>SUM(L240:L242)</f>
        <v>22952</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v>100</v>
      </c>
      <c r="E245" s="616"/>
      <c r="F245" s="616"/>
      <c r="G245" s="616"/>
      <c r="H245" s="616"/>
      <c r="I245" s="616"/>
      <c r="J245" s="616"/>
      <c r="K245" s="1693">
        <f>D245</f>
        <v>100</v>
      </c>
      <c r="L245" s="480">
        <v>156</v>
      </c>
    </row>
    <row r="246" spans="1:12" x14ac:dyDescent="0.2">
      <c r="A246" s="1525" t="s">
        <v>872</v>
      </c>
      <c r="B246" s="614">
        <v>2320</v>
      </c>
      <c r="C246" s="616"/>
      <c r="D246" s="465">
        <v>10817</v>
      </c>
      <c r="E246" s="616"/>
      <c r="F246" s="616"/>
      <c r="G246" s="616"/>
      <c r="H246" s="616"/>
      <c r="I246" s="616"/>
      <c r="J246" s="616"/>
      <c r="K246" s="1693">
        <f t="shared" ref="K246:K256" si="21">D246</f>
        <v>10817</v>
      </c>
      <c r="L246" s="465">
        <v>12896</v>
      </c>
    </row>
    <row r="247" spans="1:12" x14ac:dyDescent="0.2">
      <c r="A247" s="1525" t="s">
        <v>873</v>
      </c>
      <c r="B247" s="614">
        <v>2330</v>
      </c>
      <c r="C247" s="616"/>
      <c r="D247" s="465">
        <v>2392</v>
      </c>
      <c r="E247" s="616"/>
      <c r="F247" s="616"/>
      <c r="G247" s="616"/>
      <c r="H247" s="616"/>
      <c r="I247" s="616"/>
      <c r="J247" s="616"/>
      <c r="K247" s="1693">
        <f t="shared" si="21"/>
        <v>2392</v>
      </c>
      <c r="L247" s="465">
        <v>2808</v>
      </c>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1906</v>
      </c>
      <c r="B249" s="683" t="s">
        <v>300</v>
      </c>
      <c r="C249" s="616"/>
      <c r="D249" s="473"/>
      <c r="E249" s="616"/>
      <c r="F249" s="616"/>
      <c r="G249" s="616"/>
      <c r="H249" s="616"/>
      <c r="I249" s="616"/>
      <c r="J249" s="616"/>
      <c r="K249" s="1693">
        <f t="shared" si="21"/>
        <v>0</v>
      </c>
      <c r="L249" s="465"/>
    </row>
    <row r="250" spans="1:12" x14ac:dyDescent="0.2">
      <c r="A250" s="1526" t="s">
        <v>1907</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v>15850</v>
      </c>
      <c r="E254" s="616"/>
      <c r="F254" s="616"/>
      <c r="G254" s="616"/>
      <c r="H254" s="616"/>
      <c r="I254" s="616"/>
      <c r="J254" s="616"/>
      <c r="K254" s="1693">
        <f t="shared" si="21"/>
        <v>15850</v>
      </c>
      <c r="L254" s="465">
        <v>15000</v>
      </c>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29159</v>
      </c>
      <c r="E257" s="616"/>
      <c r="F257" s="616"/>
      <c r="G257" s="616"/>
      <c r="H257" s="616"/>
      <c r="I257" s="616"/>
      <c r="J257" s="616"/>
      <c r="K257" s="1691">
        <f>SUM(K245:K256)</f>
        <v>29159</v>
      </c>
      <c r="L257" s="1691">
        <f>SUM(L245:L256)</f>
        <v>30860</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8168</v>
      </c>
      <c r="E259" s="616"/>
      <c r="F259" s="616"/>
      <c r="G259" s="616"/>
      <c r="H259" s="616"/>
      <c r="I259" s="616"/>
      <c r="J259" s="616"/>
      <c r="K259" s="1693">
        <f>D259</f>
        <v>8168</v>
      </c>
      <c r="L259" s="480">
        <v>7100</v>
      </c>
    </row>
    <row r="260" spans="1:14" s="597" customFormat="1" x14ac:dyDescent="0.2">
      <c r="A260" s="1543" t="s">
        <v>1905</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8168</v>
      </c>
      <c r="E261" s="616"/>
      <c r="F261" s="616"/>
      <c r="G261" s="616"/>
      <c r="H261" s="616"/>
      <c r="I261" s="616"/>
      <c r="J261" s="616"/>
      <c r="K261" s="1691">
        <f>SUM(K259:K260)</f>
        <v>8168</v>
      </c>
      <c r="L261" s="1691">
        <f>SUM(L259:L260)</f>
        <v>7100</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v>10298</v>
      </c>
      <c r="E263" s="616"/>
      <c r="F263" s="616"/>
      <c r="G263" s="616"/>
      <c r="H263" s="616"/>
      <c r="I263" s="616"/>
      <c r="J263" s="616"/>
      <c r="K263" s="1693">
        <f>D263</f>
        <v>10298</v>
      </c>
      <c r="L263" s="480">
        <v>9500</v>
      </c>
    </row>
    <row r="264" spans="1:14" x14ac:dyDescent="0.2">
      <c r="A264" s="1525" t="s">
        <v>483</v>
      </c>
      <c r="B264" s="685">
        <v>2520</v>
      </c>
      <c r="C264" s="616"/>
      <c r="D264" s="465">
        <v>6286</v>
      </c>
      <c r="E264" s="616"/>
      <c r="F264" s="616"/>
      <c r="G264" s="616"/>
      <c r="H264" s="616"/>
      <c r="I264" s="616"/>
      <c r="J264" s="616"/>
      <c r="K264" s="1693">
        <f t="shared" ref="K264:K269" si="22">D264</f>
        <v>6286</v>
      </c>
      <c r="L264" s="465">
        <v>7000</v>
      </c>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v>28943</v>
      </c>
      <c r="E266" s="616"/>
      <c r="F266" s="616"/>
      <c r="G266" s="616"/>
      <c r="H266" s="616"/>
      <c r="I266" s="616"/>
      <c r="J266" s="616"/>
      <c r="K266" s="1693">
        <f t="shared" si="22"/>
        <v>28943</v>
      </c>
      <c r="L266" s="465">
        <v>26000</v>
      </c>
    </row>
    <row r="267" spans="1:14" x14ac:dyDescent="0.2">
      <c r="A267" s="1525" t="s">
        <v>1010</v>
      </c>
      <c r="B267" s="614">
        <v>2550</v>
      </c>
      <c r="C267" s="616"/>
      <c r="D267" s="465">
        <v>65</v>
      </c>
      <c r="E267" s="616"/>
      <c r="F267" s="616"/>
      <c r="G267" s="616"/>
      <c r="H267" s="616"/>
      <c r="I267" s="616"/>
      <c r="J267" s="616"/>
      <c r="K267" s="1693">
        <f t="shared" si="22"/>
        <v>65</v>
      </c>
      <c r="L267" s="465">
        <v>100</v>
      </c>
    </row>
    <row r="268" spans="1:14" x14ac:dyDescent="0.2">
      <c r="A268" s="1525" t="s">
        <v>102</v>
      </c>
      <c r="B268" s="614">
        <v>2560</v>
      </c>
      <c r="C268" s="616"/>
      <c r="D268" s="465">
        <v>63</v>
      </c>
      <c r="E268" s="616"/>
      <c r="F268" s="616"/>
      <c r="G268" s="616"/>
      <c r="H268" s="616"/>
      <c r="I268" s="616"/>
      <c r="J268" s="616"/>
      <c r="K268" s="1693">
        <f t="shared" si="22"/>
        <v>63</v>
      </c>
      <c r="L268" s="465">
        <v>70</v>
      </c>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45655</v>
      </c>
      <c r="E270" s="616"/>
      <c r="F270" s="616"/>
      <c r="G270" s="616"/>
      <c r="H270" s="616"/>
      <c r="I270" s="616"/>
      <c r="J270" s="616"/>
      <c r="K270" s="1691">
        <f>SUM(K263:K269)</f>
        <v>45655</v>
      </c>
      <c r="L270" s="1691">
        <f>SUM(L263:L269)</f>
        <v>42670</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c r="E276" s="616"/>
      <c r="F276" s="616"/>
      <c r="G276" s="616"/>
      <c r="H276" s="616"/>
      <c r="I276" s="616"/>
      <c r="J276" s="616"/>
      <c r="K276" s="1693">
        <f>D276</f>
        <v>0</v>
      </c>
      <c r="L276" s="465"/>
    </row>
    <row r="277" spans="1:12" ht="12.75" customHeight="1" thickBot="1" x14ac:dyDescent="0.25">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x14ac:dyDescent="0.2">
      <c r="A278" s="1531" t="s">
        <v>1037</v>
      </c>
      <c r="B278" s="655" t="s">
        <v>595</v>
      </c>
      <c r="C278" s="616"/>
      <c r="D278" s="656">
        <v>1253</v>
      </c>
      <c r="E278" s="616"/>
      <c r="F278" s="616"/>
      <c r="G278" s="616"/>
      <c r="H278" s="616"/>
      <c r="I278" s="616"/>
      <c r="J278" s="616"/>
      <c r="K278" s="1706">
        <f>D278</f>
        <v>1253</v>
      </c>
      <c r="L278" s="656">
        <v>2000</v>
      </c>
    </row>
    <row r="279" spans="1:12" ht="12.75" customHeight="1" thickBot="1" x14ac:dyDescent="0.25">
      <c r="A279" s="1719" t="s">
        <v>865</v>
      </c>
      <c r="B279" s="1702">
        <v>2000</v>
      </c>
      <c r="C279" s="616"/>
      <c r="D279" s="1698">
        <f>SUM(D238,D243,D257,D261,D270,D277,D278)</f>
        <v>113560</v>
      </c>
      <c r="E279" s="616"/>
      <c r="F279" s="616"/>
      <c r="G279" s="616"/>
      <c r="H279" s="616"/>
      <c r="I279" s="616"/>
      <c r="J279" s="616"/>
      <c r="K279" s="1698">
        <f>SUM(K238,K243,K257,K261,K270,K277,K278)</f>
        <v>113560</v>
      </c>
      <c r="L279" s="1698">
        <f>SUM(L238,L243,L257,L261,L270,L277,L278)</f>
        <v>109222</v>
      </c>
    </row>
    <row r="280" spans="1:12" ht="15.75" customHeight="1" thickTop="1" thickBot="1" x14ac:dyDescent="0.25">
      <c r="A280" s="1645" t="s">
        <v>930</v>
      </c>
      <c r="B280" s="1634">
        <v>3000</v>
      </c>
      <c r="C280" s="616"/>
      <c r="D280" s="575">
        <v>4401</v>
      </c>
      <c r="E280" s="616"/>
      <c r="F280" s="616"/>
      <c r="G280" s="616"/>
      <c r="H280" s="616"/>
      <c r="I280" s="616"/>
      <c r="J280" s="616"/>
      <c r="K280" s="1700">
        <f>D280</f>
        <v>4401</v>
      </c>
      <c r="L280" s="575">
        <v>4264</v>
      </c>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1954</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202" t="s">
        <v>526</v>
      </c>
      <c r="B295" s="2203"/>
      <c r="C295" s="616"/>
      <c r="D295" s="1691">
        <f>SUM(D229,D279,D280,D285)</f>
        <v>156930</v>
      </c>
      <c r="E295" s="616"/>
      <c r="F295" s="616"/>
      <c r="G295" s="616"/>
      <c r="H295" s="1691">
        <f>H293</f>
        <v>0</v>
      </c>
      <c r="I295" s="616"/>
      <c r="J295" s="616"/>
      <c r="K295" s="1691">
        <f>SUM(K229,K279,K280,K285,K293,K294)</f>
        <v>156930</v>
      </c>
      <c r="L295" s="1691">
        <f>SUM(L229,L279,L280,L285,L293,L294)</f>
        <v>150702</v>
      </c>
    </row>
    <row r="296" spans="1:14" ht="13.5" thickTop="1" x14ac:dyDescent="0.2">
      <c r="A296" s="2211" t="s">
        <v>1053</v>
      </c>
      <c r="B296" s="2212"/>
      <c r="C296" s="616"/>
      <c r="D296" s="618"/>
      <c r="E296" s="616"/>
      <c r="F296" s="616"/>
      <c r="G296" s="616"/>
      <c r="H296" s="687"/>
      <c r="I296" s="616"/>
      <c r="J296" s="616"/>
      <c r="K296" s="1705">
        <f>'Revenues 9-14'!G275-'Expenditures 15-22'!K295</f>
        <v>-312001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4" t="s">
        <v>145</v>
      </c>
      <c r="B298" s="2188"/>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c r="H301" s="465"/>
      <c r="I301" s="466"/>
      <c r="J301" s="466"/>
      <c r="K301" s="1692">
        <f>SUM(C301:J301)</f>
        <v>0</v>
      </c>
      <c r="L301" s="466"/>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1959</v>
      </c>
      <c r="B306" s="690" t="s">
        <v>1954</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99" t="s">
        <v>295</v>
      </c>
      <c r="B312" s="2200"/>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95" t="s">
        <v>1053</v>
      </c>
      <c r="B313" s="2196"/>
      <c r="C313" s="626"/>
      <c r="D313" s="626"/>
      <c r="E313" s="626"/>
      <c r="F313" s="626"/>
      <c r="G313" s="626"/>
      <c r="H313" s="626"/>
      <c r="I313" s="626"/>
      <c r="J313" s="626"/>
      <c r="K313" s="1706">
        <f>'Revenues 9-14'!H275-'Expenditures 15-22'!K312</f>
        <v>23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8" t="s">
        <v>151</v>
      </c>
      <c r="B315" s="2209"/>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0" t="s">
        <v>954</v>
      </c>
      <c r="B317" s="2209"/>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1906</v>
      </c>
      <c r="B320" s="698" t="s">
        <v>300</v>
      </c>
      <c r="C320" s="466"/>
      <c r="D320" s="466"/>
      <c r="E320" s="466">
        <v>56652</v>
      </c>
      <c r="F320" s="466"/>
      <c r="G320" s="466"/>
      <c r="H320" s="466"/>
      <c r="I320" s="466"/>
      <c r="J320" s="466"/>
      <c r="K320" s="1692">
        <f t="shared" ref="K320:K327" si="24">SUM(C320:J320)</f>
        <v>56652</v>
      </c>
      <c r="L320" s="466">
        <v>60000</v>
      </c>
      <c r="M320" s="665"/>
      <c r="N320" s="665"/>
    </row>
    <row r="321" spans="1:14" s="674" customFormat="1" x14ac:dyDescent="0.2">
      <c r="A321" s="1540" t="s">
        <v>318</v>
      </c>
      <c r="B321" s="697" t="s">
        <v>301</v>
      </c>
      <c r="C321" s="466"/>
      <c r="D321" s="466"/>
      <c r="E321" s="466">
        <v>57690</v>
      </c>
      <c r="F321" s="466"/>
      <c r="G321" s="466"/>
      <c r="H321" s="466"/>
      <c r="I321" s="466"/>
      <c r="J321" s="466"/>
      <c r="K321" s="1692">
        <f t="shared" si="24"/>
        <v>57690</v>
      </c>
      <c r="L321" s="466">
        <v>60000</v>
      </c>
      <c r="M321" s="665"/>
      <c r="N321" s="665"/>
    </row>
    <row r="322" spans="1:14" s="674" customFormat="1" x14ac:dyDescent="0.2">
      <c r="A322" s="1540" t="s">
        <v>256</v>
      </c>
      <c r="B322" s="697" t="s">
        <v>302</v>
      </c>
      <c r="C322" s="466"/>
      <c r="D322" s="466"/>
      <c r="E322" s="466"/>
      <c r="F322" s="466"/>
      <c r="G322" s="466"/>
      <c r="H322" s="466"/>
      <c r="I322" s="466"/>
      <c r="J322" s="466"/>
      <c r="K322" s="1692">
        <f t="shared" si="24"/>
        <v>0</v>
      </c>
      <c r="L322" s="466"/>
      <c r="M322" s="665"/>
      <c r="N322" s="665"/>
    </row>
    <row r="323" spans="1:14" s="674" customFormat="1" x14ac:dyDescent="0.2">
      <c r="A323" s="1540" t="s">
        <v>726</v>
      </c>
      <c r="B323" s="697" t="s">
        <v>303</v>
      </c>
      <c r="C323" s="466"/>
      <c r="D323" s="466"/>
      <c r="E323" s="466">
        <v>7618</v>
      </c>
      <c r="F323" s="466"/>
      <c r="G323" s="466"/>
      <c r="H323" s="466"/>
      <c r="I323" s="466"/>
      <c r="J323" s="466"/>
      <c r="K323" s="1692">
        <f t="shared" si="24"/>
        <v>7618</v>
      </c>
      <c r="L323" s="466">
        <v>7800</v>
      </c>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v>155434</v>
      </c>
      <c r="D325" s="466">
        <v>26238</v>
      </c>
      <c r="E325" s="466"/>
      <c r="F325" s="466">
        <v>298</v>
      </c>
      <c r="G325" s="466"/>
      <c r="H325" s="466"/>
      <c r="I325" s="466"/>
      <c r="J325" s="466"/>
      <c r="K325" s="1692">
        <f t="shared" si="24"/>
        <v>181970</v>
      </c>
      <c r="L325" s="466">
        <v>196800</v>
      </c>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v>46043</v>
      </c>
      <c r="F328" s="473"/>
      <c r="G328" s="473"/>
      <c r="H328" s="473"/>
      <c r="I328" s="473"/>
      <c r="J328" s="473"/>
      <c r="K328" s="1720">
        <f>SUM(C328:J328)</f>
        <v>46043</v>
      </c>
      <c r="L328" s="473">
        <v>62618</v>
      </c>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155434</v>
      </c>
      <c r="D330" s="1691">
        <f t="shared" ref="D330:J330" si="25">SUM(D319:D329)</f>
        <v>26238</v>
      </c>
      <c r="E330" s="1691">
        <f t="shared" si="25"/>
        <v>168003</v>
      </c>
      <c r="F330" s="1691">
        <f t="shared" si="25"/>
        <v>298</v>
      </c>
      <c r="G330" s="1691">
        <f t="shared" si="25"/>
        <v>0</v>
      </c>
      <c r="H330" s="1691">
        <f t="shared" si="25"/>
        <v>0</v>
      </c>
      <c r="I330" s="1691">
        <f t="shared" si="25"/>
        <v>0</v>
      </c>
      <c r="J330" s="1691">
        <f t="shared" si="25"/>
        <v>0</v>
      </c>
      <c r="K330" s="1691">
        <f>SUM(K319:K329)</f>
        <v>349973</v>
      </c>
      <c r="L330" s="1691">
        <f>SUM(L319:L329)</f>
        <v>387218</v>
      </c>
      <c r="M330" s="665"/>
      <c r="N330" s="665"/>
    </row>
    <row r="331" spans="1:14" s="674" customFormat="1" ht="12.75" customHeight="1" thickTop="1" x14ac:dyDescent="0.2">
      <c r="A331" s="1853" t="s">
        <v>1960</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1954</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1956</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1961</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155434</v>
      </c>
      <c r="D342" s="1691">
        <f>SUM(D330)</f>
        <v>26238</v>
      </c>
      <c r="E342" s="1691">
        <f>SUM(E330)</f>
        <v>168003</v>
      </c>
      <c r="F342" s="1691">
        <f>SUM(F330)</f>
        <v>298</v>
      </c>
      <c r="G342" s="1691">
        <f>SUM(G330)</f>
        <v>0</v>
      </c>
      <c r="H342" s="1691">
        <f>SUM(H330,H334,H340)</f>
        <v>0</v>
      </c>
      <c r="I342" s="1691">
        <f>SUM(I330)</f>
        <v>0</v>
      </c>
      <c r="J342" s="1691">
        <f>SUM(J330)</f>
        <v>0</v>
      </c>
      <c r="K342" s="1691">
        <f>SUM(K330,K334,K340)</f>
        <v>349973</v>
      </c>
      <c r="L342" s="1698">
        <f>SUM(L330,L340,L341)</f>
        <v>387218</v>
      </c>
    </row>
    <row r="343" spans="1:14" ht="12.75" customHeight="1" thickTop="1" x14ac:dyDescent="0.2">
      <c r="A343" s="2197" t="s">
        <v>1053</v>
      </c>
      <c r="B343" s="2198"/>
      <c r="C343" s="616"/>
      <c r="D343" s="616"/>
      <c r="E343" s="616"/>
      <c r="F343" s="616"/>
      <c r="G343" s="616"/>
      <c r="H343" s="616"/>
      <c r="I343" s="616"/>
      <c r="J343" s="616"/>
      <c r="K343" s="1705">
        <f>'Revenues 9-14'!J275-'Expenditures 15-22'!K342</f>
        <v>104278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7" t="s">
        <v>1023</v>
      </c>
      <c r="B345" s="2188"/>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c r="H348" s="465"/>
      <c r="I348" s="466"/>
      <c r="J348" s="466"/>
      <c r="K348" s="1692">
        <f>SUM(C348:J348)</f>
        <v>0</v>
      </c>
      <c r="L348" s="465"/>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1962</v>
      </c>
      <c r="B354" s="683" t="s">
        <v>1954</v>
      </c>
      <c r="C354" s="616"/>
      <c r="D354" s="616"/>
      <c r="E354" s="616"/>
      <c r="F354" s="616"/>
      <c r="G354" s="616"/>
      <c r="H354" s="473"/>
      <c r="I354" s="701"/>
      <c r="J354" s="616"/>
      <c r="K354" s="1720">
        <f>H354</f>
        <v>0</v>
      </c>
      <c r="L354" s="470"/>
    </row>
    <row r="355" spans="1:14" ht="12.75" customHeight="1" x14ac:dyDescent="0.2">
      <c r="A355" s="1534" t="s">
        <v>1963</v>
      </c>
      <c r="B355" s="690" t="s">
        <v>1956</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211" t="s">
        <v>1053</v>
      </c>
      <c r="B368" s="2212"/>
      <c r="C368" s="654"/>
      <c r="D368" s="654"/>
      <c r="E368" s="626"/>
      <c r="F368" s="626"/>
      <c r="G368" s="626"/>
      <c r="H368" s="626"/>
      <c r="I368" s="626"/>
      <c r="J368" s="623"/>
      <c r="K368" s="1692">
        <f>'Revenues 9-14'!K275-'Expenditures 15-22'!K367</f>
        <v>1770</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33" sqref="C33:I34"/>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7" t="s">
        <v>106</v>
      </c>
    </row>
    <row r="2" spans="1:6" ht="39.75" customHeight="1" x14ac:dyDescent="0.2">
      <c r="A2" s="2213" t="s">
        <v>1903</v>
      </c>
      <c r="B2" s="1549" t="s">
        <v>2033</v>
      </c>
      <c r="C2" s="714" t="s">
        <v>1908</v>
      </c>
      <c r="D2" s="714" t="s">
        <v>1909</v>
      </c>
      <c r="E2" s="714" t="s">
        <v>1910</v>
      </c>
      <c r="F2" s="714" t="s">
        <v>1911</v>
      </c>
    </row>
    <row r="3" spans="1:6" ht="12" customHeight="1" x14ac:dyDescent="0.2">
      <c r="A3" s="2214"/>
      <c r="B3" s="1546"/>
      <c r="C3" s="1547"/>
      <c r="D3" s="1548" t="s">
        <v>274</v>
      </c>
      <c r="E3" s="1547"/>
      <c r="F3" s="1548" t="s">
        <v>275</v>
      </c>
    </row>
    <row r="4" spans="1:6" ht="13.7" customHeight="1" x14ac:dyDescent="0.2">
      <c r="A4" s="715" t="s">
        <v>1217</v>
      </c>
      <c r="B4" s="1770">
        <f>'Revenues 9-14'!C5</f>
        <v>453431</v>
      </c>
      <c r="C4" s="1545">
        <v>354919</v>
      </c>
      <c r="D4" s="1773">
        <f>B4-C4</f>
        <v>98512</v>
      </c>
      <c r="E4" s="1545">
        <v>1365297</v>
      </c>
      <c r="F4" s="1773">
        <f>E4-C4</f>
        <v>1010378</v>
      </c>
    </row>
    <row r="5" spans="1:6" ht="13.7" customHeight="1" x14ac:dyDescent="0.2">
      <c r="A5" s="715" t="s">
        <v>925</v>
      </c>
      <c r="B5" s="1771">
        <f>'Revenues 9-14'!D5</f>
        <v>50425</v>
      </c>
      <c r="C5" s="584">
        <v>34858</v>
      </c>
      <c r="D5" s="1774">
        <f t="shared" ref="D5:D18" si="0">B5-C5</f>
        <v>15567</v>
      </c>
      <c r="E5" s="584">
        <v>134092</v>
      </c>
      <c r="F5" s="1774">
        <f>E5-C5</f>
        <v>99234</v>
      </c>
    </row>
    <row r="6" spans="1:6" ht="13.7" customHeight="1" x14ac:dyDescent="0.2">
      <c r="A6" s="715" t="s">
        <v>431</v>
      </c>
      <c r="B6" s="1771">
        <f>'Revenues 9-14'!E5</f>
        <v>413295</v>
      </c>
      <c r="C6" s="584">
        <v>262662</v>
      </c>
      <c r="D6" s="1774">
        <f t="shared" si="0"/>
        <v>150633</v>
      </c>
      <c r="E6" s="584">
        <v>441313</v>
      </c>
      <c r="F6" s="1774">
        <f t="shared" ref="F6:F18" si="1">E6-C6</f>
        <v>178651</v>
      </c>
    </row>
    <row r="7" spans="1:6" ht="13.7" customHeight="1" x14ac:dyDescent="0.2">
      <c r="A7" s="715" t="s">
        <v>157</v>
      </c>
      <c r="B7" s="1771">
        <f>'Revenues 9-14'!F5</f>
        <v>195683</v>
      </c>
      <c r="C7" s="584">
        <v>27881</v>
      </c>
      <c r="D7" s="1774">
        <f t="shared" si="0"/>
        <v>167802</v>
      </c>
      <c r="E7" s="584">
        <v>107254</v>
      </c>
      <c r="F7" s="1774">
        <f t="shared" si="1"/>
        <v>79373</v>
      </c>
    </row>
    <row r="8" spans="1:6" ht="13.7" customHeight="1" x14ac:dyDescent="0.2">
      <c r="A8" s="715" t="s">
        <v>1241</v>
      </c>
      <c r="B8" s="1771">
        <f>'Revenues 9-14'!G5</f>
        <v>-81123</v>
      </c>
      <c r="C8" s="584">
        <v>0</v>
      </c>
      <c r="D8" s="1774">
        <f t="shared" si="0"/>
        <v>-81123</v>
      </c>
      <c r="E8" s="584">
        <v>0</v>
      </c>
      <c r="F8" s="1774">
        <f t="shared" si="1"/>
        <v>0</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4564</v>
      </c>
      <c r="C10" s="584">
        <v>3152</v>
      </c>
      <c r="D10" s="1774">
        <f t="shared" si="0"/>
        <v>1412</v>
      </c>
      <c r="E10" s="584">
        <v>12126</v>
      </c>
      <c r="F10" s="1774">
        <f t="shared" si="1"/>
        <v>8974</v>
      </c>
    </row>
    <row r="11" spans="1:6" x14ac:dyDescent="0.2">
      <c r="A11" s="715" t="s">
        <v>429</v>
      </c>
      <c r="B11" s="1771">
        <f>'Revenues 9-14'!J5</f>
        <v>235598</v>
      </c>
      <c r="C11" s="584">
        <v>125480</v>
      </c>
      <c r="D11" s="1774">
        <f t="shared" si="0"/>
        <v>110118</v>
      </c>
      <c r="E11" s="584">
        <v>482693</v>
      </c>
      <c r="F11" s="1774">
        <f t="shared" si="1"/>
        <v>357213</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36461</v>
      </c>
      <c r="C14" s="584">
        <v>25202</v>
      </c>
      <c r="D14" s="1774">
        <f t="shared" si="0"/>
        <v>11259</v>
      </c>
      <c r="E14" s="584">
        <v>96947</v>
      </c>
      <c r="F14" s="1774">
        <f t="shared" si="1"/>
        <v>71745</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-81123</v>
      </c>
      <c r="C16" s="584">
        <v>0</v>
      </c>
      <c r="D16" s="1774">
        <f t="shared" si="0"/>
        <v>-81123</v>
      </c>
      <c r="E16" s="584">
        <v>0</v>
      </c>
      <c r="F16" s="1774">
        <f t="shared" si="1"/>
        <v>0</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1227211</v>
      </c>
      <c r="C19" s="1772">
        <f>SUM(C4:C18)</f>
        <v>834154</v>
      </c>
      <c r="D19" s="1772">
        <f>SUM(D4:D18)</f>
        <v>393057</v>
      </c>
      <c r="E19" s="1772">
        <f>SUM(E4:E18)</f>
        <v>2639722</v>
      </c>
      <c r="F19" s="1772">
        <f>SUM(F4:F18)</f>
        <v>1805568</v>
      </c>
    </row>
    <row r="20" spans="1:6" ht="13.5" thickTop="1" x14ac:dyDescent="0.2">
      <c r="B20" s="713"/>
      <c r="F20" s="716"/>
    </row>
    <row r="21" spans="1:6" x14ac:dyDescent="0.2">
      <c r="A21" s="717" t="s">
        <v>1913</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0" colorId="8" zoomScale="110" zoomScaleNormal="110" workbookViewId="0">
      <selection activeCell="C33" sqref="C33:I34"/>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9" t="s">
        <v>650</v>
      </c>
      <c r="B1" s="2220"/>
      <c r="C1" s="721"/>
    </row>
    <row r="2" spans="1:7" ht="33.75" x14ac:dyDescent="0.2">
      <c r="A2" s="2228" t="s">
        <v>1903</v>
      </c>
      <c r="B2" s="2229"/>
      <c r="C2" s="1908" t="s">
        <v>2034</v>
      </c>
      <c r="D2" s="723" t="s">
        <v>2041</v>
      </c>
      <c r="E2" s="723" t="s">
        <v>2042</v>
      </c>
      <c r="F2" s="1908" t="s">
        <v>2035</v>
      </c>
    </row>
    <row r="3" spans="1:7" ht="15.75" customHeight="1" x14ac:dyDescent="0.2">
      <c r="A3" s="2232" t="s">
        <v>1176</v>
      </c>
      <c r="B3" s="2233"/>
      <c r="C3" s="2221"/>
      <c r="D3" s="2222"/>
      <c r="E3" s="2222"/>
      <c r="F3" s="2223"/>
    </row>
    <row r="4" spans="1:7" ht="12.75" customHeight="1" thickBot="1" x14ac:dyDescent="0.25">
      <c r="A4" s="2230" t="s">
        <v>651</v>
      </c>
      <c r="B4" s="2231"/>
      <c r="C4" s="580"/>
      <c r="D4" s="580"/>
      <c r="E4" s="580"/>
      <c r="F4" s="1776">
        <f>SUM(C4+D4)-E4</f>
        <v>0</v>
      </c>
    </row>
    <row r="5" spans="1:7" ht="15.75" customHeight="1" thickTop="1" x14ac:dyDescent="0.2">
      <c r="A5" s="2215" t="s">
        <v>1172</v>
      </c>
      <c r="B5" s="2216"/>
      <c r="C5" s="2224"/>
      <c r="D5" s="2225"/>
      <c r="E5" s="2225"/>
      <c r="F5" s="2226"/>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17" t="s">
        <v>652</v>
      </c>
      <c r="B15" s="2218"/>
      <c r="C15" s="1776">
        <f>SUM(C6:C14)</f>
        <v>0</v>
      </c>
      <c r="D15" s="1776">
        <f>SUM(D6:D14)</f>
        <v>0</v>
      </c>
      <c r="E15" s="1776">
        <f>SUM(E6:E14)</f>
        <v>0</v>
      </c>
      <c r="F15" s="1776">
        <f>SUM(F6:F14)</f>
        <v>0</v>
      </c>
      <c r="G15" s="551"/>
    </row>
    <row r="16" spans="1:7" s="201" customFormat="1" ht="15.75" customHeight="1" thickTop="1" x14ac:dyDescent="0.2">
      <c r="A16" s="2227" t="s">
        <v>1173</v>
      </c>
      <c r="B16" s="2216"/>
      <c r="C16" s="2224"/>
      <c r="D16" s="2225"/>
      <c r="E16" s="2225"/>
      <c r="F16" s="2226"/>
    </row>
    <row r="17" spans="1:11" ht="12.75" customHeight="1" thickBot="1" x14ac:dyDescent="0.25">
      <c r="A17" s="2240" t="s">
        <v>66</v>
      </c>
      <c r="B17" s="2241"/>
      <c r="C17" s="726"/>
      <c r="D17" s="584"/>
      <c r="E17" s="726"/>
      <c r="F17" s="1776">
        <f>SUM(C17+D17)-E17</f>
        <v>0</v>
      </c>
    </row>
    <row r="18" spans="1:11" ht="12.75" customHeight="1" thickTop="1" thickBot="1" x14ac:dyDescent="0.25">
      <c r="A18" s="2240" t="s">
        <v>6</v>
      </c>
      <c r="B18" s="2241"/>
      <c r="C18" s="726"/>
      <c r="D18" s="584"/>
      <c r="E18" s="726"/>
      <c r="F18" s="1776">
        <f>SUM(C18+D18)-E18</f>
        <v>0</v>
      </c>
    </row>
    <row r="19" spans="1:11" ht="12.75" customHeight="1" thickTop="1" thickBot="1" x14ac:dyDescent="0.25">
      <c r="A19" s="2240" t="s">
        <v>406</v>
      </c>
      <c r="B19" s="2241"/>
      <c r="C19" s="726"/>
      <c r="D19" s="584"/>
      <c r="E19" s="726"/>
      <c r="F19" s="1776">
        <f>SUM(C19+D19)-E19</f>
        <v>0</v>
      </c>
    </row>
    <row r="20" spans="1:11" ht="12.75" customHeight="1" thickTop="1" thickBot="1" x14ac:dyDescent="0.25">
      <c r="A20" s="2240" t="s">
        <v>468</v>
      </c>
      <c r="B20" s="2241"/>
      <c r="C20" s="726"/>
      <c r="D20" s="584"/>
      <c r="E20" s="726"/>
      <c r="F20" s="1776">
        <f>SUM(C20+D20)-E20</f>
        <v>0</v>
      </c>
    </row>
    <row r="21" spans="1:11" ht="14.25" thickTop="1" thickBot="1" x14ac:dyDescent="0.25">
      <c r="A21" s="2217" t="s">
        <v>653</v>
      </c>
      <c r="B21" s="2218"/>
      <c r="C21" s="1776">
        <f>SUM(C17:C20)</f>
        <v>0</v>
      </c>
      <c r="D21" s="1776">
        <f>SUM(D17:D20)</f>
        <v>0</v>
      </c>
      <c r="E21" s="1776">
        <f>SUM(E17:E20)</f>
        <v>0</v>
      </c>
      <c r="F21" s="1776">
        <f>SUM(F17:F20)</f>
        <v>0</v>
      </c>
      <c r="G21" s="551"/>
    </row>
    <row r="22" spans="1:11" ht="15.75" customHeight="1" thickTop="1" x14ac:dyDescent="0.2">
      <c r="A22" s="2242" t="s">
        <v>1174</v>
      </c>
      <c r="B22" s="2216"/>
      <c r="C22" s="2224"/>
      <c r="D22" s="2225"/>
      <c r="E22" s="2225"/>
      <c r="F22" s="2226"/>
    </row>
    <row r="23" spans="1:11" ht="13.5" thickBot="1" x14ac:dyDescent="0.25">
      <c r="A23" s="2230" t="s">
        <v>654</v>
      </c>
      <c r="B23" s="2231"/>
      <c r="C23" s="580"/>
      <c r="D23" s="580"/>
      <c r="E23" s="580"/>
      <c r="F23" s="1776">
        <f>SUM(C23+D23)-E23</f>
        <v>0</v>
      </c>
      <c r="G23" s="551"/>
    </row>
    <row r="24" spans="1:11" ht="15.75" customHeight="1" thickTop="1" x14ac:dyDescent="0.2">
      <c r="A24" s="2242" t="s">
        <v>1175</v>
      </c>
      <c r="B24" s="2216"/>
      <c r="C24" s="2224"/>
      <c r="D24" s="2225"/>
      <c r="E24" s="2225"/>
      <c r="F24" s="2226"/>
    </row>
    <row r="25" spans="1:11" ht="13.5" thickBot="1" x14ac:dyDescent="0.25">
      <c r="A25" s="2230" t="s">
        <v>655</v>
      </c>
      <c r="B25" s="2231"/>
      <c r="C25" s="580"/>
      <c r="D25" s="580"/>
      <c r="E25" s="580"/>
      <c r="F25" s="1776">
        <f>SUM(C25+D25)-E25</f>
        <v>0</v>
      </c>
      <c r="G25" s="551"/>
    </row>
    <row r="26" spans="1:11" ht="15.75" customHeight="1" thickTop="1" x14ac:dyDescent="0.2">
      <c r="A26" s="2215" t="s">
        <v>678</v>
      </c>
      <c r="B26" s="2216"/>
      <c r="C26" s="727"/>
      <c r="D26" s="727"/>
      <c r="E26" s="727"/>
      <c r="F26" s="728"/>
    </row>
    <row r="27" spans="1:11" ht="13.5" thickBot="1" x14ac:dyDescent="0.25">
      <c r="A27" s="2217" t="s">
        <v>1130</v>
      </c>
      <c r="B27" s="2218"/>
      <c r="C27" s="584"/>
      <c r="D27" s="584"/>
      <c r="E27" s="584"/>
      <c r="F27" s="1776">
        <f>SUM(C27+D27)-E27</f>
        <v>0</v>
      </c>
      <c r="G27" s="551"/>
    </row>
    <row r="28" spans="1:11" ht="7.5" customHeight="1" thickTop="1" x14ac:dyDescent="0.2">
      <c r="A28" s="593"/>
    </row>
    <row r="29" spans="1:11" ht="23.25" customHeight="1" x14ac:dyDescent="0.2">
      <c r="A29" s="2243" t="s">
        <v>603</v>
      </c>
      <c r="B29" s="2220"/>
      <c r="C29" s="729"/>
      <c r="D29" s="729"/>
      <c r="E29" s="729"/>
      <c r="F29" s="729"/>
      <c r="G29" s="729"/>
      <c r="H29" s="729"/>
      <c r="I29" s="729"/>
      <c r="J29" s="729"/>
    </row>
    <row r="30" spans="1:11" ht="33.75" x14ac:dyDescent="0.2">
      <c r="A30" s="1550" t="s">
        <v>1131</v>
      </c>
      <c r="B30" s="730" t="s">
        <v>1186</v>
      </c>
      <c r="C30" s="1909" t="s">
        <v>604</v>
      </c>
      <c r="D30" s="1909" t="s">
        <v>1772</v>
      </c>
      <c r="E30" s="1909" t="s">
        <v>2036</v>
      </c>
      <c r="F30" s="1909" t="s">
        <v>2037</v>
      </c>
      <c r="G30" s="1909" t="s">
        <v>2040</v>
      </c>
      <c r="H30" s="1909" t="s">
        <v>2038</v>
      </c>
      <c r="I30" s="1909" t="s">
        <v>2039</v>
      </c>
      <c r="J30" s="1910" t="s">
        <v>2</v>
      </c>
      <c r="K30" s="731"/>
    </row>
    <row r="31" spans="1:11" ht="12" customHeight="1" x14ac:dyDescent="0.2">
      <c r="A31" s="732" t="s">
        <v>2098</v>
      </c>
      <c r="B31" s="733">
        <v>41086</v>
      </c>
      <c r="C31" s="734">
        <v>2085000</v>
      </c>
      <c r="D31" s="735">
        <v>7</v>
      </c>
      <c r="E31" s="734">
        <v>1195000</v>
      </c>
      <c r="F31" s="734"/>
      <c r="G31" s="734"/>
      <c r="H31" s="734">
        <v>320000</v>
      </c>
      <c r="I31" s="1777">
        <f>((E31+F31)-H31)+G31</f>
        <v>875000</v>
      </c>
      <c r="J31" s="734">
        <v>875000</v>
      </c>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2085000</v>
      </c>
      <c r="D49" s="745"/>
      <c r="E49" s="1777">
        <f t="shared" ref="E49:J49" si="2">SUM(E31:E48)</f>
        <v>1195000</v>
      </c>
      <c r="F49" s="1777">
        <f t="shared" si="2"/>
        <v>0</v>
      </c>
      <c r="G49" s="1777">
        <f t="shared" si="2"/>
        <v>0</v>
      </c>
      <c r="H49" s="1777">
        <f t="shared" si="2"/>
        <v>320000</v>
      </c>
      <c r="I49" s="1777">
        <f t="shared" si="2"/>
        <v>875000</v>
      </c>
      <c r="J49" s="1777">
        <f t="shared" si="2"/>
        <v>875000</v>
      </c>
      <c r="K49" s="737"/>
    </row>
    <row r="50" spans="1:11" ht="6" customHeight="1" x14ac:dyDescent="0.2">
      <c r="A50" s="746"/>
      <c r="B50" s="736"/>
      <c r="C50" s="736"/>
      <c r="D50" s="736"/>
      <c r="E50" s="736"/>
      <c r="F50" s="736"/>
      <c r="G50" s="736"/>
      <c r="H50" s="736"/>
      <c r="I50" s="736"/>
      <c r="J50" s="746"/>
    </row>
    <row r="51" spans="1:11" x14ac:dyDescent="0.2">
      <c r="A51" s="747" t="s">
        <v>1912</v>
      </c>
      <c r="B51" s="746"/>
      <c r="C51" s="737"/>
      <c r="D51" s="737"/>
      <c r="E51" s="737"/>
      <c r="F51" s="737"/>
      <c r="G51" s="737"/>
      <c r="H51" s="736"/>
      <c r="I51" s="736"/>
      <c r="J51" s="746"/>
    </row>
    <row r="52" spans="1:11" ht="11.25" customHeight="1" x14ac:dyDescent="0.2">
      <c r="A52" s="748" t="s">
        <v>968</v>
      </c>
      <c r="B52" s="2234" t="s">
        <v>605</v>
      </c>
      <c r="C52" s="2235"/>
      <c r="D52" s="2235"/>
      <c r="E52" s="749" t="s">
        <v>900</v>
      </c>
      <c r="F52" s="2236" t="s">
        <v>2099</v>
      </c>
      <c r="G52" s="2237"/>
      <c r="H52" s="736"/>
      <c r="I52" s="736"/>
      <c r="J52" s="746"/>
    </row>
    <row r="53" spans="1:11" ht="11.25" customHeight="1" x14ac:dyDescent="0.2">
      <c r="A53" s="750" t="s">
        <v>969</v>
      </c>
      <c r="B53" s="751" t="s">
        <v>1008</v>
      </c>
      <c r="C53" s="746"/>
      <c r="D53" s="737"/>
      <c r="E53" s="749" t="s">
        <v>518</v>
      </c>
      <c r="F53" s="2238"/>
      <c r="G53" s="2239"/>
      <c r="H53" s="736"/>
      <c r="I53" s="736"/>
      <c r="J53" s="746"/>
    </row>
    <row r="54" spans="1:11" ht="11.25" customHeight="1" x14ac:dyDescent="0.2">
      <c r="A54" s="752" t="s">
        <v>970</v>
      </c>
      <c r="B54" s="747" t="s">
        <v>1009</v>
      </c>
      <c r="C54" s="746"/>
      <c r="D54" s="737"/>
      <c r="E54" s="749" t="s">
        <v>519</v>
      </c>
      <c r="F54" s="2238"/>
      <c r="G54" s="223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33" sqref="C33:I34"/>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8" t="s">
        <v>911</v>
      </c>
      <c r="B1" s="2269"/>
      <c r="C1" s="2269"/>
      <c r="D1" s="2269"/>
      <c r="E1" s="2269"/>
      <c r="F1" s="2269"/>
      <c r="G1" s="2270"/>
      <c r="H1" s="1551"/>
      <c r="I1" s="760"/>
      <c r="J1" s="432"/>
    </row>
    <row r="2" spans="1:11" ht="26.25" x14ac:dyDescent="0.2">
      <c r="A2" s="2247" t="s">
        <v>1776</v>
      </c>
      <c r="B2" s="2248"/>
      <c r="C2" s="2248"/>
      <c r="D2" s="2248"/>
      <c r="E2" s="2249"/>
      <c r="F2" s="761" t="s">
        <v>960</v>
      </c>
      <c r="G2" s="762" t="s">
        <v>1773</v>
      </c>
      <c r="H2" s="762" t="s">
        <v>430</v>
      </c>
      <c r="I2" s="762" t="s">
        <v>1220</v>
      </c>
      <c r="J2" s="762" t="s">
        <v>1917</v>
      </c>
      <c r="K2" s="762" t="s">
        <v>140</v>
      </c>
    </row>
    <row r="3" spans="1:11" x14ac:dyDescent="0.2">
      <c r="A3" s="2250" t="s">
        <v>1698</v>
      </c>
      <c r="B3" s="2251"/>
      <c r="C3" s="2251"/>
      <c r="D3" s="2251"/>
      <c r="E3" s="2252"/>
      <c r="F3" s="763"/>
      <c r="G3" s="764"/>
      <c r="H3" s="764"/>
      <c r="I3" s="764"/>
      <c r="J3" s="765"/>
      <c r="K3" s="765"/>
    </row>
    <row r="4" spans="1:11" x14ac:dyDescent="0.2">
      <c r="A4" s="2253" t="s">
        <v>387</v>
      </c>
      <c r="B4" s="2254"/>
      <c r="C4" s="2254"/>
      <c r="D4" s="2254"/>
      <c r="E4" s="2235"/>
      <c r="F4" s="766"/>
      <c r="G4" s="767"/>
      <c r="H4" s="768"/>
      <c r="I4" s="767"/>
      <c r="J4" s="769"/>
      <c r="K4" s="769"/>
    </row>
    <row r="5" spans="1:11" x14ac:dyDescent="0.2">
      <c r="A5" s="2271" t="s">
        <v>1129</v>
      </c>
      <c r="B5" s="2244"/>
      <c r="C5" s="2244"/>
      <c r="D5" s="2244"/>
      <c r="E5" s="2272"/>
      <c r="F5" s="770" t="s">
        <v>903</v>
      </c>
      <c r="G5" s="771"/>
      <c r="H5" s="764">
        <v>36461</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71" t="s">
        <v>1918</v>
      </c>
      <c r="B10" s="2244"/>
      <c r="C10" s="2244"/>
      <c r="D10" s="2244"/>
      <c r="E10" s="2273"/>
      <c r="F10" s="783" t="s">
        <v>917</v>
      </c>
      <c r="G10" s="782"/>
      <c r="H10" s="784"/>
      <c r="I10" s="764"/>
      <c r="J10" s="765"/>
      <c r="K10" s="765"/>
    </row>
    <row r="11" spans="1:11" x14ac:dyDescent="0.2">
      <c r="A11" s="2271" t="s">
        <v>162</v>
      </c>
      <c r="B11" s="2244"/>
      <c r="C11" s="2244"/>
      <c r="D11" s="2244"/>
      <c r="E11" s="2272"/>
      <c r="F11" s="770" t="s">
        <v>907</v>
      </c>
      <c r="G11" s="771"/>
      <c r="H11" s="764"/>
      <c r="I11" s="764"/>
      <c r="J11" s="765"/>
      <c r="K11" s="773"/>
    </row>
    <row r="12" spans="1:11" ht="13.5" thickBot="1" x14ac:dyDescent="0.25">
      <c r="A12" s="2261" t="s">
        <v>961</v>
      </c>
      <c r="B12" s="2262"/>
      <c r="C12" s="2262"/>
      <c r="D12" s="2262"/>
      <c r="E12" s="2263"/>
      <c r="F12" s="1778"/>
      <c r="G12" s="1779">
        <f>SUM(G5:G11)</f>
        <v>0</v>
      </c>
      <c r="H12" s="1779">
        <f>SUM(H5:H11)</f>
        <v>36461</v>
      </c>
      <c r="I12" s="1779">
        <f>SUM(I5:I11)</f>
        <v>0</v>
      </c>
      <c r="J12" s="1779">
        <f>SUM(J5:J11)</f>
        <v>0</v>
      </c>
      <c r="K12" s="1779">
        <f>SUM(K5:K11)</f>
        <v>0</v>
      </c>
    </row>
    <row r="13" spans="1:11" ht="13.5" thickTop="1" x14ac:dyDescent="0.2">
      <c r="A13" s="2255" t="s">
        <v>388</v>
      </c>
      <c r="B13" s="2256"/>
      <c r="C13" s="2256"/>
      <c r="D13" s="2256"/>
      <c r="E13" s="2257"/>
      <c r="F13" s="785"/>
      <c r="G13" s="786"/>
      <c r="H13" s="787"/>
      <c r="I13" s="788"/>
      <c r="J13" s="788"/>
      <c r="K13" s="788"/>
    </row>
    <row r="14" spans="1:11" x14ac:dyDescent="0.2">
      <c r="A14" s="2277" t="s">
        <v>476</v>
      </c>
      <c r="B14" s="2277"/>
      <c r="C14" s="2277"/>
      <c r="D14" s="2277"/>
      <c r="E14" s="2278"/>
      <c r="F14" s="789" t="s">
        <v>909</v>
      </c>
      <c r="G14" s="782"/>
      <c r="H14" s="764">
        <v>36461</v>
      </c>
      <c r="I14" s="771"/>
      <c r="J14" s="773"/>
      <c r="K14" s="765"/>
    </row>
    <row r="15" spans="1:11" x14ac:dyDescent="0.2">
      <c r="A15" s="2244" t="s">
        <v>4</v>
      </c>
      <c r="B15" s="2244"/>
      <c r="C15" s="2244"/>
      <c r="D15" s="2244"/>
      <c r="E15" s="2272"/>
      <c r="F15" s="789" t="s">
        <v>910</v>
      </c>
      <c r="G15" s="771"/>
      <c r="H15" s="764"/>
      <c r="I15" s="764"/>
      <c r="J15" s="765"/>
      <c r="K15" s="765"/>
    </row>
    <row r="16" spans="1:11" x14ac:dyDescent="0.2">
      <c r="A16" s="2244" t="s">
        <v>316</v>
      </c>
      <c r="B16" s="2244"/>
      <c r="C16" s="2244"/>
      <c r="D16" s="2244"/>
      <c r="E16" s="2272"/>
      <c r="F16" s="789" t="s">
        <v>980</v>
      </c>
      <c r="G16" s="772"/>
      <c r="H16" s="767"/>
      <c r="I16" s="767"/>
      <c r="J16" s="769"/>
      <c r="K16" s="769"/>
    </row>
    <row r="17" spans="1:11" x14ac:dyDescent="0.2">
      <c r="A17" s="2266" t="s">
        <v>992</v>
      </c>
      <c r="B17" s="2266"/>
      <c r="C17" s="2266"/>
      <c r="D17" s="2266"/>
      <c r="E17" s="2267"/>
      <c r="F17" s="790"/>
      <c r="G17" s="791"/>
      <c r="H17" s="792"/>
      <c r="I17" s="792"/>
      <c r="J17" s="793"/>
      <c r="K17" s="794"/>
    </row>
    <row r="18" spans="1:11" x14ac:dyDescent="0.2">
      <c r="A18" s="2258" t="s">
        <v>386</v>
      </c>
      <c r="B18" s="2259"/>
      <c r="C18" s="2259"/>
      <c r="D18" s="2259"/>
      <c r="E18" s="2260"/>
      <c r="F18" s="789" t="s">
        <v>989</v>
      </c>
      <c r="G18" s="782"/>
      <c r="H18" s="782"/>
      <c r="I18" s="782"/>
      <c r="J18" s="765"/>
      <c r="K18" s="795"/>
    </row>
    <row r="19" spans="1:11" ht="21.75" customHeight="1" x14ac:dyDescent="0.2">
      <c r="A19" s="2279" t="s">
        <v>1914</v>
      </c>
      <c r="B19" s="2279"/>
      <c r="C19" s="2279"/>
      <c r="D19" s="2279"/>
      <c r="E19" s="2280"/>
      <c r="F19" s="789" t="s">
        <v>990</v>
      </c>
      <c r="G19" s="782"/>
      <c r="H19" s="782"/>
      <c r="I19" s="782"/>
      <c r="J19" s="765"/>
      <c r="K19" s="795"/>
    </row>
    <row r="20" spans="1:11" x14ac:dyDescent="0.2">
      <c r="A20" s="2258" t="s">
        <v>1919</v>
      </c>
      <c r="B20" s="2259"/>
      <c r="C20" s="2259"/>
      <c r="D20" s="2259"/>
      <c r="E20" s="2260"/>
      <c r="F20" s="789" t="s">
        <v>991</v>
      </c>
      <c r="G20" s="782"/>
      <c r="H20" s="782"/>
      <c r="I20" s="782"/>
      <c r="J20" s="765"/>
      <c r="K20" s="795"/>
    </row>
    <row r="21" spans="1:11" ht="13.5" thickBot="1" x14ac:dyDescent="0.25">
      <c r="A21" s="2264" t="s">
        <v>659</v>
      </c>
      <c r="B21" s="2264"/>
      <c r="C21" s="2264"/>
      <c r="D21" s="2264"/>
      <c r="E21" s="2264"/>
      <c r="F21" s="1780"/>
      <c r="G21" s="792"/>
      <c r="H21" s="796"/>
      <c r="I21" s="796"/>
      <c r="J21" s="1781">
        <f>SUM(J18:J20)</f>
        <v>0</v>
      </c>
      <c r="K21" s="793"/>
    </row>
    <row r="22" spans="1:11" ht="13.5" thickTop="1" x14ac:dyDescent="0.2">
      <c r="A22" s="2244" t="s">
        <v>1920</v>
      </c>
      <c r="B22" s="2244"/>
      <c r="C22" s="2244"/>
      <c r="D22" s="2244"/>
      <c r="E22" s="2272"/>
      <c r="F22" s="789" t="s">
        <v>917</v>
      </c>
      <c r="G22" s="782"/>
      <c r="H22" s="764"/>
      <c r="I22" s="764"/>
      <c r="J22" s="797"/>
      <c r="K22" s="765"/>
    </row>
    <row r="23" spans="1:11" ht="13.5" thickBot="1" x14ac:dyDescent="0.25">
      <c r="A23" s="2265" t="s">
        <v>962</v>
      </c>
      <c r="B23" s="2264"/>
      <c r="C23" s="2264"/>
      <c r="D23" s="2264"/>
      <c r="E23" s="2264"/>
      <c r="F23" s="1782"/>
      <c r="G23" s="1779">
        <f>SUM(G14:G16,G21,G22)</f>
        <v>0</v>
      </c>
      <c r="H23" s="1779">
        <f>SUM(H14:H16,H21,H22)</f>
        <v>36461</v>
      </c>
      <c r="I23" s="1779">
        <f>SUM(I14:I16,I21,I22)</f>
        <v>0</v>
      </c>
      <c r="J23" s="1779">
        <f>SUM(J14:J16,J21,J22)</f>
        <v>0</v>
      </c>
      <c r="K23" s="1779">
        <f>SUM(K14:K16,K21,K22)</f>
        <v>0</v>
      </c>
    </row>
    <row r="24" spans="1:11" ht="14.25" thickTop="1" thickBot="1" x14ac:dyDescent="0.25">
      <c r="A24" s="2265" t="s">
        <v>2022</v>
      </c>
      <c r="B24" s="2264"/>
      <c r="C24" s="2264"/>
      <c r="D24" s="2264"/>
      <c r="E24" s="2264"/>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2032</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74"/>
      <c r="I31" s="2275"/>
      <c r="J31" s="2275"/>
      <c r="K31" s="2275"/>
    </row>
    <row r="32" spans="1:11" x14ac:dyDescent="0.2">
      <c r="A32" s="809"/>
      <c r="B32" s="236"/>
      <c r="C32" s="236"/>
      <c r="D32" s="236"/>
      <c r="E32" s="805"/>
      <c r="F32" s="811" t="s">
        <v>561</v>
      </c>
      <c r="G32" s="764"/>
      <c r="H32" s="2276"/>
      <c r="I32" s="2275"/>
      <c r="J32" s="2275"/>
      <c r="K32" s="2275"/>
    </row>
    <row r="33" spans="1:11" ht="1.5" customHeight="1" x14ac:dyDescent="0.2">
      <c r="A33" s="812" t="s">
        <v>1231</v>
      </c>
      <c r="B33" s="363"/>
      <c r="C33" s="363"/>
      <c r="D33" s="363"/>
      <c r="E33" s="363"/>
      <c r="F33" s="363"/>
      <c r="G33" s="813"/>
      <c r="H33" s="2276"/>
      <c r="I33" s="2275"/>
      <c r="J33" s="2275"/>
      <c r="K33" s="2275"/>
    </row>
    <row r="34" spans="1:11" x14ac:dyDescent="0.2">
      <c r="A34" s="814" t="s">
        <v>1921</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44" t="s">
        <v>562</v>
      </c>
      <c r="B41" s="2245"/>
      <c r="C41" s="2245"/>
      <c r="D41" s="2245"/>
      <c r="E41" s="2245"/>
      <c r="F41" s="224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1915</v>
      </c>
      <c r="B46" s="407" t="s">
        <v>1774</v>
      </c>
    </row>
    <row r="47" spans="1:11" s="823" customFormat="1" ht="12.75" customHeight="1" x14ac:dyDescent="0.2">
      <c r="A47" s="821"/>
      <c r="B47" s="822" t="s">
        <v>1775</v>
      </c>
      <c r="E47" s="822"/>
      <c r="K47" s="824"/>
    </row>
    <row r="48" spans="1:11" ht="12.75" customHeight="1" x14ac:dyDescent="0.2">
      <c r="A48" s="1553" t="s">
        <v>1916</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5" colorId="8" zoomScale="110" zoomScaleNormal="110" workbookViewId="0">
      <selection activeCell="C33" sqref="C33:I34"/>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83" t="s">
        <v>2031</v>
      </c>
      <c r="B1" s="2284"/>
      <c r="C1" s="2285"/>
      <c r="D1" s="826"/>
      <c r="E1" s="827"/>
      <c r="F1" s="827"/>
      <c r="G1" s="828"/>
      <c r="H1" s="829"/>
      <c r="I1" s="830"/>
      <c r="J1" s="2281"/>
      <c r="K1" s="2282"/>
      <c r="L1" s="2282"/>
    </row>
    <row r="2" spans="1:14" ht="69.75" customHeight="1" x14ac:dyDescent="0.2">
      <c r="A2" s="831" t="s">
        <v>1777</v>
      </c>
      <c r="B2" s="832" t="s">
        <v>396</v>
      </c>
      <c r="C2" s="833" t="s">
        <v>2026</v>
      </c>
      <c r="D2" s="833" t="s">
        <v>2023</v>
      </c>
      <c r="E2" s="833" t="s">
        <v>2024</v>
      </c>
      <c r="F2" s="833" t="s">
        <v>2025</v>
      </c>
      <c r="G2" s="833" t="s">
        <v>626</v>
      </c>
      <c r="H2" s="833" t="s">
        <v>2027</v>
      </c>
      <c r="I2" s="833" t="s">
        <v>2028</v>
      </c>
      <c r="J2" s="833" t="s">
        <v>2043</v>
      </c>
      <c r="K2" s="833" t="s">
        <v>2029</v>
      </c>
      <c r="L2" s="833" t="s">
        <v>2030</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12072</v>
      </c>
      <c r="D5" s="841"/>
      <c r="E5" s="841"/>
      <c r="F5" s="1781">
        <f>(C5+D5)-E5</f>
        <v>12072</v>
      </c>
      <c r="G5" s="837"/>
      <c r="H5" s="842"/>
      <c r="I5" s="842"/>
      <c r="J5" s="842"/>
      <c r="K5" s="793"/>
      <c r="L5" s="1790">
        <f>F5-K5</f>
        <v>12072</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7668839</v>
      </c>
      <c r="D8" s="844"/>
      <c r="E8" s="844"/>
      <c r="F8" s="1781">
        <f>(C8+D8)-E8</f>
        <v>7668839</v>
      </c>
      <c r="G8" s="843">
        <v>50</v>
      </c>
      <c r="H8" s="765">
        <v>4098314</v>
      </c>
      <c r="I8" s="765">
        <v>146764</v>
      </c>
      <c r="J8" s="765"/>
      <c r="K8" s="1790">
        <f>(H8+I8)-J8</f>
        <v>4245078</v>
      </c>
      <c r="L8" s="1790">
        <f>F8-K8</f>
        <v>3423761</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v>628807</v>
      </c>
      <c r="D10" s="846"/>
      <c r="E10" s="846"/>
      <c r="F10" s="1785">
        <f>(C10+D10)-E10</f>
        <v>628807</v>
      </c>
      <c r="G10" s="843">
        <v>20</v>
      </c>
      <c r="H10" s="847">
        <v>582977</v>
      </c>
      <c r="I10" s="847">
        <v>1296</v>
      </c>
      <c r="J10" s="847"/>
      <c r="K10" s="1790">
        <f>(H10+I10)-J10</f>
        <v>584273</v>
      </c>
      <c r="L10" s="1790">
        <f>F10-K10</f>
        <v>44534</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c r="D12" s="844"/>
      <c r="E12" s="844"/>
      <c r="F12" s="1781">
        <f>(C12+D12)-E12</f>
        <v>0</v>
      </c>
      <c r="G12" s="843">
        <v>10</v>
      </c>
      <c r="H12" s="765"/>
      <c r="I12" s="765"/>
      <c r="J12" s="765"/>
      <c r="K12" s="1790">
        <f>(H12+I12)-J12</f>
        <v>0</v>
      </c>
      <c r="L12" s="1790">
        <f>F12-K12</f>
        <v>0</v>
      </c>
    </row>
    <row r="13" spans="1:14" ht="14.25" thickTop="1" thickBot="1" x14ac:dyDescent="0.25">
      <c r="A13" s="848" t="s">
        <v>1184</v>
      </c>
      <c r="B13" s="840">
        <v>252</v>
      </c>
      <c r="C13" s="844">
        <v>852770</v>
      </c>
      <c r="D13" s="844"/>
      <c r="E13" s="844"/>
      <c r="F13" s="1781">
        <f>(C13+D13)-E13</f>
        <v>852770</v>
      </c>
      <c r="G13" s="843">
        <v>5</v>
      </c>
      <c r="H13" s="765">
        <v>716432</v>
      </c>
      <c r="I13" s="765">
        <v>28966</v>
      </c>
      <c r="J13" s="765"/>
      <c r="K13" s="1790">
        <f>(H13+I13)-J13</f>
        <v>745398</v>
      </c>
      <c r="L13" s="1790">
        <f>F13-K13</f>
        <v>107372</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9162488</v>
      </c>
      <c r="D16" s="1781">
        <f>SUM(D3,D5:D6,D8:D10,D12:D15)</f>
        <v>0</v>
      </c>
      <c r="E16" s="1781">
        <f>SUM(E3,E5:E6,E8:E10,E12:E15)</f>
        <v>0</v>
      </c>
      <c r="F16" s="1781">
        <f>SUM(F3,F5:F6,F8:F10,F12:F15)</f>
        <v>9162488</v>
      </c>
      <c r="G16" s="843"/>
      <c r="H16" s="1781">
        <f>SUM(H3,H6,H8:H10,H12:H14,)</f>
        <v>5397723</v>
      </c>
      <c r="I16" s="1781">
        <f>SUM(I3,I6,I8:I10,I12:I14,)</f>
        <v>177026</v>
      </c>
      <c r="J16" s="1781">
        <f>SUM(J3,J6,J8:J10,J12:J14,)</f>
        <v>0</v>
      </c>
      <c r="K16" s="1781">
        <f>(H16+I16)-J16</f>
        <v>5574749</v>
      </c>
      <c r="L16" s="1781">
        <f>F16-K16</f>
        <v>3587739</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102114</v>
      </c>
      <c r="G17" s="837">
        <v>10</v>
      </c>
      <c r="H17" s="769"/>
      <c r="I17" s="1790">
        <f>F17/G17</f>
        <v>10211.4</v>
      </c>
      <c r="J17" s="769"/>
      <c r="K17" s="795"/>
      <c r="L17" s="795"/>
    </row>
    <row r="18" spans="1:12" ht="14.25" thickTop="1" thickBot="1" x14ac:dyDescent="0.25">
      <c r="A18" s="1788" t="s">
        <v>706</v>
      </c>
      <c r="B18" s="1789"/>
      <c r="C18" s="771"/>
      <c r="D18" s="771"/>
      <c r="E18" s="771"/>
      <c r="F18" s="850"/>
      <c r="G18" s="851"/>
      <c r="H18" s="773"/>
      <c r="I18" s="1781">
        <f>SUM(I16,I17)</f>
        <v>187237.4</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C33" sqref="C33:I34"/>
      <selection pane="bottomLeft" activeCell="C33" sqref="C33:I3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9" t="s">
        <v>1699</v>
      </c>
      <c r="B1" s="2290"/>
      <c r="C1" s="2290"/>
      <c r="D1" s="2290"/>
      <c r="E1" s="2290"/>
      <c r="F1" s="2291"/>
      <c r="G1" s="855"/>
    </row>
    <row r="2" spans="1:7" ht="15" customHeight="1" thickBot="1" x14ac:dyDescent="0.25">
      <c r="A2" s="2292" t="s">
        <v>498</v>
      </c>
      <c r="B2" s="2293"/>
      <c r="C2" s="2293"/>
      <c r="D2" s="2293"/>
      <c r="E2" s="2293"/>
      <c r="F2" s="229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3887384</v>
      </c>
      <c r="G8" s="865"/>
    </row>
    <row r="9" spans="1:7" x14ac:dyDescent="0.2">
      <c r="A9" s="869" t="s">
        <v>480</v>
      </c>
      <c r="B9" s="870" t="s">
        <v>1986</v>
      </c>
      <c r="C9" s="871"/>
      <c r="D9" s="869" t="s">
        <v>522</v>
      </c>
      <c r="E9" s="868"/>
      <c r="F9" s="1934">
        <f>'Expenditures 15-22'!K151</f>
        <v>575192</v>
      </c>
      <c r="G9" s="872"/>
    </row>
    <row r="10" spans="1:7" x14ac:dyDescent="0.2">
      <c r="A10" s="869" t="s">
        <v>520</v>
      </c>
      <c r="B10" s="870" t="s">
        <v>1987</v>
      </c>
      <c r="C10" s="871"/>
      <c r="D10" s="869" t="s">
        <v>522</v>
      </c>
      <c r="E10" s="868"/>
      <c r="F10" s="1934">
        <f>'Expenditures 15-22'!K174</f>
        <v>371750</v>
      </c>
      <c r="G10" s="872"/>
    </row>
    <row r="11" spans="1:7" x14ac:dyDescent="0.2">
      <c r="A11" s="869" t="s">
        <v>481</v>
      </c>
      <c r="B11" s="870" t="s">
        <v>1988</v>
      </c>
      <c r="C11" s="871"/>
      <c r="D11" s="869" t="s">
        <v>522</v>
      </c>
      <c r="E11" s="868"/>
      <c r="F11" s="1934">
        <f>'Expenditures 15-22'!K210</f>
        <v>87363</v>
      </c>
      <c r="G11" s="872"/>
    </row>
    <row r="12" spans="1:7" x14ac:dyDescent="0.2">
      <c r="A12" s="869" t="s">
        <v>482</v>
      </c>
      <c r="B12" s="870" t="s">
        <v>1989</v>
      </c>
      <c r="C12" s="871"/>
      <c r="D12" s="869" t="s">
        <v>522</v>
      </c>
      <c r="E12" s="868"/>
      <c r="F12" s="1934">
        <f>'Expenditures 15-22'!K295</f>
        <v>156930</v>
      </c>
      <c r="G12" s="872"/>
    </row>
    <row r="13" spans="1:7" x14ac:dyDescent="0.2">
      <c r="A13" s="869" t="s">
        <v>108</v>
      </c>
      <c r="B13" s="870" t="s">
        <v>1990</v>
      </c>
      <c r="C13" s="871"/>
      <c r="D13" s="869" t="s">
        <v>522</v>
      </c>
      <c r="E13" s="868"/>
      <c r="F13" s="1934">
        <f>'Expenditures 15-22'!K342</f>
        <v>349973</v>
      </c>
      <c r="G13" s="873"/>
    </row>
    <row r="14" spans="1:7" ht="12" customHeight="1" thickBot="1" x14ac:dyDescent="0.25">
      <c r="A14" s="1791"/>
      <c r="B14" s="1792"/>
      <c r="C14" s="1793"/>
      <c r="D14" s="1794" t="s">
        <v>522</v>
      </c>
      <c r="E14" s="1795" t="s">
        <v>1015</v>
      </c>
      <c r="F14" s="1796">
        <f>SUM(F8:F13)</f>
        <v>5428592</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272618</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594</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37130</v>
      </c>
      <c r="G52" s="865"/>
    </row>
    <row r="53" spans="1:7" x14ac:dyDescent="0.2">
      <c r="A53" s="869" t="s">
        <v>479</v>
      </c>
      <c r="B53" s="869" t="s">
        <v>1551</v>
      </c>
      <c r="C53" s="889">
        <f>'Expenditures 15-22'!B102</f>
        <v>4000</v>
      </c>
      <c r="D53" s="888" t="str">
        <f>'Expenditures 15-22'!A102</f>
        <v>Total Payments to Other Govt Units</v>
      </c>
      <c r="E53" s="868"/>
      <c r="F53" s="1938">
        <f>'Expenditures 15-22'!K102</f>
        <v>210387</v>
      </c>
      <c r="G53" s="865"/>
    </row>
    <row r="54" spans="1:7" x14ac:dyDescent="0.2">
      <c r="A54" s="869" t="s">
        <v>479</v>
      </c>
      <c r="B54" s="869" t="s">
        <v>1552</v>
      </c>
      <c r="C54" s="889" t="s">
        <v>1039</v>
      </c>
      <c r="D54" s="885" t="s">
        <v>1157</v>
      </c>
      <c r="E54" s="868"/>
      <c r="F54" s="1938">
        <f>'Expenditures 15-22'!G114</f>
        <v>0</v>
      </c>
      <c r="G54" s="865"/>
    </row>
    <row r="55" spans="1:7" x14ac:dyDescent="0.2">
      <c r="A55" s="869" t="s">
        <v>479</v>
      </c>
      <c r="B55" s="869" t="s">
        <v>1553</v>
      </c>
      <c r="C55" s="889" t="s">
        <v>1039</v>
      </c>
      <c r="D55" s="885" t="s">
        <v>309</v>
      </c>
      <c r="E55" s="868"/>
      <c r="F55" s="1938">
        <f>'Expenditures 15-22'!I114</f>
        <v>102114</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1991</v>
      </c>
      <c r="C57" s="889">
        <f>'Expenditures 15-22'!B139</f>
        <v>4000</v>
      </c>
      <c r="D57" s="887" t="str">
        <f>'Expenditures 15-22'!A139</f>
        <v>Total Payments to Other Govt Units</v>
      </c>
      <c r="E57" s="868"/>
      <c r="F57" s="1938">
        <f>'Expenditures 15-22'!K139</f>
        <v>0</v>
      </c>
      <c r="G57" s="865"/>
    </row>
    <row r="58" spans="1:7" x14ac:dyDescent="0.2">
      <c r="A58" s="869" t="s">
        <v>480</v>
      </c>
      <c r="B58" s="869" t="s">
        <v>1992</v>
      </c>
      <c r="C58" s="886" t="s">
        <v>1039</v>
      </c>
      <c r="D58" s="885" t="s">
        <v>1157</v>
      </c>
      <c r="E58" s="868"/>
      <c r="F58" s="1940">
        <f>'Expenditures 15-22'!G151</f>
        <v>0</v>
      </c>
      <c r="G58" s="865"/>
    </row>
    <row r="59" spans="1:7" x14ac:dyDescent="0.2">
      <c r="A59" s="893" t="s">
        <v>480</v>
      </c>
      <c r="B59" s="856" t="s">
        <v>1993</v>
      </c>
      <c r="C59" s="894" t="s">
        <v>1039</v>
      </c>
      <c r="D59" s="856" t="s">
        <v>309</v>
      </c>
      <c r="F59" s="1941">
        <f>'Expenditures 15-22'!I151</f>
        <v>0</v>
      </c>
      <c r="G59" s="865"/>
    </row>
    <row r="60" spans="1:7" x14ac:dyDescent="0.2">
      <c r="A60" s="893" t="s">
        <v>520</v>
      </c>
      <c r="B60" s="856" t="s">
        <v>1994</v>
      </c>
      <c r="C60" s="894">
        <v>4000</v>
      </c>
      <c r="D60" s="856" t="s">
        <v>330</v>
      </c>
      <c r="F60" s="1939">
        <f>'Expenditures 15-22'!K160</f>
        <v>0</v>
      </c>
      <c r="G60" s="865"/>
    </row>
    <row r="61" spans="1:7" x14ac:dyDescent="0.2">
      <c r="A61" s="895" t="s">
        <v>520</v>
      </c>
      <c r="B61" s="895" t="s">
        <v>1995</v>
      </c>
      <c r="C61" s="896" t="str">
        <f>'Expenditures 15-22'!B170</f>
        <v>5300</v>
      </c>
      <c r="D61" s="897" t="s">
        <v>329</v>
      </c>
      <c r="E61" s="879"/>
      <c r="F61" s="1938">
        <f>'Expenditures 15-22'!K170</f>
        <v>320000</v>
      </c>
      <c r="G61" s="865"/>
    </row>
    <row r="62" spans="1:7" x14ac:dyDescent="0.2">
      <c r="A62" s="869" t="s">
        <v>481</v>
      </c>
      <c r="B62" s="869" t="s">
        <v>1996</v>
      </c>
      <c r="C62" s="886">
        <f>'Expenditures 15-22'!B185</f>
        <v>3000</v>
      </c>
      <c r="D62" s="876" t="s">
        <v>469</v>
      </c>
      <c r="E62" s="868"/>
      <c r="F62" s="1938">
        <f>'Expenditures 15-22'!K185-SUM('Expenditures 15-22'!G185,'Expenditures 15-22'!I185)</f>
        <v>0</v>
      </c>
      <c r="G62" s="865"/>
    </row>
    <row r="63" spans="1:7" x14ac:dyDescent="0.2">
      <c r="A63" s="869" t="s">
        <v>481</v>
      </c>
      <c r="B63" s="869" t="s">
        <v>1997</v>
      </c>
      <c r="C63" s="886" t="str">
        <f>'Expenditures 15-22'!B196</f>
        <v>4000</v>
      </c>
      <c r="D63" s="887" t="str">
        <f>'Expenditures 15-22'!A196</f>
        <v>Total Payments to Other Govt Units</v>
      </c>
      <c r="E63" s="868"/>
      <c r="F63" s="1938">
        <f>'Expenditures 15-22'!K196</f>
        <v>0</v>
      </c>
      <c r="G63" s="865"/>
    </row>
    <row r="64" spans="1:7" x14ac:dyDescent="0.2">
      <c r="A64" s="895" t="s">
        <v>481</v>
      </c>
      <c r="B64" s="895" t="s">
        <v>1998</v>
      </c>
      <c r="C64" s="896" t="str">
        <f>'Expenditures 15-22'!B206</f>
        <v>5300</v>
      </c>
      <c r="D64" s="892" t="s">
        <v>329</v>
      </c>
      <c r="E64" s="868"/>
      <c r="F64" s="1938">
        <f>'Expenditures 15-22'!K206</f>
        <v>0</v>
      </c>
      <c r="G64" s="865"/>
    </row>
    <row r="65" spans="1:8" x14ac:dyDescent="0.2">
      <c r="A65" s="869" t="s">
        <v>481</v>
      </c>
      <c r="B65" s="869" t="s">
        <v>1999</v>
      </c>
      <c r="C65" s="886" t="s">
        <v>1039</v>
      </c>
      <c r="D65" s="885" t="s">
        <v>1157</v>
      </c>
      <c r="E65" s="868"/>
      <c r="F65" s="1938">
        <f>'Expenditures 15-22'!G210</f>
        <v>0</v>
      </c>
      <c r="G65" s="865"/>
    </row>
    <row r="66" spans="1:8" x14ac:dyDescent="0.2">
      <c r="A66" s="869" t="s">
        <v>481</v>
      </c>
      <c r="B66" s="869" t="s">
        <v>2000</v>
      </c>
      <c r="C66" s="886" t="s">
        <v>1039</v>
      </c>
      <c r="D66" s="885" t="s">
        <v>309</v>
      </c>
      <c r="E66" s="868"/>
      <c r="F66" s="1938">
        <f>'Expenditures 15-22'!I210</f>
        <v>0</v>
      </c>
      <c r="G66" s="865"/>
    </row>
    <row r="67" spans="1:8" x14ac:dyDescent="0.2">
      <c r="A67" s="869" t="s">
        <v>482</v>
      </c>
      <c r="B67" s="869" t="s">
        <v>2001</v>
      </c>
      <c r="C67" s="886" t="str">
        <f>'Expenditures 15-22'!B216</f>
        <v>1125</v>
      </c>
      <c r="D67" s="892" t="str">
        <f>'Expenditures 15-22'!A216</f>
        <v>Pre-K Programs</v>
      </c>
      <c r="E67" s="868"/>
      <c r="F67" s="1938">
        <f>'Expenditures 15-22'!K216</f>
        <v>12369</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2002</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2003</v>
      </c>
      <c r="C70" s="886">
        <f>'Expenditures 15-22'!B221</f>
        <v>1300</v>
      </c>
      <c r="D70" s="887" t="str">
        <f>'Expenditures 15-22'!A221</f>
        <v>Adult/Continuing Education Programs</v>
      </c>
      <c r="E70" s="868"/>
      <c r="F70" s="1938">
        <f>'Expenditures 15-22'!K221</f>
        <v>0</v>
      </c>
      <c r="G70" s="865"/>
    </row>
    <row r="71" spans="1:8" x14ac:dyDescent="0.2">
      <c r="A71" s="869" t="s">
        <v>482</v>
      </c>
      <c r="B71" s="869" t="s">
        <v>2004</v>
      </c>
      <c r="C71" s="886">
        <f>'Expenditures 15-22'!B224</f>
        <v>1600</v>
      </c>
      <c r="D71" s="887" t="str">
        <f>'Expenditures 15-22'!A224</f>
        <v>Summer School Programs</v>
      </c>
      <c r="E71" s="868"/>
      <c r="F71" s="1938">
        <f>'Expenditures 15-22'!K224</f>
        <v>74</v>
      </c>
      <c r="G71" s="865"/>
    </row>
    <row r="72" spans="1:8" x14ac:dyDescent="0.2">
      <c r="A72" s="869" t="s">
        <v>482</v>
      </c>
      <c r="B72" s="869" t="s">
        <v>2005</v>
      </c>
      <c r="C72" s="886">
        <f>'Expenditures 15-22'!B280</f>
        <v>3000</v>
      </c>
      <c r="D72" s="876" t="s">
        <v>469</v>
      </c>
      <c r="E72" s="868"/>
      <c r="F72" s="1938">
        <f>'Expenditures 15-22'!K280</f>
        <v>4401</v>
      </c>
      <c r="G72" s="865"/>
    </row>
    <row r="73" spans="1:8" x14ac:dyDescent="0.2">
      <c r="A73" s="869" t="s">
        <v>482</v>
      </c>
      <c r="B73" s="869" t="s">
        <v>2006</v>
      </c>
      <c r="C73" s="886" t="str">
        <f>'Expenditures 15-22'!B285</f>
        <v>4000</v>
      </c>
      <c r="D73" s="887" t="str">
        <f>'Expenditures 15-22'!A285</f>
        <v>Total Payments to Other Govt Units</v>
      </c>
      <c r="E73" s="868"/>
      <c r="F73" s="1938">
        <f>'Expenditures 15-22'!K285</f>
        <v>0</v>
      </c>
      <c r="G73" s="865"/>
    </row>
    <row r="74" spans="1:8" x14ac:dyDescent="0.2">
      <c r="A74" s="869" t="s">
        <v>456</v>
      </c>
      <c r="B74" s="869" t="s">
        <v>2007</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2008</v>
      </c>
      <c r="E76" s="1795" t="s">
        <v>1015</v>
      </c>
      <c r="F76" s="1799">
        <f>SUM(F18:F74)</f>
        <v>959687</v>
      </c>
      <c r="G76" s="865"/>
    </row>
    <row r="77" spans="1:8" s="893" customFormat="1" ht="12" customHeight="1" thickTop="1" thickBot="1" x14ac:dyDescent="0.25">
      <c r="A77" s="1800"/>
      <c r="B77" s="1797"/>
      <c r="C77" s="1793"/>
      <c r="D77" s="1798" t="s">
        <v>2009</v>
      </c>
      <c r="E77" s="1795"/>
      <c r="F77" s="1801">
        <f>(F14-F76)</f>
        <v>4468905</v>
      </c>
      <c r="G77" s="869"/>
    </row>
    <row r="78" spans="1:8" s="893" customFormat="1" ht="12" customHeight="1" thickTop="1" x14ac:dyDescent="0.2">
      <c r="A78" s="1802"/>
      <c r="B78" s="1797"/>
      <c r="C78" s="1793"/>
      <c r="D78" s="1798" t="s">
        <v>2055</v>
      </c>
      <c r="E78" s="1795"/>
      <c r="F78" s="898">
        <v>196.7</v>
      </c>
      <c r="G78" s="899"/>
      <c r="H78" s="869"/>
    </row>
    <row r="79" spans="1:8" s="893" customFormat="1" ht="12" customHeight="1" thickBot="1" x14ac:dyDescent="0.25">
      <c r="A79" s="1803"/>
      <c r="B79" s="1797"/>
      <c r="C79" s="1793"/>
      <c r="D79" s="1798" t="s">
        <v>2010</v>
      </c>
      <c r="E79" s="1795" t="s">
        <v>1015</v>
      </c>
      <c r="F79" s="1804">
        <f>IF(F78&gt;0,F77/F78," Complete Line 78")</f>
        <v>22719.395017793595</v>
      </c>
      <c r="G79" s="869"/>
    </row>
    <row r="80" spans="1:8" s="893" customFormat="1" ht="8.25" customHeight="1" thickTop="1" x14ac:dyDescent="0.2">
      <c r="A80" s="900"/>
      <c r="B80" s="869"/>
      <c r="C80" s="871"/>
      <c r="D80" s="901"/>
      <c r="E80" s="868"/>
      <c r="F80" s="902"/>
      <c r="G80" s="869"/>
    </row>
    <row r="81" spans="1:7" s="893" customFormat="1" ht="12" thickBot="1" x14ac:dyDescent="0.25">
      <c r="A81" s="2286" t="s">
        <v>1167</v>
      </c>
      <c r="B81" s="2287"/>
      <c r="C81" s="2287"/>
      <c r="D81" s="2287"/>
      <c r="E81" s="2287"/>
      <c r="F81" s="228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0</v>
      </c>
      <c r="G94" s="912"/>
    </row>
    <row r="95" spans="1:7" x14ac:dyDescent="0.2">
      <c r="A95" s="908" t="s">
        <v>142</v>
      </c>
      <c r="B95" s="908" t="s">
        <v>177</v>
      </c>
      <c r="C95" s="910">
        <v>1700</v>
      </c>
      <c r="D95" s="918" t="str">
        <f>'Revenues 9-14'!A82</f>
        <v>Total District/School Activity Income</v>
      </c>
      <c r="E95" s="906"/>
      <c r="F95" s="1810">
        <f>SUM('Revenues 9-14'!C82,'Revenues 9-14'!D82)</f>
        <v>885</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763</v>
      </c>
      <c r="G100" s="912"/>
    </row>
    <row r="101" spans="1:7" x14ac:dyDescent="0.2">
      <c r="A101" s="908" t="s">
        <v>142</v>
      </c>
      <c r="B101" s="908" t="s">
        <v>183</v>
      </c>
      <c r="C101" s="910">
        <f>'Revenues 9-14'!B95</f>
        <v>1910</v>
      </c>
      <c r="D101" s="911" t="str">
        <f>'Revenues 9-14'!A95</f>
        <v>Rentals</v>
      </c>
      <c r="E101" s="906"/>
      <c r="F101" s="1810">
        <f>SUM('Revenues 9-14'!C95:D95)</f>
        <v>84547</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63177</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3764</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53882</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28628</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231679</v>
      </c>
      <c r="G129" s="930"/>
    </row>
    <row r="130" spans="1:7" x14ac:dyDescent="0.2">
      <c r="A130" s="927" t="s">
        <v>689</v>
      </c>
      <c r="B130" s="927" t="s">
        <v>804</v>
      </c>
      <c r="C130" s="932">
        <v>4300</v>
      </c>
      <c r="D130" s="933" t="str">
        <f>'Revenues 9-14'!A211</f>
        <v>Total Title I</v>
      </c>
      <c r="E130" s="906"/>
      <c r="F130" s="1810">
        <f>SUM('Revenues 9-14'!C211,'Revenues 9-14'!D211,'Revenues 9-14'!F211,'Revenues 9-14'!G211)</f>
        <v>493225</v>
      </c>
      <c r="G130" s="930"/>
    </row>
    <row r="131" spans="1:7" x14ac:dyDescent="0.2">
      <c r="A131" s="927" t="s">
        <v>689</v>
      </c>
      <c r="B131" s="927" t="s">
        <v>805</v>
      </c>
      <c r="C131" s="932">
        <v>4400</v>
      </c>
      <c r="D131" s="933" t="str">
        <f>'Revenues 9-14'!A216</f>
        <v>Total Title IV</v>
      </c>
      <c r="E131" s="906"/>
      <c r="F131" s="1810">
        <f>SUM('Revenues 9-14'!C216,'Revenues 9-14'!D216,'Revenues 9-14'!F216,'Revenues 9-14'!G216)</f>
        <v>6633</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130213</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24748</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18907</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14410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2054</v>
      </c>
      <c r="C175" s="1945">
        <v>3100</v>
      </c>
      <c r="D175" s="1946" t="s">
        <v>2057</v>
      </c>
      <c r="E175" s="906"/>
      <c r="F175" s="1930"/>
      <c r="G175" s="927"/>
    </row>
    <row r="176" spans="1:7" x14ac:dyDescent="0.2">
      <c r="A176" s="1943" t="s">
        <v>685</v>
      </c>
      <c r="B176" s="1944" t="s">
        <v>2054</v>
      </c>
      <c r="C176" s="1945">
        <v>3300</v>
      </c>
      <c r="D176" s="1946" t="s">
        <v>2058</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2011</v>
      </c>
      <c r="E178" s="1808" t="s">
        <v>1015</v>
      </c>
      <c r="F178" s="1809">
        <f>SUM(F84:F136,F161:F176)</f>
        <v>1155461</v>
      </c>
    </row>
    <row r="179" spans="1:7" ht="12" customHeight="1" x14ac:dyDescent="0.2">
      <c r="A179" s="1791"/>
      <c r="B179" s="1805"/>
      <c r="C179" s="1806"/>
      <c r="D179" s="1807" t="s">
        <v>2012</v>
      </c>
      <c r="E179" s="1808"/>
      <c r="F179" s="1810">
        <f>'PCTC-OEPP 27-28'!F77-F178</f>
        <v>3313444</v>
      </c>
    </row>
    <row r="180" spans="1:7" ht="12" customHeight="1" x14ac:dyDescent="0.2">
      <c r="A180" s="1791"/>
      <c r="B180" s="1805"/>
      <c r="C180" s="1806"/>
      <c r="D180" s="1807" t="s">
        <v>1922</v>
      </c>
      <c r="E180" s="1808"/>
      <c r="F180" s="1810">
        <f>'Cap Outlay Deprec 26'!I18</f>
        <v>187237.4</v>
      </c>
    </row>
    <row r="181" spans="1:7" ht="12" customHeight="1" x14ac:dyDescent="0.2">
      <c r="A181" s="1791"/>
      <c r="B181" s="1805"/>
      <c r="C181" s="1806"/>
      <c r="D181" s="1807" t="s">
        <v>2013</v>
      </c>
      <c r="E181" s="1808"/>
      <c r="F181" s="1810">
        <f>F179+F180</f>
        <v>3500681.4</v>
      </c>
    </row>
    <row r="182" spans="1:7" ht="12" customHeight="1" x14ac:dyDescent="0.2">
      <c r="A182" s="1791"/>
      <c r="B182" s="1811"/>
      <c r="C182" s="1806"/>
      <c r="D182" s="1807" t="str">
        <f>D78</f>
        <v>9 Month ADA from District Average Daily Attendance/Prior General State Aid Inquiry 2017-2018</v>
      </c>
      <c r="E182" s="1808"/>
      <c r="F182" s="1812">
        <f>'PCTC-OEPP 27-28'!F78</f>
        <v>196.7</v>
      </c>
      <c r="G182" s="930"/>
    </row>
    <row r="183" spans="1:7" ht="12" customHeight="1" thickBot="1" x14ac:dyDescent="0.25">
      <c r="A183" s="1791"/>
      <c r="B183" s="1811"/>
      <c r="C183" s="1806"/>
      <c r="D183" s="1807" t="s">
        <v>2014</v>
      </c>
      <c r="E183" s="1808" t="s">
        <v>1626</v>
      </c>
      <c r="F183" s="1813">
        <f>F181/F182</f>
        <v>17797.058464667007</v>
      </c>
      <c r="G183" s="856">
        <v>6323</v>
      </c>
    </row>
    <row r="184" spans="1:7" ht="12" thickTop="1" x14ac:dyDescent="0.2">
      <c r="B184" s="930"/>
      <c r="C184" s="949"/>
      <c r="D184" s="930"/>
      <c r="E184" s="949"/>
      <c r="F184" s="930"/>
      <c r="G184" s="951">
        <v>6326</v>
      </c>
    </row>
    <row r="185" spans="1:7" ht="12.2" customHeight="1" x14ac:dyDescent="0.2">
      <c r="A185" s="930" t="s">
        <v>2056</v>
      </c>
      <c r="B185" s="930"/>
      <c r="C185" s="949"/>
      <c r="D185" s="930"/>
      <c r="E185" s="949"/>
      <c r="F185" s="930"/>
      <c r="G185" s="930"/>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49"/>
      <c r="D188" s="930"/>
      <c r="E188" s="949"/>
      <c r="F188" s="930"/>
      <c r="G188" s="930"/>
    </row>
    <row r="189" spans="1:7" x14ac:dyDescent="0.2">
      <c r="A189" s="1951" t="s">
        <v>2060</v>
      </c>
      <c r="B189" s="1952" t="s">
        <v>2059</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90" zoomScaleNormal="90" workbookViewId="0">
      <pane ySplit="16" topLeftCell="A17" activePane="bottomLeft" state="frozen"/>
      <selection activeCell="C33" sqref="C33:I34"/>
      <selection pane="bottomLeft" activeCell="C33" sqref="C33:I34"/>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300" t="s">
        <v>1923</v>
      </c>
      <c r="B4" s="2301"/>
      <c r="C4" s="2301"/>
      <c r="D4" s="2301"/>
      <c r="E4" s="2301"/>
      <c r="F4" s="2301"/>
      <c r="G4" s="2302"/>
    </row>
    <row r="5" spans="1:7" x14ac:dyDescent="0.25">
      <c r="A5" s="2303"/>
      <c r="B5" s="2304"/>
      <c r="C5" s="2304"/>
      <c r="D5" s="2304"/>
      <c r="E5" s="2304"/>
      <c r="F5" s="2304"/>
      <c r="G5" s="2305"/>
    </row>
    <row r="6" spans="1:7" ht="18.75" x14ac:dyDescent="0.25">
      <c r="A6" s="1555" t="s">
        <v>1924</v>
      </c>
      <c r="B6" s="1556"/>
      <c r="C6" s="1556"/>
      <c r="D6" s="1556"/>
      <c r="E6" s="1556"/>
      <c r="F6" s="1556"/>
      <c r="G6" s="1557"/>
    </row>
    <row r="7" spans="1:7" ht="30.75" customHeight="1" x14ac:dyDescent="0.25">
      <c r="A7" s="2306" t="s">
        <v>2071</v>
      </c>
      <c r="B7" s="2307"/>
      <c r="C7" s="2307"/>
      <c r="D7" s="2307"/>
      <c r="E7" s="2307"/>
      <c r="F7" s="2307"/>
      <c r="G7" s="2308"/>
    </row>
    <row r="8" spans="1:7" ht="15.75" customHeight="1" x14ac:dyDescent="0.25">
      <c r="A8" s="2309" t="s">
        <v>2020</v>
      </c>
      <c r="B8" s="2310"/>
      <c r="C8" s="2310"/>
      <c r="D8" s="2310"/>
      <c r="E8" s="2310"/>
      <c r="F8" s="2310"/>
      <c r="G8" s="2311"/>
    </row>
    <row r="9" spans="1:7" ht="35.25" customHeight="1" x14ac:dyDescent="0.25">
      <c r="A9" s="2306" t="s">
        <v>2074</v>
      </c>
      <c r="B9" s="2307"/>
      <c r="C9" s="2307"/>
      <c r="D9" s="2307"/>
      <c r="E9" s="2307"/>
      <c r="F9" s="2307"/>
      <c r="G9" s="2308"/>
    </row>
    <row r="10" spans="1:7" ht="15" customHeight="1" x14ac:dyDescent="0.25">
      <c r="A10" s="1558" t="s">
        <v>1925</v>
      </c>
      <c r="B10" s="1559"/>
      <c r="C10" s="1559"/>
      <c r="D10" s="1559"/>
      <c r="E10" s="1559"/>
      <c r="F10" s="1559"/>
      <c r="G10" s="1560"/>
    </row>
    <row r="11" spans="1:7" ht="17.25" customHeight="1" x14ac:dyDescent="0.25">
      <c r="A11" s="2306" t="s">
        <v>2073</v>
      </c>
      <c r="B11" s="2307"/>
      <c r="C11" s="2307"/>
      <c r="D11" s="2307"/>
      <c r="E11" s="2307"/>
      <c r="F11" s="2307"/>
      <c r="G11" s="2308"/>
    </row>
    <row r="12" spans="1:7" ht="15" customHeight="1" x14ac:dyDescent="0.25">
      <c r="A12" s="1558" t="s">
        <v>1930</v>
      </c>
      <c r="B12" s="1559"/>
      <c r="C12" s="1559"/>
      <c r="D12" s="1559"/>
      <c r="E12" s="1559"/>
      <c r="F12" s="1559"/>
      <c r="G12" s="1560"/>
    </row>
    <row r="13" spans="1:7" ht="32.25" customHeight="1" x14ac:dyDescent="0.25">
      <c r="A13" s="2297" t="s">
        <v>1931</v>
      </c>
      <c r="B13" s="2298"/>
      <c r="C13" s="2298"/>
      <c r="D13" s="2298"/>
      <c r="E13" s="2298"/>
      <c r="F13" s="2298"/>
      <c r="G13" s="2299"/>
    </row>
    <row r="14" spans="1:7" x14ac:dyDescent="0.25">
      <c r="A14" s="1682" t="s">
        <v>1939</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1940</v>
      </c>
      <c r="B16" s="1670" t="s">
        <v>1929</v>
      </c>
      <c r="C16" s="1671" t="s">
        <v>1927</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2152</v>
      </c>
      <c r="B17" s="1969" t="s">
        <v>2154</v>
      </c>
      <c r="C17" s="1970" t="s">
        <v>2153</v>
      </c>
      <c r="D17" s="1866">
        <v>145833</v>
      </c>
      <c r="E17" s="1561">
        <f t="shared" ref="E17:E141" si="1">IF(D17&lt;=25000,D17,IF(D17&gt;25000,25000,0))</f>
        <v>25000</v>
      </c>
      <c r="F17" s="1814">
        <f t="shared" si="0"/>
        <v>25000</v>
      </c>
      <c r="G17" s="1815">
        <f>IF(F17=0,0,D17-F17)</f>
        <v>120833</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145833</v>
      </c>
      <c r="E141" s="1562">
        <f t="shared" si="1"/>
        <v>25000</v>
      </c>
      <c r="F141" s="1816">
        <f>SUM(F17:F140)</f>
        <v>25000</v>
      </c>
      <c r="G141" s="1817">
        <f>SUM(G17:G140)</f>
        <v>120833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C33" sqref="C33:I34"/>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12" t="s">
        <v>1778</v>
      </c>
      <c r="B5" s="2313"/>
      <c r="C5" s="2313"/>
      <c r="D5" s="2313"/>
      <c r="E5" s="2313"/>
      <c r="F5" s="2313"/>
      <c r="G5" s="2314"/>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2072</v>
      </c>
      <c r="B10" s="971"/>
      <c r="C10" s="976"/>
      <c r="D10" s="972"/>
      <c r="E10" s="973">
        <v>164831</v>
      </c>
      <c r="F10" s="974"/>
      <c r="G10" s="975"/>
      <c r="H10" s="161"/>
      <c r="I10" s="161"/>
    </row>
    <row r="11" spans="1:9" s="668" customFormat="1" ht="22.5" customHeight="1" x14ac:dyDescent="0.2">
      <c r="A11" s="2317" t="s">
        <v>1942</v>
      </c>
      <c r="B11" s="2318"/>
      <c r="C11" s="2318"/>
      <c r="D11" s="2319"/>
      <c r="E11" s="977">
        <v>15735</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1749015</v>
      </c>
      <c r="F19" s="1821"/>
      <c r="G19" s="1823">
        <f>'Expenditures 15-22'!K33-SUM('Expenditures 15-22'!G33,'Expenditures 15-22'!I33)+'Expenditures 15-22'!D229</f>
        <v>1749015</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284475</v>
      </c>
      <c r="F21" s="1824"/>
      <c r="G21" s="1827">
        <f>'Expenditures 15-22'!K42-SUM('Expenditures 15-22'!G42,'Expenditures 15-22'!I42)+'Expenditures 15-22'!K120-SUM('Expenditures 15-22'!G120,'Expenditures 15-22'!I120)+'Expenditures 15-22'!K180-SUM('Expenditures 15-22'!G180,'Expenditures 15-22'!I180)+'Expenditures 15-22'!D238</f>
        <v>284475</v>
      </c>
      <c r="H21" s="987"/>
      <c r="I21" s="161"/>
    </row>
    <row r="22" spans="1:9" s="668" customFormat="1" ht="12" customHeight="1" x14ac:dyDescent="0.2">
      <c r="A22" s="994" t="s">
        <v>585</v>
      </c>
      <c r="B22" s="995"/>
      <c r="C22" s="993">
        <v>2200</v>
      </c>
      <c r="D22" s="1824"/>
      <c r="E22" s="1826">
        <f>'Expenditures 15-22'!K47-SUM('Expenditures 15-22'!G47,'Expenditures 15-22'!I47)+'Expenditures 15-22'!D243</f>
        <v>432077</v>
      </c>
      <c r="F22" s="1824"/>
      <c r="G22" s="1827">
        <f>'Expenditures 15-22'!K47-SUM('Expenditures 15-22'!G47,'Expenditures 15-22'!I47)+'Expenditures 15-22'!D243</f>
        <v>432077</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756145</v>
      </c>
      <c r="F23" s="1824"/>
      <c r="G23" s="1826">
        <f>'Expenditures 15-22'!K53-SUM('Expenditures 15-22'!G53,'Expenditures 15-22'!I53)+'Expenditures 15-22'!D257+'Expenditures 15-22'!K330-SUM('Expenditures 15-22'!G330,'Expenditures 15-22'!I330)</f>
        <v>756145</v>
      </c>
      <c r="H23" s="987"/>
      <c r="I23" s="161"/>
    </row>
    <row r="24" spans="1:9" s="668" customFormat="1" ht="12" customHeight="1" x14ac:dyDescent="0.2">
      <c r="A24" s="994" t="s">
        <v>587</v>
      </c>
      <c r="B24" s="995"/>
      <c r="C24" s="993">
        <v>2400</v>
      </c>
      <c r="D24" s="1824"/>
      <c r="E24" s="1826">
        <f>'Expenditures 15-22'!K57-SUM('Expenditures 15-22'!G57,'Expenditures 15-22'!I57)+'Expenditures 15-22'!D261</f>
        <v>283328</v>
      </c>
      <c r="F24" s="1824"/>
      <c r="G24" s="1827">
        <f>'Expenditures 15-22'!K57-SUM('Expenditures 15-22'!G57,'Expenditures 15-22'!I57)+'Expenditures 15-22'!D261</f>
        <v>283328</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76253</v>
      </c>
      <c r="E26" s="1826">
        <f>'Expenditures 15-22'!K122-SUM('Expenditures 15-22'!G122,'Expenditures 15-22'!I122)+E7</f>
        <v>0</v>
      </c>
      <c r="F26" s="1826">
        <f>'Expenditures 15-22'!K59-SUM('Expenditures 15-22'!G59,'Expenditures 15-22'!I59)+'Expenditures 15-22'!D263-E7</f>
        <v>76253</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142925</v>
      </c>
      <c r="E27" s="1826">
        <f>E8</f>
        <v>0</v>
      </c>
      <c r="F27" s="1826">
        <f>'Expenditures 15-22'!K60-SUM('Expenditures 15-22'!G60,'Expenditures 15-22'!I60)+'Expenditures 15-22'!D264-E8</f>
        <v>142925</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604135</v>
      </c>
      <c r="F28" s="1828">
        <f>'Expenditures 15-22'!K61-SUM('Expenditures 15-22'!G61,'Expenditures 15-22'!I61)+'Expenditures 15-22'!K124-SUM('Expenditures 15-22'!G124,'Expenditures 15-22'!I124)+'Expenditures 15-22'!D266-E9</f>
        <v>604135</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89638</v>
      </c>
      <c r="F29" s="1824"/>
      <c r="G29" s="1827">
        <f>'Expenditures 15-22'!K62-SUM('Expenditures 15-22'!G62,'Expenditures 15-22'!I62)+'Expenditures 15-22'!K125-SUM('Expenditures 15-22'!G125,'Expenditures 15-22'!I125)+'Expenditures 15-22'!K182-SUM('Expenditures 15-22'!G182,'Expenditures 15-22'!I182)+'Expenditures 15-22'!D267</f>
        <v>89638</v>
      </c>
      <c r="H29" s="985"/>
    </row>
    <row r="30" spans="1:9" ht="12" customHeight="1" x14ac:dyDescent="0.2">
      <c r="A30" s="994" t="s">
        <v>102</v>
      </c>
      <c r="B30" s="997"/>
      <c r="C30" s="993">
        <v>2560</v>
      </c>
      <c r="D30" s="1824"/>
      <c r="E30" s="1826">
        <f>'Expenditures 15-22'!K63-SUM('Expenditures 15-22'!G63,'Expenditures 15-22'!I63)+'Expenditures 15-22'!D268-E10</f>
        <v>63</v>
      </c>
      <c r="F30" s="1824"/>
      <c r="G30" s="1826">
        <f>'Expenditures 15-22'!K63-SUM('Expenditures 15-22'!G63,'Expenditures 15-22'!I63)+'Expenditures 15-22'!D268-E10</f>
        <v>63</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14377</v>
      </c>
      <c r="F35" s="1824"/>
      <c r="G35" s="1826">
        <f>'Expenditures 15-22'!K69-SUM('Expenditures 15-22'!G69,'Expenditures 15-22'!I69)+'Expenditures 15-22'!D274</f>
        <v>14377</v>
      </c>
    </row>
    <row r="36" spans="1:7" ht="12" customHeight="1" x14ac:dyDescent="0.2">
      <c r="A36" s="994" t="s">
        <v>423</v>
      </c>
      <c r="B36" s="997"/>
      <c r="C36" s="993">
        <v>2640</v>
      </c>
      <c r="D36" s="1826">
        <f>'Expenditures 15-22'!K70-SUM('Expenditures 15-22'!G70,'Expenditures 15-22'!I70)+'Expenditures 15-22'!D275-E13</f>
        <v>785</v>
      </c>
      <c r="E36" s="1826">
        <f>E13</f>
        <v>0</v>
      </c>
      <c r="F36" s="1826">
        <f>'Expenditures 15-22'!K70-SUM('Expenditures 15-22'!G70,'Expenditures 15-22'!I70)+'Expenditures 15-22'!D275-E13</f>
        <v>785</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104763</v>
      </c>
      <c r="F38" s="1824"/>
      <c r="G38" s="1826">
        <f>'Expenditures 15-22'!K73-SUM('Expenditures 15-22'!G73,'Expenditures 15-22'!I73)+'Expenditures 15-22'!K128-SUM('Expenditures 15-22'!G128,'Expenditures 15-22'!I128)+'Expenditures 15-22'!K183-SUM('Expenditures 15-22'!G183,'Expenditures 15-22'!I183)+'Expenditures 15-22'!D278</f>
        <v>104763</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41531</v>
      </c>
      <c r="F39" s="1824"/>
      <c r="G39" s="1826">
        <f>'Expenditures 15-22'!K75-SUM('Expenditures 15-22'!G75,'Expenditures 15-22'!I75)+'Expenditures 15-22'!K130-SUM('Expenditures 15-22'!G130,'Expenditures 15-22'!I130)+'Expenditures 15-22'!K185-SUM('Expenditures 15-22'!G185,'Expenditures 15-22'!I185)+'Expenditures 15-22'!D280</f>
        <v>41531</v>
      </c>
    </row>
    <row r="40" spans="1:7" ht="12" customHeight="1" x14ac:dyDescent="0.2">
      <c r="A40" s="990" t="s">
        <v>1928</v>
      </c>
      <c r="B40" s="991"/>
      <c r="C40" s="993"/>
      <c r="D40" s="1824"/>
      <c r="E40" s="1828">
        <f>-'Contracts Paid in CY 29'!G141</f>
        <v>-120833</v>
      </c>
      <c r="F40" s="1824"/>
      <c r="G40" s="1828">
        <f>-'Contracts Paid in CY 29'!G141</f>
        <v>-120833</v>
      </c>
    </row>
    <row r="41" spans="1:7" ht="12" customHeight="1" x14ac:dyDescent="0.2">
      <c r="A41" s="998" t="s">
        <v>158</v>
      </c>
      <c r="B41" s="999"/>
      <c r="C41" s="1000"/>
      <c r="D41" s="1828">
        <f>SUM(D19:D39)</f>
        <v>219963</v>
      </c>
      <c r="E41" s="1828">
        <f>SUM(E19:E40)</f>
        <v>4238714</v>
      </c>
      <c r="F41" s="1828">
        <f>SUM(F19:F39)</f>
        <v>824098</v>
      </c>
      <c r="G41" s="1828">
        <f>SUM(G19:G40)</f>
        <v>3634579</v>
      </c>
    </row>
    <row r="42" spans="1:7" x14ac:dyDescent="0.2">
      <c r="A42" s="987"/>
      <c r="B42" s="161"/>
      <c r="C42" s="1001"/>
      <c r="D42" s="2315" t="s">
        <v>543</v>
      </c>
      <c r="E42" s="2316"/>
      <c r="F42" s="1002" t="s">
        <v>544</v>
      </c>
      <c r="G42" s="1003"/>
    </row>
    <row r="43" spans="1:7" ht="12" customHeight="1" x14ac:dyDescent="0.2">
      <c r="A43" s="987"/>
      <c r="B43" s="161"/>
      <c r="C43" s="1001"/>
      <c r="D43" s="1829" t="s">
        <v>493</v>
      </c>
      <c r="E43" s="1830">
        <f>D41</f>
        <v>219963</v>
      </c>
      <c r="F43" s="1829" t="s">
        <v>495</v>
      </c>
      <c r="G43" s="1830">
        <f>F41</f>
        <v>824098</v>
      </c>
    </row>
    <row r="44" spans="1:7" ht="12" customHeight="1" x14ac:dyDescent="0.2">
      <c r="A44" s="987"/>
      <c r="B44" s="161"/>
      <c r="C44" s="1001"/>
      <c r="D44" s="1829" t="s">
        <v>494</v>
      </c>
      <c r="E44" s="1830">
        <f>E41</f>
        <v>4238714</v>
      </c>
      <c r="F44" s="1829" t="s">
        <v>494</v>
      </c>
      <c r="G44" s="1830">
        <f>G41</f>
        <v>3634579</v>
      </c>
    </row>
    <row r="45" spans="1:7" ht="12" customHeight="1" x14ac:dyDescent="0.2">
      <c r="A45" s="987"/>
      <c r="B45" s="161"/>
      <c r="C45" s="161"/>
      <c r="D45" s="1831" t="s">
        <v>1063</v>
      </c>
      <c r="E45" s="1832">
        <f>(E43/E44)</f>
        <v>5.189380552686499E-2</v>
      </c>
      <c r="F45" s="1831" t="s">
        <v>1063</v>
      </c>
      <c r="G45" s="1832">
        <f>(G43/G44)</f>
        <v>0.22673822745357852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33" sqref="C33:I34"/>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7.5703125" style="1902" bestFit="1" customWidth="1"/>
    <col min="9" max="10" width="4" style="1902" bestFit="1" customWidth="1"/>
    <col min="11" max="11" width="9" style="1902" customWidth="1"/>
    <col min="12" max="16384" width="9.140625" style="1871"/>
  </cols>
  <sheetData>
    <row r="1" spans="1:10" x14ac:dyDescent="0.2">
      <c r="A1" s="2323" t="s">
        <v>1446</v>
      </c>
      <c r="B1" s="2323"/>
      <c r="C1" s="2323"/>
      <c r="D1" s="2323"/>
      <c r="E1" s="2323"/>
      <c r="F1" s="2323"/>
    </row>
    <row r="2" spans="1:10" x14ac:dyDescent="0.2">
      <c r="A2" s="1911" t="s">
        <v>2044</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4" t="s">
        <v>1627</v>
      </c>
      <c r="B5" s="2325"/>
      <c r="C5" s="2326"/>
      <c r="D5" s="2326"/>
      <c r="E5" s="2326"/>
      <c r="F5" s="2326"/>
    </row>
    <row r="6" spans="1:10" ht="12" customHeight="1" x14ac:dyDescent="0.25">
      <c r="A6" s="1874"/>
      <c r="B6" s="1875"/>
      <c r="C6" s="2327" t="str">
        <f>COVER!A17</f>
        <v>General George Patton S 133</v>
      </c>
      <c r="D6" s="2327"/>
      <c r="E6" s="2327"/>
      <c r="F6" s="1876"/>
    </row>
    <row r="7" spans="1:10" ht="11.25" customHeight="1" thickBot="1" x14ac:dyDescent="0.3">
      <c r="A7" s="1874"/>
      <c r="B7" s="1875"/>
      <c r="C7" s="2328">
        <f>COVER!A13</f>
        <v>7016133002</v>
      </c>
      <c r="D7" s="2328"/>
      <c r="E7" s="2328"/>
      <c r="F7" s="1876"/>
    </row>
    <row r="8" spans="1:10" ht="25.5" customHeight="1" thickBot="1" x14ac:dyDescent="0.25">
      <c r="A8" s="1917" t="s">
        <v>2021</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t="s">
        <v>2075</v>
      </c>
      <c r="D20" s="1889" t="s">
        <v>2075</v>
      </c>
      <c r="E20" s="1892" t="s">
        <v>2075</v>
      </c>
      <c r="F20" s="1891" t="s">
        <v>2155</v>
      </c>
      <c r="H20" s="1902">
        <f t="shared" si="0"/>
        <v>5</v>
      </c>
      <c r="I20" s="1902">
        <f t="shared" si="1"/>
        <v>5</v>
      </c>
      <c r="J20" s="1902">
        <f t="shared" si="2"/>
        <v>5</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2075</v>
      </c>
      <c r="D26" s="1889" t="s">
        <v>2075</v>
      </c>
      <c r="E26" s="1892" t="s">
        <v>2075</v>
      </c>
      <c r="F26" s="1891" t="s">
        <v>2156</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1459</v>
      </c>
      <c r="B35" s="1896"/>
      <c r="C35" s="2329"/>
      <c r="D35" s="2329"/>
      <c r="E35" s="2329"/>
      <c r="F35" s="2330"/>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34"/>
      <c r="B38" s="2335"/>
      <c r="C38" s="2335"/>
      <c r="D38" s="2335"/>
      <c r="E38" s="2335"/>
      <c r="F38" s="2336"/>
    </row>
    <row r="39" spans="1:11" ht="4.5" hidden="1" customHeight="1" x14ac:dyDescent="0.2">
      <c r="A39" s="1897"/>
      <c r="B39" s="1897"/>
      <c r="C39" s="1897"/>
      <c r="D39" s="1897"/>
      <c r="E39" s="1897"/>
      <c r="F39" s="1897"/>
    </row>
    <row r="40" spans="1:11" s="1894" customFormat="1" ht="12" customHeight="1" x14ac:dyDescent="0.25">
      <c r="A40" s="1898" t="s">
        <v>1458</v>
      </c>
      <c r="B40" s="1899"/>
      <c r="C40" s="2337"/>
      <c r="D40" s="2337"/>
      <c r="E40" s="2337"/>
      <c r="F40" s="2338"/>
      <c r="H40" s="1903"/>
      <c r="I40" s="1903"/>
      <c r="J40" s="1903"/>
      <c r="K40" s="1903"/>
    </row>
    <row r="41" spans="1:11" s="1894" customFormat="1" ht="12" customHeight="1" x14ac:dyDescent="0.25">
      <c r="A41" s="2339"/>
      <c r="B41" s="2340"/>
      <c r="C41" s="2340"/>
      <c r="D41" s="2340"/>
      <c r="E41" s="2340"/>
      <c r="F41" s="2341"/>
      <c r="H41" s="1903"/>
      <c r="I41" s="1903"/>
      <c r="J41" s="1903"/>
      <c r="K41" s="1903"/>
    </row>
    <row r="42" spans="1:11" s="1894" customFormat="1" ht="12" customHeight="1" x14ac:dyDescent="0.25">
      <c r="A42" s="2339"/>
      <c r="B42" s="2340"/>
      <c r="C42" s="2340"/>
      <c r="D42" s="2340"/>
      <c r="E42" s="2340"/>
      <c r="F42" s="2341"/>
      <c r="H42" s="1903"/>
      <c r="I42" s="1903"/>
      <c r="J42" s="1903"/>
      <c r="K42" s="1903"/>
    </row>
    <row r="43" spans="1:11" s="1894" customFormat="1" ht="15" x14ac:dyDescent="0.25">
      <c r="A43" s="2331"/>
      <c r="B43" s="2332"/>
      <c r="C43" s="2332"/>
      <c r="D43" s="2332"/>
      <c r="E43" s="2332"/>
      <c r="F43" s="2333"/>
      <c r="H43" s="1903"/>
      <c r="I43" s="1903"/>
      <c r="J43" s="1903"/>
      <c r="K43" s="1903"/>
    </row>
    <row r="44" spans="1:11" s="1894" customFormat="1" ht="12" hidden="1" customHeight="1" x14ac:dyDescent="0.25">
      <c r="A44" s="2331"/>
      <c r="B44" s="2332"/>
      <c r="C44" s="2332"/>
      <c r="D44" s="2332"/>
      <c r="E44" s="2332"/>
      <c r="F44" s="233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3" sqref="C33:I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47" t="str">
        <f>COVER!A17</f>
        <v>General George Patton S 133</v>
      </c>
      <c r="J6" s="2348"/>
      <c r="Q6" s="1685"/>
    </row>
    <row r="7" spans="1:17" x14ac:dyDescent="0.2">
      <c r="A7" s="2349" t="s">
        <v>924</v>
      </c>
      <c r="B7" s="2350"/>
      <c r="C7" s="2350"/>
      <c r="D7" s="2350"/>
      <c r="E7" s="2351"/>
      <c r="F7" s="1017"/>
      <c r="G7" s="1009"/>
      <c r="H7" s="1016" t="s">
        <v>390</v>
      </c>
      <c r="I7" s="2352">
        <f>COVER!A13</f>
        <v>7016133002</v>
      </c>
      <c r="J7" s="2352"/>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53" t="s">
        <v>502</v>
      </c>
      <c r="B11" s="2354"/>
      <c r="C11" s="235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279322</v>
      </c>
      <c r="F12" s="1039"/>
      <c r="G12" s="1833">
        <f t="shared" ref="G12:G18" si="0">SUM(E12:F12)</f>
        <v>279322</v>
      </c>
      <c r="H12" s="1040">
        <v>393700</v>
      </c>
      <c r="I12" s="1039"/>
      <c r="J12" s="1833">
        <f t="shared" ref="J12:J18" si="1">SUM(H12:I12)</f>
        <v>393700</v>
      </c>
    </row>
    <row r="13" spans="1:17" ht="15" customHeight="1" x14ac:dyDescent="0.2">
      <c r="A13" s="1035">
        <v>2</v>
      </c>
      <c r="B13" s="1036" t="s">
        <v>44</v>
      </c>
      <c r="C13" s="1037"/>
      <c r="D13" s="1038">
        <v>2330</v>
      </c>
      <c r="E13" s="1833">
        <f>'Expenditures 15-22'!K51</f>
        <v>17610</v>
      </c>
      <c r="F13" s="1039"/>
      <c r="G13" s="1833">
        <f t="shared" si="0"/>
        <v>17610</v>
      </c>
      <c r="H13" s="1040">
        <v>14500</v>
      </c>
      <c r="I13" s="1039"/>
      <c r="J13" s="1833">
        <f t="shared" si="1"/>
        <v>14500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65955</v>
      </c>
      <c r="F15" s="1833">
        <f>'Expenditures 15-22'!K122</f>
        <v>0</v>
      </c>
      <c r="G15" s="1833">
        <f t="shared" si="0"/>
        <v>65955</v>
      </c>
      <c r="H15" s="1040">
        <v>70300</v>
      </c>
      <c r="I15" s="1040"/>
      <c r="J15" s="1833">
        <f t="shared" si="1"/>
        <v>70300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56" t="s">
        <v>7</v>
      </c>
      <c r="C18" s="2357"/>
      <c r="D18" s="2358"/>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362887</v>
      </c>
      <c r="F19" s="1835">
        <f t="shared" si="2"/>
        <v>0</v>
      </c>
      <c r="G19" s="1835">
        <f t="shared" si="2"/>
        <v>362887</v>
      </c>
      <c r="H19" s="1835">
        <f t="shared" si="2"/>
        <v>478500</v>
      </c>
      <c r="I19" s="1835">
        <f t="shared" si="2"/>
        <v>0</v>
      </c>
      <c r="J19" s="1835">
        <f t="shared" si="2"/>
        <v>478500</v>
      </c>
    </row>
    <row r="20" spans="1:10" ht="13.5" thickTop="1" x14ac:dyDescent="0.2">
      <c r="A20" s="1035">
        <v>9</v>
      </c>
      <c r="B20" s="2359" t="s">
        <v>1703</v>
      </c>
      <c r="C20" s="2359"/>
      <c r="D20" s="2360"/>
      <c r="E20" s="1046"/>
      <c r="F20" s="1046"/>
      <c r="G20" s="1046"/>
      <c r="H20" s="1046"/>
      <c r="I20" s="1046"/>
      <c r="J20" s="1836">
        <f>IF(AND(G19&gt;0,J19&gt;0),(((J19-G19)/G19)),"Enter Budget Data")</f>
        <v>0.31859228905967973</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65"/>
      <c r="D26" s="2365"/>
      <c r="E26" s="1050"/>
      <c r="F26" s="2364"/>
      <c r="G26" s="2364"/>
    </row>
    <row r="27" spans="1:10" x14ac:dyDescent="0.2">
      <c r="B27" s="1047"/>
      <c r="C27" s="1051" t="s">
        <v>1093</v>
      </c>
      <c r="D27" s="1052"/>
      <c r="E27" s="1053"/>
      <c r="F27" s="2361" t="s">
        <v>1589</v>
      </c>
      <c r="G27" s="2361"/>
    </row>
    <row r="28" spans="1:10" ht="28.5" customHeight="1" x14ac:dyDescent="0.2">
      <c r="B28" s="1047"/>
      <c r="C28" s="2363"/>
      <c r="D28" s="2363"/>
      <c r="E28" s="1054"/>
      <c r="F28" s="2363"/>
      <c r="G28" s="2363"/>
    </row>
    <row r="29" spans="1:10" x14ac:dyDescent="0.2">
      <c r="B29" s="1047"/>
      <c r="C29" s="1055" t="s">
        <v>1642</v>
      </c>
      <c r="E29" s="1056"/>
      <c r="F29" s="2362" t="s">
        <v>1590</v>
      </c>
      <c r="G29" s="236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t="s">
        <v>2075</v>
      </c>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62"/>
    </row>
    <row r="36" spans="1:10" ht="13.5" customHeight="1" x14ac:dyDescent="0.2">
      <c r="B36" s="1061"/>
      <c r="C36" s="2346" t="s">
        <v>1941</v>
      </c>
      <c r="D36" s="2345"/>
      <c r="E36" s="2345"/>
      <c r="F36" s="2345"/>
      <c r="G36" s="2345"/>
      <c r="H36" s="2345"/>
      <c r="I36" s="2345"/>
      <c r="J36" s="1063"/>
    </row>
    <row r="37" spans="1:10" ht="22.5" customHeight="1" x14ac:dyDescent="0.2">
      <c r="C37" s="2345"/>
      <c r="D37" s="2345"/>
      <c r="E37" s="2345"/>
      <c r="F37" s="2345"/>
      <c r="G37" s="2345"/>
      <c r="H37" s="2345"/>
      <c r="I37" s="2345"/>
      <c r="J37" s="1063"/>
    </row>
    <row r="38" spans="1:10" ht="7.5" customHeight="1" x14ac:dyDescent="0.2">
      <c r="C38" s="1062"/>
      <c r="D38" s="1064"/>
      <c r="E38" s="1065"/>
      <c r="F38" s="1066"/>
      <c r="G38" s="1065"/>
    </row>
    <row r="39" spans="1:10" ht="13.5" customHeight="1" x14ac:dyDescent="0.2">
      <c r="B39" s="1061"/>
      <c r="C39" s="2342" t="s">
        <v>937</v>
      </c>
      <c r="D39" s="2343"/>
      <c r="E39" s="2343"/>
      <c r="F39" s="2343"/>
      <c r="G39" s="2343"/>
      <c r="H39" s="2343"/>
      <c r="I39" s="234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General George Patton S 133</v>
      </c>
    </row>
    <row r="65" spans="2:2" x14ac:dyDescent="0.2">
      <c r="B65" s="1070">
        <f>COVER!A13</f>
        <v>7016133002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3" sqref="B13"/>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66" t="s">
        <v>1784</v>
      </c>
      <c r="B18" s="236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723900</xdr:colOff>
                <xdr:row>3</xdr:row>
                <xdr:rowOff>47625</xdr:rowOff>
              </from>
              <to>
                <xdr:col>1</xdr:col>
                <xdr:colOff>1638300</xdr:colOff>
                <xdr:row>7</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1943100</xdr:colOff>
                <xdr:row>3</xdr:row>
                <xdr:rowOff>9525</xdr:rowOff>
              </from>
              <to>
                <xdr:col>1</xdr:col>
                <xdr:colOff>2847975</xdr:colOff>
                <xdr:row>7</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3200400</xdr:colOff>
                <xdr:row>3</xdr:row>
                <xdr:rowOff>28575</xdr:rowOff>
              </from>
              <to>
                <xdr:col>2</xdr:col>
                <xdr:colOff>133350</xdr:colOff>
                <xdr:row>7</xdr:row>
                <xdr:rowOff>66675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74"/>
      <c r="H2" s="1074"/>
    </row>
    <row r="3" spans="1:8" ht="57" customHeight="1" x14ac:dyDescent="0.2">
      <c r="A3" s="2380" t="s">
        <v>1786</v>
      </c>
      <c r="B3" s="2381"/>
      <c r="C3" s="2381"/>
      <c r="D3" s="2381"/>
      <c r="E3" s="2381"/>
      <c r="F3" s="2382"/>
      <c r="G3" s="1074"/>
      <c r="H3" s="1074"/>
    </row>
    <row r="4" spans="1:8" ht="14.25" customHeight="1" x14ac:dyDescent="0.2">
      <c r="A4" s="2386" t="s">
        <v>2052</v>
      </c>
      <c r="B4" s="2387"/>
      <c r="C4" s="2387"/>
      <c r="D4" s="2387"/>
      <c r="E4" s="2387"/>
      <c r="F4" s="2388"/>
      <c r="G4" s="1074"/>
      <c r="H4" s="1074"/>
    </row>
    <row r="5" spans="1:8" ht="14.25" customHeight="1" x14ac:dyDescent="0.2">
      <c r="A5" s="2389" t="s">
        <v>2053</v>
      </c>
      <c r="B5" s="2390"/>
      <c r="C5" s="2390"/>
      <c r="D5" s="2390"/>
      <c r="E5" s="2390"/>
      <c r="F5" s="2391"/>
      <c r="G5" s="1074"/>
      <c r="H5" s="1074"/>
    </row>
    <row r="6" spans="1:8" s="1075" customFormat="1" ht="41.25" customHeight="1" x14ac:dyDescent="0.2">
      <c r="A6" s="2383" t="s">
        <v>1792</v>
      </c>
      <c r="B6" s="2384"/>
      <c r="C6" s="2384"/>
      <c r="D6" s="2384"/>
      <c r="E6" s="2384"/>
      <c r="F6" s="2385"/>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4213470</v>
      </c>
      <c r="C8" s="1837">
        <f>'Acct Summary 7-8'!D8</f>
        <v>352062</v>
      </c>
      <c r="D8" s="1837">
        <f>'Acct Summary 7-8'!F8</f>
        <v>267663</v>
      </c>
      <c r="E8" s="1837">
        <f>'Acct Summary 7-8'!I8</f>
        <v>8462</v>
      </c>
      <c r="F8" s="1837">
        <f>SUM(B8:E8)</f>
        <v>4841657</v>
      </c>
    </row>
    <row r="9" spans="1:8" s="1079" customFormat="1" ht="14.25" customHeight="1" thickBot="1" x14ac:dyDescent="0.25">
      <c r="A9" s="1078" t="s">
        <v>1436</v>
      </c>
      <c r="B9" s="1838">
        <f>'Acct Summary 7-8'!C17</f>
        <v>3887384</v>
      </c>
      <c r="C9" s="1838">
        <f>'Acct Summary 7-8'!D17</f>
        <v>575192</v>
      </c>
      <c r="D9" s="1838">
        <f>'Acct Summary 7-8'!F17</f>
        <v>87363</v>
      </c>
      <c r="E9" s="1837"/>
      <c r="F9" s="1837">
        <f>SUM(B9:E9)</f>
        <v>4549939</v>
      </c>
    </row>
    <row r="10" spans="1:8" s="1079" customFormat="1" ht="14.25" thickTop="1" thickBot="1" x14ac:dyDescent="0.25">
      <c r="A10" s="1080" t="s">
        <v>1437</v>
      </c>
      <c r="B10" s="1839">
        <f>(B8-B9)</f>
        <v>326086</v>
      </c>
      <c r="C10" s="1839">
        <f>(C8-C9)</f>
        <v>-223130</v>
      </c>
      <c r="D10" s="1839">
        <f>(D8-D9)</f>
        <v>180300</v>
      </c>
      <c r="E10" s="1838">
        <f>(E8-E9)</f>
        <v>8462</v>
      </c>
      <c r="F10" s="1840">
        <f>SUM(F8-F9)</f>
        <v>291718</v>
      </c>
    </row>
    <row r="11" spans="1:8" s="1079" customFormat="1" ht="14.25" thickTop="1" thickBot="1" x14ac:dyDescent="0.25">
      <c r="A11" s="1081" t="s">
        <v>1785</v>
      </c>
      <c r="B11" s="1841">
        <f>'Acct Summary 7-8'!C81</f>
        <v>1566043</v>
      </c>
      <c r="C11" s="1841">
        <f>'Acct Summary 7-8'!D81</f>
        <v>307954</v>
      </c>
      <c r="D11" s="1841">
        <f>'Acct Summary 7-8'!F81</f>
        <v>277235</v>
      </c>
      <c r="E11" s="1841">
        <f>'Acct Summary 7-8'!I81</f>
        <v>497078</v>
      </c>
      <c r="F11" s="1842">
        <f>SUM(B11:E11)</f>
        <v>2648310</v>
      </c>
    </row>
    <row r="12" spans="1:8" ht="16.5" customHeight="1" thickTop="1" x14ac:dyDescent="0.2">
      <c r="A12" s="1082"/>
      <c r="B12" s="1083"/>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4"/>
      <c r="B13" s="1085"/>
      <c r="C13" s="2371"/>
      <c r="D13" s="2372"/>
      <c r="E13" s="2372"/>
      <c r="F13" s="2373"/>
      <c r="H13" s="1074"/>
    </row>
    <row r="14" spans="1:8" ht="19.5" customHeight="1" x14ac:dyDescent="0.2">
      <c r="A14" s="1084"/>
      <c r="B14" s="1085"/>
      <c r="C14" s="2371"/>
      <c r="D14" s="2372"/>
      <c r="E14" s="2372"/>
      <c r="F14" s="2373"/>
      <c r="H14" s="1074"/>
    </row>
    <row r="15" spans="1:8" ht="17.25" customHeight="1" x14ac:dyDescent="0.2">
      <c r="A15" s="1084"/>
      <c r="B15" s="1085"/>
      <c r="C15" s="2374"/>
      <c r="D15" s="2375"/>
      <c r="E15" s="2375"/>
      <c r="F15" s="2376"/>
      <c r="H15" s="1074"/>
    </row>
    <row r="16" spans="1:8" s="309" customFormat="1" ht="51.75" hidden="1" customHeight="1" x14ac:dyDescent="0.2">
      <c r="A16" s="2370" t="s">
        <v>1787</v>
      </c>
      <c r="B16" s="2370"/>
      <c r="C16" s="2370"/>
      <c r="D16" s="2370"/>
      <c r="E16" s="2370"/>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92" t="s">
        <v>686</v>
      </c>
      <c r="B3" s="2393"/>
      <c r="C3" s="2393"/>
      <c r="D3" s="2394"/>
    </row>
    <row r="4" spans="1:4" x14ac:dyDescent="0.2">
      <c r="A4" s="1152" t="s">
        <v>1793</v>
      </c>
      <c r="B4" s="1153"/>
      <c r="C4" s="1154"/>
      <c r="D4" s="1155"/>
    </row>
    <row r="5" spans="1:4" ht="21" customHeight="1" x14ac:dyDescent="0.2">
      <c r="A5" s="1148"/>
      <c r="B5" s="1149">
        <v>1</v>
      </c>
      <c r="C5" s="1150" t="s">
        <v>1943</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403" t="s">
        <v>1584</v>
      </c>
      <c r="D7" s="2404"/>
    </row>
    <row r="8" spans="1:4" s="668" customFormat="1" ht="12.75" x14ac:dyDescent="0.2">
      <c r="A8" s="1138"/>
      <c r="B8" s="1093"/>
      <c r="C8" s="1096" t="s">
        <v>1583</v>
      </c>
      <c r="D8" s="1097"/>
    </row>
    <row r="9" spans="1:4" s="668" customFormat="1" ht="14.25" customHeight="1" x14ac:dyDescent="0.2">
      <c r="A9" s="1138"/>
      <c r="B9" s="1093">
        <f>B7+1</f>
        <v>4</v>
      </c>
      <c r="C9" s="1094" t="s">
        <v>2045</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95" t="s">
        <v>1065</v>
      </c>
      <c r="B15" s="2396"/>
      <c r="C15" s="2396"/>
      <c r="D15" s="2397"/>
    </row>
    <row r="16" spans="1:4" s="668" customFormat="1" ht="24" customHeight="1" x14ac:dyDescent="0.2">
      <c r="A16" s="2398" t="s">
        <v>684</v>
      </c>
      <c r="B16" s="2399"/>
      <c r="C16" s="2399"/>
      <c r="D16" s="2400"/>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7" t="s">
        <v>332</v>
      </c>
      <c r="D21" s="2408"/>
    </row>
    <row r="22" spans="1:10" ht="12.75" x14ac:dyDescent="0.2">
      <c r="A22" s="1139"/>
      <c r="B22" s="1140">
        <v>2</v>
      </c>
      <c r="C22" s="2405" t="s">
        <v>1605</v>
      </c>
      <c r="D22" s="2406"/>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9" t="s">
        <v>557</v>
      </c>
      <c r="D43" s="2410"/>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1" t="s">
        <v>817</v>
      </c>
      <c r="D56" s="2402"/>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2046</v>
      </c>
      <c r="D66" s="1125"/>
    </row>
    <row r="67" spans="1:4" x14ac:dyDescent="0.2">
      <c r="A67" s="1119"/>
      <c r="B67" s="1140"/>
      <c r="C67" s="1147" t="s">
        <v>1079</v>
      </c>
      <c r="D67" s="1125"/>
    </row>
    <row r="68" spans="1:4" x14ac:dyDescent="0.2">
      <c r="A68" s="1100"/>
      <c r="B68" s="1110"/>
      <c r="C68" s="1102" t="s">
        <v>2047</v>
      </c>
      <c r="D68" s="1124" t="str">
        <f>IF('Short-Term Long-Term Debt 24'!F49=SUM(,'Acct Summary 7-8'!C33:K33),"OK","ERROR!")</f>
        <v>OK</v>
      </c>
    </row>
    <row r="69" spans="1:4" x14ac:dyDescent="0.2">
      <c r="A69" s="1100"/>
      <c r="B69" s="1110"/>
      <c r="C69" s="1102" t="s">
        <v>2048</v>
      </c>
      <c r="D69" s="1124" t="str">
        <f>IF('Expenditures 15-22'!H170&lt;&gt;'Short-Term Long-Term Debt 24'!H49,"ERROR!","OK")</f>
        <v>OK</v>
      </c>
    </row>
    <row r="70" spans="1:4" x14ac:dyDescent="0.2">
      <c r="A70" s="1098"/>
      <c r="B70" s="1120">
        <f>B66+1</f>
        <v>9</v>
      </c>
      <c r="C70" s="2401" t="s">
        <v>1797</v>
      </c>
      <c r="D70" s="2402"/>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2049</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2050</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2051</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7016133002</v>
      </c>
    </row>
    <row r="3" spans="1:2" x14ac:dyDescent="0.2">
      <c r="A3" t="s">
        <v>1013</v>
      </c>
      <c r="B3" s="137" t="str">
        <f>COVER!A15</f>
        <v>COOK</v>
      </c>
    </row>
    <row r="4" spans="1:2" x14ac:dyDescent="0.2">
      <c r="A4" t="s">
        <v>1064</v>
      </c>
      <c r="B4" s="137" t="str">
        <f>COVER!A17</f>
        <v>General George Patton S 133</v>
      </c>
    </row>
    <row r="5" spans="1:2" x14ac:dyDescent="0.2">
      <c r="A5" t="s">
        <v>728</v>
      </c>
      <c r="B5" s="137" t="str">
        <f>COVER!A38</f>
        <v>DR. CAROL KUNST</v>
      </c>
    </row>
    <row r="6" spans="1:2" x14ac:dyDescent="0.2">
      <c r="A6" t="s">
        <v>733</v>
      </c>
      <c r="B6" s="137" t="str">
        <f>COVER!P35</f>
        <v>CALUMET</v>
      </c>
    </row>
    <row r="7" spans="1:2" x14ac:dyDescent="0.2">
      <c r="A7" t="s">
        <v>729</v>
      </c>
      <c r="B7" s="137" t="str">
        <f>COVER!I38</f>
        <v>EUGENE C. VARNADO</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Yes</v>
      </c>
    </row>
    <row r="13" spans="1:2" x14ac:dyDescent="0.2">
      <c r="A13" s="1" t="s">
        <v>1625</v>
      </c>
      <c r="B13" s="137" t="str">
        <f>IF(COVER!J30="x","Yes",IF(COVER!L30="x","No",0))</f>
        <v>Yes</v>
      </c>
    </row>
    <row r="14" spans="1:2" x14ac:dyDescent="0.2">
      <c r="A14" t="s">
        <v>497</v>
      </c>
      <c r="B14" s="137" t="str">
        <f>IF(COVER!J31="x","Yes",IF(COVER!L31="x","No",0))</f>
        <v>No</v>
      </c>
    </row>
    <row r="15" spans="1:2" x14ac:dyDescent="0.2">
      <c r="A15" t="s">
        <v>598</v>
      </c>
      <c r="B15" s="137" t="str">
        <f>COVER!T23</f>
        <v>060-003973</v>
      </c>
    </row>
    <row r="16" spans="1:2" x14ac:dyDescent="0.2">
      <c r="A16" t="s">
        <v>442</v>
      </c>
      <c r="B16" s="137" t="str">
        <f>COVER!T13</f>
        <v>EVANS, MARSHALL &amp; PEASE, P.C.</v>
      </c>
    </row>
    <row r="17" spans="1:2" x14ac:dyDescent="0.2">
      <c r="A17" t="s">
        <v>939</v>
      </c>
      <c r="B17" s="137" t="str">
        <f>COVER!T15</f>
        <v>JEFFERY M. ROLLEFSON, CPA</v>
      </c>
    </row>
    <row r="18" spans="1:2" x14ac:dyDescent="0.2">
      <c r="A18" t="s">
        <v>1212</v>
      </c>
      <c r="B18" s="137" t="str">
        <f>COVER!T17</f>
        <v>1875 HICKS ROAD</v>
      </c>
    </row>
    <row r="19" spans="1:2" x14ac:dyDescent="0.2">
      <c r="A19" t="s">
        <v>941</v>
      </c>
      <c r="B19" s="137" t="str">
        <f>COVER!T25</f>
        <v>JEFF@EMPCPA.COM</v>
      </c>
    </row>
    <row r="20" spans="1:2" x14ac:dyDescent="0.2">
      <c r="A20" t="s">
        <v>942</v>
      </c>
      <c r="B20" s="137" t="str">
        <f>COVER!T19</f>
        <v>ROLLING MEADOWS</v>
      </c>
    </row>
    <row r="21" spans="1:2" x14ac:dyDescent="0.2">
      <c r="A21" t="s">
        <v>500</v>
      </c>
      <c r="B21" s="137" t="str">
        <f>COVER!X19</f>
        <v>IL</v>
      </c>
    </row>
    <row r="22" spans="1:2" x14ac:dyDescent="0.2">
      <c r="A22" t="s">
        <v>943</v>
      </c>
      <c r="B22" s="137">
        <f>COVER!Z19</f>
        <v>60008</v>
      </c>
    </row>
    <row r="23" spans="1:2" x14ac:dyDescent="0.2">
      <c r="A23" t="s">
        <v>1214</v>
      </c>
      <c r="B23" s="137" t="str">
        <f>COVER!T21</f>
        <v>847-221-5700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34335</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1586857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20814</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20814</v>
      </c>
      <c r="C91" s="2" t="s">
        <v>594</v>
      </c>
      <c r="D91" s="2" t="str">
        <f t="shared" si="0"/>
        <v>Error?</v>
      </c>
    </row>
    <row r="92" spans="1:4" x14ac:dyDescent="0.2">
      <c r="A92" s="5">
        <v>31</v>
      </c>
      <c r="B92" s="137">
        <f>'Assets-Liab 5-6'!C39</f>
        <v>1566043</v>
      </c>
      <c r="D92" s="2" t="str">
        <f t="shared" si="0"/>
        <v>Error?</v>
      </c>
    </row>
    <row r="93" spans="1:4" x14ac:dyDescent="0.2">
      <c r="A93" s="5">
        <v>32</v>
      </c>
      <c r="B93" s="137">
        <f>'Assets-Liab 5-6'!C41</f>
        <v>1586857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308050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96</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96</v>
      </c>
      <c r="C122" s="2" t="s">
        <v>594</v>
      </c>
      <c r="D122" s="2" t="str">
        <f t="shared" si="0"/>
        <v>Error?</v>
      </c>
    </row>
    <row r="123" spans="1:4" x14ac:dyDescent="0.2">
      <c r="A123" s="5">
        <v>62</v>
      </c>
      <c r="B123" s="137">
        <f>'Assets-Liab 5-6'!D39</f>
        <v>307954</v>
      </c>
      <c r="D123" s="2" t="str">
        <f t="shared" si="0"/>
        <v>Error?</v>
      </c>
    </row>
    <row r="124" spans="1:4" x14ac:dyDescent="0.2">
      <c r="A124" s="5">
        <v>63</v>
      </c>
      <c r="B124" s="137">
        <f>'Assets-Liab 5-6'!D41</f>
        <v>308050</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277235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277235</v>
      </c>
      <c r="D170" s="2" t="str">
        <f t="shared" si="1"/>
        <v>Error?</v>
      </c>
    </row>
    <row r="171" spans="1:4" x14ac:dyDescent="0.2">
      <c r="A171" s="5">
        <v>110</v>
      </c>
      <c r="B171" s="137">
        <f>'Assets-Liab 5-6'!F41</f>
        <v>277235</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432087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432087</v>
      </c>
      <c r="D189" s="2" t="str">
        <f t="shared" si="1"/>
        <v>Error?</v>
      </c>
    </row>
    <row r="190" spans="1:4" x14ac:dyDescent="0.2">
      <c r="A190" s="5">
        <v>129</v>
      </c>
      <c r="B190" s="137">
        <f>'Assets-Liab 5-6'!G41</f>
        <v>432087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2822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2822</v>
      </c>
      <c r="D212" s="2" t="str">
        <f t="shared" si="2"/>
        <v>Error?</v>
      </c>
    </row>
    <row r="213" spans="1:4" x14ac:dyDescent="0.2">
      <c r="A213" s="12">
        <v>152</v>
      </c>
      <c r="B213" s="137">
        <f>'Assets-Liab 5-6'!H41</f>
        <v>2822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12072</v>
      </c>
      <c r="D273" s="2" t="str">
        <f t="shared" si="3"/>
        <v>Error?</v>
      </c>
    </row>
    <row r="274" spans="1:4" x14ac:dyDescent="0.2">
      <c r="A274" s="5">
        <v>213</v>
      </c>
      <c r="B274" s="137">
        <f>'Assets-Liab 5-6'!M17</f>
        <v>7668839</v>
      </c>
      <c r="D274" s="2" t="str">
        <f t="shared" si="3"/>
        <v>Error?</v>
      </c>
    </row>
    <row r="275" spans="1:4" x14ac:dyDescent="0.2">
      <c r="A275" s="5">
        <v>214</v>
      </c>
      <c r="B275" s="137">
        <f>'Assets-Liab 5-6'!M18</f>
        <v>628807</v>
      </c>
      <c r="D275" s="2" t="str">
        <f t="shared" si="3"/>
        <v>Error?</v>
      </c>
    </row>
    <row r="276" spans="1:4" x14ac:dyDescent="0.2">
      <c r="A276" s="5">
        <v>215</v>
      </c>
      <c r="B276" s="137">
        <f>'Assets-Liab 5-6'!M19</f>
        <v>852770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9162488</v>
      </c>
      <c r="C279" s="2" t="s">
        <v>594</v>
      </c>
      <c r="D279" s="2" t="str">
        <f t="shared" si="3"/>
        <v>Error?</v>
      </c>
    </row>
    <row r="280" spans="1:4" x14ac:dyDescent="0.2">
      <c r="A280" s="5">
        <v>219</v>
      </c>
      <c r="B280" s="137">
        <f>'Assets-Liab 5-6'!M40</f>
        <v>9162488</v>
      </c>
      <c r="D280" s="2" t="str">
        <f t="shared" si="3"/>
        <v>Error?</v>
      </c>
    </row>
    <row r="281" spans="1:4" x14ac:dyDescent="0.2">
      <c r="A281" s="5">
        <v>220</v>
      </c>
      <c r="B281" s="137">
        <f>'Assets-Liab 5-6'!M41</f>
        <v>9162488</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875000</v>
      </c>
      <c r="D283" s="2" t="str">
        <f t="shared" si="3"/>
        <v>Error?</v>
      </c>
    </row>
    <row r="284" spans="1:4" x14ac:dyDescent="0.2">
      <c r="A284" s="5">
        <v>223</v>
      </c>
      <c r="B284" s="137">
        <f>'Assets-Liab 5-6'!N23</f>
        <v>875000</v>
      </c>
      <c r="C284" s="2" t="s">
        <v>594</v>
      </c>
      <c r="D284" s="2" t="str">
        <f t="shared" si="3"/>
        <v>Error?</v>
      </c>
    </row>
    <row r="285" spans="1:4" x14ac:dyDescent="0.2">
      <c r="A285" s="5">
        <v>224</v>
      </c>
      <c r="B285" s="137">
        <f>'Assets-Liab 5-6'!N36</f>
        <v>875000</v>
      </c>
      <c r="D285" s="2" t="str">
        <f t="shared" si="3"/>
        <v>Error?</v>
      </c>
    </row>
    <row r="286" spans="1:4" x14ac:dyDescent="0.2">
      <c r="A286" s="10">
        <v>225</v>
      </c>
      <c r="D286" s="2" t="str">
        <f t="shared" si="3"/>
        <v>OK</v>
      </c>
    </row>
    <row r="287" spans="1:4" x14ac:dyDescent="0.2">
      <c r="A287" s="5">
        <v>226</v>
      </c>
      <c r="B287" s="137">
        <f>'Assets-Liab 5-6'!N37</f>
        <v>875000</v>
      </c>
      <c r="C287" s="2" t="s">
        <v>594</v>
      </c>
      <c r="D287" s="2" t="str">
        <f t="shared" si="3"/>
        <v>Error?</v>
      </c>
    </row>
    <row r="288" spans="1:4" x14ac:dyDescent="0.2">
      <c r="A288" s="5">
        <v>227</v>
      </c>
      <c r="B288" s="137">
        <f>'Assets-Liab 5-6'!N41</f>
        <v>875000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763755</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7562</v>
      </c>
      <c r="D718" s="2" t="str">
        <f t="shared" si="10"/>
        <v>Error?</v>
      </c>
    </row>
    <row r="719" spans="1:4" x14ac:dyDescent="0.2">
      <c r="A719" s="5">
        <v>658</v>
      </c>
      <c r="B719" s="137">
        <f>'Expenditures 15-22'!C15</f>
        <v>594</v>
      </c>
      <c r="D719" s="2" t="str">
        <f t="shared" si="10"/>
        <v>Error?</v>
      </c>
    </row>
    <row r="720" spans="1:4" x14ac:dyDescent="0.2">
      <c r="A720" s="5">
        <v>659</v>
      </c>
      <c r="B720" s="137">
        <f>'Expenditures 15-22'!C33</f>
        <v>1380865</v>
      </c>
      <c r="C720" s="2" t="s">
        <v>594</v>
      </c>
      <c r="D720" s="2" t="str">
        <f t="shared" si="10"/>
        <v>Error?</v>
      </c>
    </row>
    <row r="721" spans="1:4" x14ac:dyDescent="0.2">
      <c r="A721" s="5">
        <v>660</v>
      </c>
      <c r="B721" s="137">
        <f>'Expenditures 15-22'!C36</f>
        <v>77602</v>
      </c>
      <c r="D721" s="2" t="str">
        <f t="shared" si="10"/>
        <v>Error?</v>
      </c>
    </row>
    <row r="722" spans="1:4" x14ac:dyDescent="0.2">
      <c r="A722" s="5">
        <v>661</v>
      </c>
      <c r="B722" s="137">
        <f>'Expenditures 15-22'!C37</f>
        <v>43775</v>
      </c>
      <c r="D722" s="2" t="str">
        <f t="shared" si="10"/>
        <v>Error?</v>
      </c>
    </row>
    <row r="723" spans="1:4" x14ac:dyDescent="0.2">
      <c r="A723" s="5">
        <v>662</v>
      </c>
      <c r="B723" s="137">
        <f>'Expenditures 15-22'!C38</f>
        <v>59532</v>
      </c>
      <c r="D723" s="2" t="str">
        <f t="shared" si="10"/>
        <v>Error?</v>
      </c>
    </row>
    <row r="724" spans="1:4" x14ac:dyDescent="0.2">
      <c r="A724" s="5">
        <v>663</v>
      </c>
      <c r="B724" s="137">
        <f>'Expenditures 15-22'!C39</f>
        <v>0</v>
      </c>
      <c r="D724" s="2" t="str">
        <f t="shared" si="10"/>
        <v>Error?</v>
      </c>
    </row>
    <row r="725" spans="1:4" x14ac:dyDescent="0.2">
      <c r="A725" s="5">
        <v>664</v>
      </c>
      <c r="B725" s="137">
        <f>'Expenditures 15-22'!C40</f>
        <v>52993</v>
      </c>
      <c r="D725" s="2" t="str">
        <f t="shared" si="10"/>
        <v>Error?</v>
      </c>
    </row>
    <row r="726" spans="1:4" x14ac:dyDescent="0.2">
      <c r="A726" s="5">
        <v>665</v>
      </c>
      <c r="B726" s="137">
        <f>'Expenditures 15-22'!C41</f>
        <v>0</v>
      </c>
      <c r="D726" s="2" t="str">
        <f t="shared" si="10"/>
        <v>Error?</v>
      </c>
    </row>
    <row r="727" spans="1:4" x14ac:dyDescent="0.2">
      <c r="A727" s="5">
        <v>666</v>
      </c>
      <c r="B727" s="137">
        <f>'Expenditures 15-22'!C42</f>
        <v>233902</v>
      </c>
      <c r="C727" s="2" t="s">
        <v>594</v>
      </c>
      <c r="D727" s="2" t="str">
        <f t="shared" si="10"/>
        <v>Error?</v>
      </c>
    </row>
    <row r="728" spans="1:4" x14ac:dyDescent="0.2">
      <c r="A728" s="5">
        <v>667</v>
      </c>
      <c r="B728" s="137">
        <f>'Expenditures 15-22'!C44</f>
        <v>147771</v>
      </c>
      <c r="D728" s="2" t="str">
        <f t="shared" si="10"/>
        <v>Error?</v>
      </c>
    </row>
    <row r="729" spans="1:4" x14ac:dyDescent="0.2">
      <c r="A729" s="5">
        <v>668</v>
      </c>
      <c r="B729" s="137">
        <f>'Expenditures 15-22'!C45</f>
        <v>104710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252481</v>
      </c>
      <c r="C731" s="2" t="s">
        <v>594</v>
      </c>
      <c r="D731" s="2" t="str">
        <f t="shared" si="10"/>
        <v>Error?</v>
      </c>
    </row>
    <row r="732" spans="1:4" x14ac:dyDescent="0.2">
      <c r="A732" s="5">
        <v>671</v>
      </c>
      <c r="B732" s="137">
        <f>'Expenditures 15-22'!C49</f>
        <v>720</v>
      </c>
      <c r="D732" s="2" t="str">
        <f t="shared" si="10"/>
        <v>Error?</v>
      </c>
    </row>
    <row r="733" spans="1:4" x14ac:dyDescent="0.2">
      <c r="A733" s="5">
        <v>672</v>
      </c>
      <c r="B733" s="137">
        <f>'Expenditures 15-22'!C50</f>
        <v>212252</v>
      </c>
      <c r="D733" s="2" t="str">
        <f t="shared" si="10"/>
        <v>Error?</v>
      </c>
    </row>
    <row r="734" spans="1:4" x14ac:dyDescent="0.2">
      <c r="A734" s="5">
        <v>673</v>
      </c>
      <c r="B734" s="137">
        <f>'Expenditures 15-22'!C53</f>
        <v>226258</v>
      </c>
      <c r="C734" s="2" t="s">
        <v>594</v>
      </c>
      <c r="D734" s="2" t="str">
        <f t="shared" si="10"/>
        <v>Error?</v>
      </c>
    </row>
    <row r="735" spans="1:4" x14ac:dyDescent="0.2">
      <c r="A735" s="5">
        <v>674</v>
      </c>
      <c r="B735" s="137">
        <f>'Expenditures 15-22'!C55</f>
        <v>213568</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213568</v>
      </c>
      <c r="C737" s="2" t="s">
        <v>594</v>
      </c>
      <c r="D737" s="2" t="str">
        <f t="shared" si="10"/>
        <v>Error?</v>
      </c>
    </row>
    <row r="738" spans="1:4" x14ac:dyDescent="0.2">
      <c r="A738" s="5">
        <v>677</v>
      </c>
      <c r="B738" s="137">
        <f>'Expenditures 15-22'!C59</f>
        <v>54075</v>
      </c>
      <c r="D738" s="2" t="str">
        <f t="shared" si="10"/>
        <v>Error?</v>
      </c>
    </row>
    <row r="739" spans="1:4" x14ac:dyDescent="0.2">
      <c r="A739" s="5">
        <v>678</v>
      </c>
      <c r="B739" s="137">
        <f>'Expenditures 15-22'!C60</f>
        <v>76650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753</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131478</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13514</v>
      </c>
      <c r="D754" s="2" t="str">
        <f t="shared" si="10"/>
        <v>Error?</v>
      </c>
    </row>
    <row r="755" spans="1:4" x14ac:dyDescent="0.2">
      <c r="A755" s="5">
        <v>694</v>
      </c>
      <c r="B755" s="137">
        <f>'Expenditures 15-22'!C74</f>
        <v>1071201</v>
      </c>
      <c r="C755" s="2" t="s">
        <v>594</v>
      </c>
      <c r="D755" s="2" t="str">
        <f t="shared" si="10"/>
        <v>Error?</v>
      </c>
    </row>
    <row r="756" spans="1:4" x14ac:dyDescent="0.2">
      <c r="A756" s="5">
        <v>695</v>
      </c>
      <c r="B756" s="137">
        <f>'Expenditures 15-22'!C75</f>
        <v>31634</v>
      </c>
      <c r="D756" s="2" t="str">
        <f t="shared" si="10"/>
        <v>Error?</v>
      </c>
    </row>
    <row r="757" spans="1:4" x14ac:dyDescent="0.2">
      <c r="A757" s="5">
        <v>696</v>
      </c>
      <c r="B757" s="137">
        <f>'Expenditures 15-22'!C114</f>
        <v>2483700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74479</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157</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152897</v>
      </c>
      <c r="C778" s="2" t="s">
        <v>594</v>
      </c>
      <c r="D778" s="2" t="str">
        <f t="shared" si="11"/>
        <v>Error?</v>
      </c>
    </row>
    <row r="779" spans="1:4" x14ac:dyDescent="0.2">
      <c r="A779" s="5">
        <v>718</v>
      </c>
      <c r="B779" s="137">
        <f>'Expenditures 15-22'!D36</f>
        <v>7324</v>
      </c>
      <c r="D779" s="2" t="str">
        <f t="shared" si="11"/>
        <v>Error?</v>
      </c>
    </row>
    <row r="780" spans="1:4" x14ac:dyDescent="0.2">
      <c r="A780" s="5">
        <v>719</v>
      </c>
      <c r="B780" s="137">
        <f>'Expenditures 15-22'!D37</f>
        <v>6224</v>
      </c>
      <c r="D780" s="2" t="str">
        <f t="shared" si="11"/>
        <v>Error?</v>
      </c>
    </row>
    <row r="781" spans="1:4" x14ac:dyDescent="0.2">
      <c r="A781" s="5">
        <v>720</v>
      </c>
      <c r="B781" s="137">
        <f>'Expenditures 15-22'!D38</f>
        <v>904</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14452</v>
      </c>
      <c r="C785" s="2" t="s">
        <v>594</v>
      </c>
      <c r="D785" s="2" t="str">
        <f t="shared" si="11"/>
        <v>Error?</v>
      </c>
    </row>
    <row r="786" spans="1:4" x14ac:dyDescent="0.2">
      <c r="A786" s="5">
        <v>725</v>
      </c>
      <c r="B786" s="137">
        <f>'Expenditures 15-22'!D44</f>
        <v>30888</v>
      </c>
      <c r="D786" s="2" t="str">
        <f t="shared" si="11"/>
        <v>Error?</v>
      </c>
    </row>
    <row r="787" spans="1:4" x14ac:dyDescent="0.2">
      <c r="A787" s="5">
        <v>726</v>
      </c>
      <c r="B787" s="137">
        <f>'Expenditures 15-22'!D45</f>
        <v>28632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59520</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50600</v>
      </c>
      <c r="D791" s="2" t="str">
        <f t="shared" si="11"/>
        <v>Error?</v>
      </c>
    </row>
    <row r="792" spans="1:4" x14ac:dyDescent="0.2">
      <c r="A792" s="5">
        <v>731</v>
      </c>
      <c r="B792" s="137">
        <f>'Expenditures 15-22'!D53</f>
        <v>54924</v>
      </c>
      <c r="C792" s="2" t="s">
        <v>594</v>
      </c>
      <c r="D792" s="2" t="str">
        <f t="shared" si="11"/>
        <v>Error?</v>
      </c>
    </row>
    <row r="793" spans="1:4" x14ac:dyDescent="0.2">
      <c r="A793" s="5">
        <v>732</v>
      </c>
      <c r="B793" s="137">
        <f>'Expenditures 15-22'!D55</f>
        <v>52282</v>
      </c>
      <c r="D793" s="2" t="str">
        <f t="shared" si="11"/>
        <v>Error?</v>
      </c>
    </row>
    <row r="794" spans="1:4" x14ac:dyDescent="0.2">
      <c r="A794" s="5">
        <v>733</v>
      </c>
      <c r="B794" s="137">
        <f>'Expenditures 15-22'!D56</f>
        <v>0</v>
      </c>
      <c r="D794" s="2" t="str">
        <f t="shared" si="11"/>
        <v>Error?</v>
      </c>
    </row>
    <row r="795" spans="1:4" x14ac:dyDescent="0.2">
      <c r="A795" s="5">
        <v>734</v>
      </c>
      <c r="B795" s="137">
        <f>'Expenditures 15-22'!D57</f>
        <v>52282</v>
      </c>
      <c r="C795" s="2" t="s">
        <v>594</v>
      </c>
      <c r="D795" s="2" t="str">
        <f t="shared" si="11"/>
        <v>Error?</v>
      </c>
    </row>
    <row r="796" spans="1:4" x14ac:dyDescent="0.2">
      <c r="A796" s="5">
        <v>735</v>
      </c>
      <c r="B796" s="137">
        <f>'Expenditures 15-22'!D59</f>
        <v>6517</v>
      </c>
      <c r="D796" s="2" t="str">
        <f t="shared" si="11"/>
        <v>Error?</v>
      </c>
    </row>
    <row r="797" spans="1:4" x14ac:dyDescent="0.2">
      <c r="A797" s="5">
        <v>736</v>
      </c>
      <c r="B797" s="137">
        <f>'Expenditures 15-22'!D60</f>
        <v>5424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11941</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89548</v>
      </c>
      <c r="D812" s="2" t="str">
        <f t="shared" si="11"/>
        <v>Error?</v>
      </c>
    </row>
    <row r="813" spans="1:4" x14ac:dyDescent="0.2">
      <c r="A813" s="5">
        <v>752</v>
      </c>
      <c r="B813" s="137">
        <f>'Expenditures 15-22'!D74</f>
        <v>282667</v>
      </c>
      <c r="C813" s="2" t="s">
        <v>594</v>
      </c>
      <c r="D813" s="2" t="str">
        <f t="shared" si="11"/>
        <v>Error?</v>
      </c>
    </row>
    <row r="814" spans="1:4" x14ac:dyDescent="0.2">
      <c r="A814" s="5">
        <v>753</v>
      </c>
      <c r="B814" s="137">
        <f>'Expenditures 15-22'!D75</f>
        <v>48</v>
      </c>
      <c r="D814" s="2" t="str">
        <f t="shared" si="11"/>
        <v>Error?</v>
      </c>
    </row>
    <row r="815" spans="1:4" x14ac:dyDescent="0.2">
      <c r="A815" s="5">
        <v>754</v>
      </c>
      <c r="B815" s="137">
        <f>'Expenditures 15-22'!D114</f>
        <v>435612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15382</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1120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46474</v>
      </c>
      <c r="C836" s="2" t="s">
        <v>594</v>
      </c>
      <c r="D836" s="2" t="str">
        <f t="shared" si="12"/>
        <v>Error?</v>
      </c>
    </row>
    <row r="837" spans="1:4" x14ac:dyDescent="0.2">
      <c r="A837" s="5">
        <v>776</v>
      </c>
      <c r="B837" s="137">
        <f>'Expenditures 15-22'!E36</f>
        <v>783</v>
      </c>
      <c r="D837" s="2" t="str">
        <f t="shared" si="12"/>
        <v>Error?</v>
      </c>
    </row>
    <row r="838" spans="1:4" x14ac:dyDescent="0.2">
      <c r="A838" s="5">
        <v>777</v>
      </c>
      <c r="B838" s="137">
        <f>'Expenditures 15-22'!E37</f>
        <v>0</v>
      </c>
      <c r="D838" s="2" t="str">
        <f t="shared" si="12"/>
        <v>Error?</v>
      </c>
    </row>
    <row r="839" spans="1:4" x14ac:dyDescent="0.2">
      <c r="A839" s="5">
        <v>778</v>
      </c>
      <c r="B839" s="137">
        <f>'Expenditures 15-22'!E38</f>
        <v>7616</v>
      </c>
      <c r="D839" s="2" t="str">
        <f t="shared" si="12"/>
        <v>Error?</v>
      </c>
    </row>
    <row r="840" spans="1:4" x14ac:dyDescent="0.2">
      <c r="A840" s="5">
        <v>779</v>
      </c>
      <c r="B840" s="137">
        <f>'Expenditures 15-22'!E39</f>
        <v>6956</v>
      </c>
      <c r="D840" s="2" t="str">
        <f t="shared" si="12"/>
        <v>Error?</v>
      </c>
    </row>
    <row r="841" spans="1:4" x14ac:dyDescent="0.2">
      <c r="A841" s="5">
        <v>780</v>
      </c>
      <c r="B841" s="137">
        <f>'Expenditures 15-22'!E40</f>
        <v>0</v>
      </c>
      <c r="D841" s="2" t="str">
        <f t="shared" si="12"/>
        <v>Error?</v>
      </c>
    </row>
    <row r="842" spans="1:4" x14ac:dyDescent="0.2">
      <c r="A842" s="5">
        <v>781</v>
      </c>
      <c r="B842" s="137">
        <f>'Expenditures 15-22'!E41</f>
        <v>3122</v>
      </c>
      <c r="D842" s="2" t="str">
        <f t="shared" si="12"/>
        <v>Error?</v>
      </c>
    </row>
    <row r="843" spans="1:4" x14ac:dyDescent="0.2">
      <c r="A843" s="5">
        <v>782</v>
      </c>
      <c r="B843" s="137">
        <f>'Expenditures 15-22'!E42</f>
        <v>18477</v>
      </c>
      <c r="C843" s="2" t="s">
        <v>594</v>
      </c>
      <c r="D843" s="2" t="str">
        <f t="shared" si="12"/>
        <v>Error?</v>
      </c>
    </row>
    <row r="844" spans="1:4" x14ac:dyDescent="0.2">
      <c r="A844" s="5">
        <v>783</v>
      </c>
      <c r="B844" s="137">
        <f>'Expenditures 15-22'!E44</f>
        <v>47074</v>
      </c>
      <c r="D844" s="2" t="str">
        <f t="shared" si="12"/>
        <v>Error?</v>
      </c>
    </row>
    <row r="845" spans="1:4" x14ac:dyDescent="0.2">
      <c r="A845" s="5">
        <v>784</v>
      </c>
      <c r="B845" s="137">
        <f>'Expenditures 15-22'!E45</f>
        <v>8902</v>
      </c>
      <c r="D845" s="2" t="str">
        <f t="shared" si="12"/>
        <v>Error?</v>
      </c>
    </row>
    <row r="846" spans="1:4" x14ac:dyDescent="0.2">
      <c r="A846" s="5">
        <v>785</v>
      </c>
      <c r="B846" s="137">
        <f>'Expenditures 15-22'!E46</f>
        <v>0</v>
      </c>
      <c r="D846" s="2" t="str">
        <f t="shared" si="12"/>
        <v>Error?</v>
      </c>
    </row>
    <row r="847" spans="1:4" x14ac:dyDescent="0.2">
      <c r="A847" s="5">
        <v>786</v>
      </c>
      <c r="B847" s="137">
        <f>'Expenditures 15-22'!E47</f>
        <v>55976</v>
      </c>
      <c r="C847" s="2" t="s">
        <v>594</v>
      </c>
      <c r="D847" s="2" t="str">
        <f t="shared" si="12"/>
        <v>Error?</v>
      </c>
    </row>
    <row r="848" spans="1:4" x14ac:dyDescent="0.2">
      <c r="A848" s="5">
        <v>787</v>
      </c>
      <c r="B848" s="137">
        <f>'Expenditures 15-22'!E49</f>
        <v>72833</v>
      </c>
      <c r="D848" s="2" t="str">
        <f t="shared" si="12"/>
        <v>Error?</v>
      </c>
    </row>
    <row r="849" spans="1:4" x14ac:dyDescent="0.2">
      <c r="A849" s="5">
        <v>788</v>
      </c>
      <c r="B849" s="137">
        <f>'Expenditures 15-22'!E50</f>
        <v>2792</v>
      </c>
      <c r="D849" s="2" t="str">
        <f t="shared" si="12"/>
        <v>Error?</v>
      </c>
    </row>
    <row r="850" spans="1:4" x14ac:dyDescent="0.2">
      <c r="A850" s="5">
        <v>789</v>
      </c>
      <c r="B850" s="137">
        <f>'Expenditures 15-22'!E53</f>
        <v>75625</v>
      </c>
      <c r="C850" s="2" t="s">
        <v>594</v>
      </c>
      <c r="D850" s="2" t="str">
        <f t="shared" si="12"/>
        <v>Error?</v>
      </c>
    </row>
    <row r="851" spans="1:4" x14ac:dyDescent="0.2">
      <c r="A851" s="5">
        <v>790</v>
      </c>
      <c r="B851" s="137">
        <f>'Expenditures 15-22'!E55</f>
        <v>843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843</v>
      </c>
      <c r="C853" s="2" t="s">
        <v>594</v>
      </c>
      <c r="D853" s="2" t="str">
        <f t="shared" si="12"/>
        <v>Error?</v>
      </c>
    </row>
    <row r="854" spans="1:4" x14ac:dyDescent="0.2">
      <c r="A854" s="5">
        <v>793</v>
      </c>
      <c r="B854" s="137">
        <f>'Expenditures 15-22'!E59</f>
        <v>3671</v>
      </c>
      <c r="D854" s="2" t="str">
        <f t="shared" si="12"/>
        <v>Error?</v>
      </c>
    </row>
    <row r="855" spans="1:4" x14ac:dyDescent="0.2">
      <c r="A855" s="5">
        <v>794</v>
      </c>
      <c r="B855" s="137">
        <f>'Expenditures 15-22'!E60</f>
        <v>54005</v>
      </c>
      <c r="D855" s="2" t="str">
        <f t="shared" si="12"/>
        <v>Error?</v>
      </c>
    </row>
    <row r="856" spans="1:4" x14ac:dyDescent="0.2">
      <c r="A856" s="5">
        <v>795</v>
      </c>
      <c r="B856" s="137">
        <f>'Expenditures 15-22'!E61</f>
        <v>0</v>
      </c>
      <c r="D856" s="2" t="str">
        <f t="shared" si="12"/>
        <v>Error?</v>
      </c>
    </row>
    <row r="857" spans="1:4" x14ac:dyDescent="0.2">
      <c r="A857" s="5">
        <v>796</v>
      </c>
      <c r="B857" s="137">
        <f>'Expenditures 15-22'!E62</f>
        <v>2210</v>
      </c>
      <c r="D857" s="2" t="str">
        <f t="shared" si="12"/>
        <v>Error?</v>
      </c>
    </row>
    <row r="858" spans="1:4" x14ac:dyDescent="0.2">
      <c r="A858" s="5">
        <v>797</v>
      </c>
      <c r="B858" s="137">
        <f>'Expenditures 15-22'!E63</f>
        <v>147409</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207295</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14222</v>
      </c>
      <c r="D864" s="2" t="str">
        <f t="shared" si="12"/>
        <v>Error?</v>
      </c>
    </row>
    <row r="865" spans="1:4" x14ac:dyDescent="0.2">
      <c r="A865" s="5">
        <v>804</v>
      </c>
      <c r="B865" s="137">
        <f>'Expenditures 15-22'!E70</f>
        <v>785</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15007</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373223</v>
      </c>
      <c r="C871" s="2" t="s">
        <v>594</v>
      </c>
      <c r="D871" s="2" t="str">
        <f t="shared" si="12"/>
        <v>Error?</v>
      </c>
    </row>
    <row r="872" spans="1:4" x14ac:dyDescent="0.2">
      <c r="A872" s="5">
        <v>811</v>
      </c>
      <c r="B872" s="137">
        <f>'Expenditures 15-22'!E75</f>
        <v>535</v>
      </c>
      <c r="D872" s="2" t="str">
        <f t="shared" si="12"/>
        <v>Error?</v>
      </c>
    </row>
    <row r="873" spans="1:4" x14ac:dyDescent="0.2">
      <c r="A873" s="5">
        <v>812</v>
      </c>
      <c r="B873" s="137">
        <f>'Expenditures 15-22'!E114</f>
        <v>420232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88786</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484</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129350</v>
      </c>
      <c r="C894" s="2" t="s">
        <v>594</v>
      </c>
      <c r="D894" s="2" t="str">
        <f t="shared" si="12"/>
        <v>Error?</v>
      </c>
    </row>
    <row r="895" spans="1:4" x14ac:dyDescent="0.2">
      <c r="A895" s="5">
        <v>834</v>
      </c>
      <c r="B895" s="137">
        <f>'Expenditures 15-22'!F36</f>
        <v>1935</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5974</v>
      </c>
      <c r="D897" s="2" t="str">
        <f t="shared" si="13"/>
        <v>Error?</v>
      </c>
    </row>
    <row r="898" spans="1:4" x14ac:dyDescent="0.2">
      <c r="A898" s="5">
        <v>837</v>
      </c>
      <c r="B898" s="137">
        <f>'Expenditures 15-22'!F39</f>
        <v>0</v>
      </c>
      <c r="D898" s="2" t="str">
        <f t="shared" si="13"/>
        <v>Error?</v>
      </c>
    </row>
    <row r="899" spans="1:4" x14ac:dyDescent="0.2">
      <c r="A899" s="5">
        <v>838</v>
      </c>
      <c r="B899" s="137">
        <f>'Expenditures 15-22'!F40</f>
        <v>541</v>
      </c>
      <c r="D899" s="2" t="str">
        <f t="shared" si="13"/>
        <v>Error?</v>
      </c>
    </row>
    <row r="900" spans="1:4" x14ac:dyDescent="0.2">
      <c r="A900" s="5">
        <v>839</v>
      </c>
      <c r="B900" s="137">
        <f>'Expenditures 15-22'!F41</f>
        <v>0</v>
      </c>
      <c r="D900" s="2" t="str">
        <f t="shared" si="13"/>
        <v>Error?</v>
      </c>
    </row>
    <row r="901" spans="1:4" x14ac:dyDescent="0.2">
      <c r="A901" s="5">
        <v>840</v>
      </c>
      <c r="B901" s="137">
        <f>'Expenditures 15-22'!F42</f>
        <v>8450</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43629</v>
      </c>
      <c r="D903" s="2" t="str">
        <f t="shared" si="13"/>
        <v>Error?</v>
      </c>
    </row>
    <row r="904" spans="1:4" x14ac:dyDescent="0.2">
      <c r="A904" s="5">
        <v>843</v>
      </c>
      <c r="B904" s="137">
        <f>'Expenditures 15-22'!F46</f>
        <v>0</v>
      </c>
      <c r="D904" s="2" t="str">
        <f t="shared" si="13"/>
        <v>Error?</v>
      </c>
    </row>
    <row r="905" spans="1:4" x14ac:dyDescent="0.2">
      <c r="A905" s="5">
        <v>844</v>
      </c>
      <c r="B905" s="137">
        <f>'Expenditures 15-22'!F47</f>
        <v>43629</v>
      </c>
      <c r="C905" s="2" t="s">
        <v>594</v>
      </c>
      <c r="D905" s="2" t="str">
        <f t="shared" si="13"/>
        <v>Error?</v>
      </c>
    </row>
    <row r="906" spans="1:4" x14ac:dyDescent="0.2">
      <c r="A906" s="5">
        <v>845</v>
      </c>
      <c r="B906" s="137">
        <f>'Expenditures 15-22'!F49</f>
        <v>3679</v>
      </c>
      <c r="D906" s="2" t="str">
        <f t="shared" si="13"/>
        <v>Error?</v>
      </c>
    </row>
    <row r="907" spans="1:4" x14ac:dyDescent="0.2">
      <c r="A907" s="5">
        <v>846</v>
      </c>
      <c r="B907" s="137">
        <f>'Expenditures 15-22'!F50</f>
        <v>9002</v>
      </c>
      <c r="D907" s="2" t="str">
        <f t="shared" si="13"/>
        <v>Error?</v>
      </c>
    </row>
    <row r="908" spans="1:4" x14ac:dyDescent="0.2">
      <c r="A908" s="5">
        <v>847</v>
      </c>
      <c r="B908" s="137">
        <f>'Expenditures 15-22'!F53</f>
        <v>12681</v>
      </c>
      <c r="C908" s="2" t="s">
        <v>594</v>
      </c>
      <c r="D908" s="2" t="str">
        <f t="shared" si="13"/>
        <v>Error?</v>
      </c>
    </row>
    <row r="909" spans="1:4" x14ac:dyDescent="0.2">
      <c r="A909" s="5">
        <v>848</v>
      </c>
      <c r="B909" s="137">
        <f>'Expenditures 15-22'!F55</f>
        <v>8098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8098</v>
      </c>
      <c r="C911" s="2" t="s">
        <v>594</v>
      </c>
      <c r="D911" s="2" t="str">
        <f t="shared" si="13"/>
        <v>Error?</v>
      </c>
    </row>
    <row r="912" spans="1:4" x14ac:dyDescent="0.2">
      <c r="A912" s="5">
        <v>851</v>
      </c>
      <c r="B912" s="137">
        <f>'Expenditures 15-22'!F59</f>
        <v>1352</v>
      </c>
      <c r="D912" s="2" t="str">
        <f t="shared" si="13"/>
        <v>Error?</v>
      </c>
    </row>
    <row r="913" spans="1:4" x14ac:dyDescent="0.2">
      <c r="A913" s="5">
        <v>852</v>
      </c>
      <c r="B913" s="137">
        <f>'Expenditures 15-22'!F60</f>
        <v>560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16669</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18581</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155</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155</v>
      </c>
      <c r="C927" s="2" t="s">
        <v>594</v>
      </c>
      <c r="D927" s="2" t="str">
        <f t="shared" si="13"/>
        <v>Error?</v>
      </c>
    </row>
    <row r="928" spans="1:4" x14ac:dyDescent="0.2">
      <c r="A928" s="5">
        <v>867</v>
      </c>
      <c r="B928" s="137">
        <f>'Expenditures 15-22'!F73</f>
        <v>448</v>
      </c>
      <c r="D928" s="2" t="str">
        <f t="shared" si="13"/>
        <v>Error?</v>
      </c>
    </row>
    <row r="929" spans="1:4" x14ac:dyDescent="0.2">
      <c r="A929" s="5">
        <v>868</v>
      </c>
      <c r="B929" s="137">
        <f>'Expenditures 15-22'!F74</f>
        <v>92042</v>
      </c>
      <c r="C929" s="2" t="s">
        <v>594</v>
      </c>
      <c r="D929" s="2" t="str">
        <f t="shared" si="13"/>
        <v>Error?</v>
      </c>
    </row>
    <row r="930" spans="1:4" x14ac:dyDescent="0.2">
      <c r="A930" s="5">
        <v>869</v>
      </c>
      <c r="B930" s="137">
        <f>'Expenditures 15-22'!F75</f>
        <v>4913</v>
      </c>
      <c r="D930" s="2" t="str">
        <f t="shared" si="13"/>
        <v>Error?</v>
      </c>
    </row>
    <row r="931" spans="1:4" x14ac:dyDescent="0.2">
      <c r="A931" s="5">
        <v>870</v>
      </c>
      <c r="B931" s="137">
        <f>'Expenditures 15-22'!F114</f>
        <v>226305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460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460</v>
      </c>
      <c r="C1010" s="2" t="s">
        <v>594</v>
      </c>
      <c r="D1010" s="2" t="str">
        <f t="shared" si="14"/>
        <v>Error?</v>
      </c>
    </row>
    <row r="1011" spans="1:4" x14ac:dyDescent="0.2">
      <c r="A1011" s="5">
        <v>950</v>
      </c>
      <c r="B1011" s="137">
        <f>'Expenditures 15-22'!H36</f>
        <v>120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161</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281</v>
      </c>
      <c r="C1017" s="2" t="s">
        <v>594</v>
      </c>
      <c r="D1017" s="2" t="str">
        <f t="shared" si="14"/>
        <v>Error?</v>
      </c>
    </row>
    <row r="1018" spans="1:4" x14ac:dyDescent="0.2">
      <c r="A1018" s="5">
        <v>957</v>
      </c>
      <c r="B1018" s="137">
        <f>'Expenditures 15-22'!H44</f>
        <v>59</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59</v>
      </c>
      <c r="C1021" s="2" t="s">
        <v>594</v>
      </c>
      <c r="D1021" s="2" t="str">
        <f t="shared" si="14"/>
        <v>Error?</v>
      </c>
    </row>
    <row r="1022" spans="1:4" x14ac:dyDescent="0.2">
      <c r="A1022" s="5">
        <v>961</v>
      </c>
      <c r="B1022" s="137">
        <f>'Expenditures 15-22'!H49</f>
        <v>3521</v>
      </c>
      <c r="D1022" s="2" t="str">
        <f t="shared" si="14"/>
        <v>Error?</v>
      </c>
    </row>
    <row r="1023" spans="1:4" x14ac:dyDescent="0.2">
      <c r="A1023" s="5">
        <v>962</v>
      </c>
      <c r="B1023" s="137">
        <f>'Expenditures 15-22'!H50</f>
        <v>4004</v>
      </c>
      <c r="D1023" s="2" t="str">
        <f t="shared" ref="D1023:D1086" si="15">IF(ISBLANK(B1023),"OK",IF(A1023-B1023=0,"OK","Error?"))</f>
        <v>Error?</v>
      </c>
    </row>
    <row r="1024" spans="1:4" x14ac:dyDescent="0.2">
      <c r="A1024" s="5">
        <v>963</v>
      </c>
      <c r="B1024" s="137">
        <f>'Expenditures 15-22'!H53</f>
        <v>7525</v>
      </c>
      <c r="C1024" s="2" t="s">
        <v>594</v>
      </c>
      <c r="D1024" s="2" t="str">
        <f t="shared" si="15"/>
        <v>Error?</v>
      </c>
    </row>
    <row r="1025" spans="1:4" x14ac:dyDescent="0.2">
      <c r="A1025" s="5">
        <v>964</v>
      </c>
      <c r="B1025" s="137">
        <f>'Expenditures 15-22'!H55</f>
        <v>369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369</v>
      </c>
      <c r="C1027" s="2" t="s">
        <v>594</v>
      </c>
      <c r="D1027" s="2" t="str">
        <f t="shared" si="15"/>
        <v>Error?</v>
      </c>
    </row>
    <row r="1028" spans="1:4" x14ac:dyDescent="0.2">
      <c r="A1028" s="5">
        <v>967</v>
      </c>
      <c r="B1028" s="137">
        <f>'Expenditures 15-22'!H59</f>
        <v>340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340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8574</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210387</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219421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950055</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9323</v>
      </c>
      <c r="C1106" s="2" t="s">
        <v>594</v>
      </c>
      <c r="D1106" s="2" t="str">
        <f t="shared" si="16"/>
        <v>Error?</v>
      </c>
    </row>
    <row r="1107" spans="1:4" x14ac:dyDescent="0.2">
      <c r="A1107" s="5">
        <v>1046</v>
      </c>
      <c r="B1107" s="137">
        <f>'Expenditures 15-22'!K15</f>
        <v>594</v>
      </c>
      <c r="C1107" s="2" t="s">
        <v>594</v>
      </c>
      <c r="D1107" s="2" t="str">
        <f t="shared" si="16"/>
        <v>Error?</v>
      </c>
    </row>
    <row r="1108" spans="1:4" x14ac:dyDescent="0.2">
      <c r="A1108" s="5">
        <v>1047</v>
      </c>
      <c r="B1108" s="137">
        <f>'Expenditures 15-22'!K33</f>
        <v>1723060</v>
      </c>
      <c r="C1108" s="2" t="s">
        <v>594</v>
      </c>
      <c r="D1108" s="2" t="str">
        <f t="shared" si="16"/>
        <v>Error?</v>
      </c>
    </row>
    <row r="1109" spans="1:4" x14ac:dyDescent="0.2">
      <c r="A1109" s="5">
        <v>1048</v>
      </c>
      <c r="B1109" s="137">
        <f>'Expenditures 15-22'!K36</f>
        <v>87764</v>
      </c>
      <c r="C1109" s="2" t="s">
        <v>594</v>
      </c>
      <c r="D1109" s="2" t="str">
        <f t="shared" si="16"/>
        <v>Error?</v>
      </c>
    </row>
    <row r="1110" spans="1:4" x14ac:dyDescent="0.2">
      <c r="A1110" s="5">
        <v>1049</v>
      </c>
      <c r="B1110" s="137">
        <f>'Expenditures 15-22'!K37</f>
        <v>49999</v>
      </c>
      <c r="C1110" s="2" t="s">
        <v>594</v>
      </c>
      <c r="D1110" s="2" t="str">
        <f t="shared" si="16"/>
        <v>Error?</v>
      </c>
    </row>
    <row r="1111" spans="1:4" x14ac:dyDescent="0.2">
      <c r="A1111" s="5">
        <v>1050</v>
      </c>
      <c r="B1111" s="137">
        <f>'Expenditures 15-22'!K38</f>
        <v>74187</v>
      </c>
      <c r="C1111" s="2" t="s">
        <v>594</v>
      </c>
      <c r="D1111" s="2" t="str">
        <f t="shared" si="16"/>
        <v>Error?</v>
      </c>
    </row>
    <row r="1112" spans="1:4" x14ac:dyDescent="0.2">
      <c r="A1112" s="5">
        <v>1051</v>
      </c>
      <c r="B1112" s="137">
        <f>'Expenditures 15-22'!K39</f>
        <v>6956</v>
      </c>
      <c r="C1112" s="2" t="s">
        <v>594</v>
      </c>
      <c r="D1112" s="2" t="str">
        <f t="shared" si="16"/>
        <v>Error?</v>
      </c>
    </row>
    <row r="1113" spans="1:4" x14ac:dyDescent="0.2">
      <c r="A1113" s="5">
        <v>1052</v>
      </c>
      <c r="B1113" s="137">
        <f>'Expenditures 15-22'!K40</f>
        <v>53534</v>
      </c>
      <c r="C1113" s="2" t="s">
        <v>594</v>
      </c>
      <c r="D1113" s="2" t="str">
        <f t="shared" si="16"/>
        <v>Error?</v>
      </c>
    </row>
    <row r="1114" spans="1:4" x14ac:dyDescent="0.2">
      <c r="A1114" s="5">
        <v>1053</v>
      </c>
      <c r="B1114" s="137">
        <f>'Expenditures 15-22'!K41</f>
        <v>3122</v>
      </c>
      <c r="C1114" s="2" t="s">
        <v>594</v>
      </c>
      <c r="D1114" s="2" t="str">
        <f t="shared" si="16"/>
        <v>Error?</v>
      </c>
    </row>
    <row r="1115" spans="1:4" x14ac:dyDescent="0.2">
      <c r="A1115" s="5">
        <v>1054</v>
      </c>
      <c r="B1115" s="137">
        <f>'Expenditures 15-22'!K42</f>
        <v>275562</v>
      </c>
      <c r="C1115" s="2" t="s">
        <v>594</v>
      </c>
      <c r="D1115" s="2" t="str">
        <f t="shared" si="16"/>
        <v>Error?</v>
      </c>
    </row>
    <row r="1116" spans="1:4" x14ac:dyDescent="0.2">
      <c r="A1116" s="5">
        <v>1055</v>
      </c>
      <c r="B1116" s="137">
        <f>'Expenditures 15-22'!K44</f>
        <v>226464</v>
      </c>
      <c r="C1116" s="2" t="s">
        <v>594</v>
      </c>
      <c r="D1116" s="2" t="str">
        <f t="shared" si="16"/>
        <v>Error?</v>
      </c>
    </row>
    <row r="1117" spans="1:4" x14ac:dyDescent="0.2">
      <c r="A1117" s="5">
        <v>1056</v>
      </c>
      <c r="B1117" s="137">
        <f>'Expenditures 15-22'!K45</f>
        <v>264637</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491101</v>
      </c>
      <c r="C1119" s="2" t="s">
        <v>594</v>
      </c>
      <c r="D1119" s="2" t="str">
        <f t="shared" si="16"/>
        <v>Error?</v>
      </c>
    </row>
    <row r="1120" spans="1:4" x14ac:dyDescent="0.2">
      <c r="A1120" s="5">
        <v>1059</v>
      </c>
      <c r="B1120" s="137">
        <f>'Expenditures 15-22'!K49</f>
        <v>80753</v>
      </c>
      <c r="C1120" s="2" t="s">
        <v>594</v>
      </c>
      <c r="D1120" s="2" t="str">
        <f t="shared" si="16"/>
        <v>Error?</v>
      </c>
    </row>
    <row r="1121" spans="1:4" x14ac:dyDescent="0.2">
      <c r="A1121" s="5">
        <v>1060</v>
      </c>
      <c r="B1121" s="137">
        <f>'Expenditures 15-22'!K50</f>
        <v>279322</v>
      </c>
      <c r="C1121" s="2" t="s">
        <v>594</v>
      </c>
      <c r="D1121" s="2" t="str">
        <f t="shared" si="16"/>
        <v>Error?</v>
      </c>
    </row>
    <row r="1122" spans="1:4" x14ac:dyDescent="0.2">
      <c r="A1122" s="5">
        <v>1061</v>
      </c>
      <c r="B1122" s="137">
        <f>'Expenditures 15-22'!K53</f>
        <v>377685</v>
      </c>
      <c r="C1122" s="2" t="s">
        <v>594</v>
      </c>
      <c r="D1122" s="2" t="str">
        <f t="shared" si="16"/>
        <v>Error?</v>
      </c>
    </row>
    <row r="1123" spans="1:4" x14ac:dyDescent="0.2">
      <c r="A1123" s="5">
        <v>1062</v>
      </c>
      <c r="B1123" s="137">
        <f>'Expenditures 15-22'!K55</f>
        <v>279656</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279656</v>
      </c>
      <c r="C1125" s="2" t="s">
        <v>594</v>
      </c>
      <c r="D1125" s="2" t="str">
        <f t="shared" si="16"/>
        <v>Error?</v>
      </c>
    </row>
    <row r="1126" spans="1:4" x14ac:dyDescent="0.2">
      <c r="A1126" s="5">
        <v>1065</v>
      </c>
      <c r="B1126" s="137">
        <f>'Expenditures 15-22'!K59</f>
        <v>65955</v>
      </c>
      <c r="C1126" s="2" t="s">
        <v>594</v>
      </c>
      <c r="D1126" s="2" t="str">
        <f t="shared" si="16"/>
        <v>Error?</v>
      </c>
    </row>
    <row r="1127" spans="1:4" x14ac:dyDescent="0.2">
      <c r="A1127" s="5">
        <v>1066</v>
      </c>
      <c r="B1127" s="137">
        <f>'Expenditures 15-22'!K60</f>
        <v>141135</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2210</v>
      </c>
      <c r="C1129" s="2" t="s">
        <v>594</v>
      </c>
      <c r="D1129" s="2" t="str">
        <f t="shared" si="16"/>
        <v>Error?</v>
      </c>
    </row>
    <row r="1130" spans="1:4" x14ac:dyDescent="0.2">
      <c r="A1130" s="5">
        <v>1069</v>
      </c>
      <c r="B1130" s="137">
        <f>'Expenditures 15-22'!K63</f>
        <v>164831</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374131</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14377</v>
      </c>
      <c r="C1136" s="2" t="s">
        <v>594</v>
      </c>
      <c r="D1136" s="2" t="str">
        <f t="shared" si="16"/>
        <v>Error?</v>
      </c>
    </row>
    <row r="1137" spans="1:4" x14ac:dyDescent="0.2">
      <c r="A1137" s="5">
        <v>1076</v>
      </c>
      <c r="B1137" s="137">
        <f>'Expenditures 15-22'!K70</f>
        <v>785</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15162</v>
      </c>
      <c r="C1141" s="2" t="s">
        <v>594</v>
      </c>
      <c r="D1141" s="2" t="str">
        <f t="shared" si="16"/>
        <v>Error?</v>
      </c>
    </row>
    <row r="1142" spans="1:4" x14ac:dyDescent="0.2">
      <c r="A1142" s="5">
        <v>1081</v>
      </c>
      <c r="B1142" s="137">
        <f>'Expenditures 15-22'!K73</f>
        <v>103510</v>
      </c>
      <c r="C1142" s="2" t="s">
        <v>594</v>
      </c>
      <c r="D1142" s="2" t="str">
        <f t="shared" si="16"/>
        <v>Error?</v>
      </c>
    </row>
    <row r="1143" spans="1:4" x14ac:dyDescent="0.2">
      <c r="A1143" s="5">
        <v>1082</v>
      </c>
      <c r="B1143" s="137">
        <f>'Expenditures 15-22'!K74</f>
        <v>1916807</v>
      </c>
      <c r="C1143" s="2" t="s">
        <v>594</v>
      </c>
      <c r="D1143" s="2" t="str">
        <f t="shared" si="16"/>
        <v>Error?</v>
      </c>
    </row>
    <row r="1144" spans="1:4" x14ac:dyDescent="0.2">
      <c r="A1144" s="5">
        <v>1083</v>
      </c>
      <c r="B1144" s="137">
        <f>'Expenditures 15-22'!K75</f>
        <v>37130</v>
      </c>
      <c r="C1144" s="2" t="s">
        <v>594</v>
      </c>
      <c r="D1144" s="2" t="str">
        <f t="shared" si="16"/>
        <v>Error?</v>
      </c>
    </row>
    <row r="1145" spans="1:4" x14ac:dyDescent="0.2">
      <c r="A1145" s="5">
        <v>1084</v>
      </c>
      <c r="B1145" s="137">
        <f>'Expenditures 15-22'!K102</f>
        <v>210387</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3887384</v>
      </c>
      <c r="C1152" s="2" t="s">
        <v>594</v>
      </c>
      <c r="D1152" s="2" t="str">
        <f t="shared" si="17"/>
        <v>Error?</v>
      </c>
    </row>
    <row r="1153" spans="1:4" x14ac:dyDescent="0.2">
      <c r="A1153" s="5">
        <v>1092</v>
      </c>
      <c r="B1153" s="137">
        <f>'Expenditures 15-22'!K115</f>
        <v>326086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210154</v>
      </c>
      <c r="D1221" s="2" t="str">
        <f t="shared" si="18"/>
        <v>Error?</v>
      </c>
    </row>
    <row r="1222" spans="1:4" x14ac:dyDescent="0.2">
      <c r="A1222" s="10">
        <v>1161</v>
      </c>
      <c r="D1222" s="2" t="str">
        <f t="shared" si="18"/>
        <v>OK</v>
      </c>
    </row>
    <row r="1223" spans="1:4" x14ac:dyDescent="0.2">
      <c r="A1223" s="5">
        <v>1162</v>
      </c>
      <c r="B1223" s="137">
        <f>'Expenditures 15-22'!C127</f>
        <v>210154</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210154</v>
      </c>
      <c r="C1225" s="2" t="s">
        <v>594</v>
      </c>
      <c r="D1225" s="2" t="str">
        <f t="shared" si="18"/>
        <v>Error?</v>
      </c>
    </row>
    <row r="1226" spans="1:4" x14ac:dyDescent="0.2">
      <c r="A1226" s="5">
        <v>1165</v>
      </c>
      <c r="B1226" s="137">
        <f>'Expenditures 15-22'!C151</f>
        <v>210154</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35343</v>
      </c>
      <c r="D1229" s="2" t="str">
        <f t="shared" si="18"/>
        <v>Error?</v>
      </c>
    </row>
    <row r="1230" spans="1:4" x14ac:dyDescent="0.2">
      <c r="A1230" s="10">
        <v>1169</v>
      </c>
      <c r="D1230" s="2" t="str">
        <f t="shared" si="18"/>
        <v>OK</v>
      </c>
    </row>
    <row r="1231" spans="1:4" x14ac:dyDescent="0.2">
      <c r="A1231" s="5">
        <v>1170</v>
      </c>
      <c r="B1231" s="137">
        <f>'Expenditures 15-22'!D127</f>
        <v>35343</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35343</v>
      </c>
      <c r="C1233" s="2" t="s">
        <v>594</v>
      </c>
      <c r="D1233" s="2" t="str">
        <f t="shared" si="18"/>
        <v>Error?</v>
      </c>
    </row>
    <row r="1234" spans="1:4" x14ac:dyDescent="0.2">
      <c r="A1234" s="5">
        <v>1173</v>
      </c>
      <c r="B1234" s="137">
        <f>'Expenditures 15-22'!D151</f>
        <v>35343</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163661</v>
      </c>
      <c r="D1237" s="2" t="str">
        <f t="shared" si="18"/>
        <v>Error?</v>
      </c>
    </row>
    <row r="1238" spans="1:4" x14ac:dyDescent="0.2">
      <c r="A1238" s="10">
        <v>1177</v>
      </c>
      <c r="D1238" s="2" t="str">
        <f t="shared" si="18"/>
        <v>OK</v>
      </c>
    </row>
    <row r="1239" spans="1:4" x14ac:dyDescent="0.2">
      <c r="A1239" s="5">
        <v>1178</v>
      </c>
      <c r="B1239" s="137">
        <f>'Expenditures 15-22'!E127</f>
        <v>163661</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163661</v>
      </c>
      <c r="C1241" s="2" t="s">
        <v>594</v>
      </c>
      <c r="D1241" s="2" t="str">
        <f t="shared" si="18"/>
        <v>Error?</v>
      </c>
    </row>
    <row r="1242" spans="1:4" x14ac:dyDescent="0.2">
      <c r="A1242" s="5">
        <v>1181</v>
      </c>
      <c r="B1242" s="137">
        <f>'Expenditures 15-22'!E151</f>
        <v>163661</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166034</v>
      </c>
      <c r="D1245" s="2" t="str">
        <f t="shared" si="18"/>
        <v>Error?</v>
      </c>
    </row>
    <row r="1246" spans="1:4" x14ac:dyDescent="0.2">
      <c r="A1246" s="10">
        <v>1185</v>
      </c>
      <c r="D1246" s="2" t="str">
        <f t="shared" si="18"/>
        <v>OK</v>
      </c>
    </row>
    <row r="1247" spans="1:4" x14ac:dyDescent="0.2">
      <c r="A1247" s="5">
        <v>1186</v>
      </c>
      <c r="B1247" s="137">
        <f>'Expenditures 15-22'!F127</f>
        <v>166034</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166034</v>
      </c>
      <c r="C1249" s="2" t="s">
        <v>594</v>
      </c>
      <c r="D1249" s="2" t="str">
        <f t="shared" si="18"/>
        <v>Error?</v>
      </c>
    </row>
    <row r="1250" spans="1:4" x14ac:dyDescent="0.2">
      <c r="A1250" s="5">
        <v>1189</v>
      </c>
      <c r="B1250" s="137">
        <f>'Expenditures 15-22'!F151</f>
        <v>166034</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575192</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575192</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575192</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575192</v>
      </c>
      <c r="C1288" s="2" t="s">
        <v>594</v>
      </c>
      <c r="D1288" s="2" t="str">
        <f t="shared" si="19"/>
        <v>Error?</v>
      </c>
    </row>
    <row r="1289" spans="1:4" x14ac:dyDescent="0.2">
      <c r="A1289" s="5">
        <v>1228</v>
      </c>
      <c r="B1289" s="137">
        <f>'Expenditures 15-22'!K152</f>
        <v>-223130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51750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320000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371750</v>
      </c>
      <c r="C1317" s="2" t="s">
        <v>594</v>
      </c>
      <c r="D1317" s="2" t="str">
        <f t="shared" si="19"/>
        <v>Error?</v>
      </c>
    </row>
    <row r="1318" spans="1:4" x14ac:dyDescent="0.2">
      <c r="A1318" s="5">
        <v>1257</v>
      </c>
      <c r="B1318" s="137">
        <f>'Expenditures 15-22'!H174</f>
        <v>371750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51750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320000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371750</v>
      </c>
      <c r="C1331" s="2" t="s">
        <v>594</v>
      </c>
      <c r="D1331" s="2" t="str">
        <f t="shared" si="19"/>
        <v>Error?</v>
      </c>
    </row>
    <row r="1332" spans="1:4" x14ac:dyDescent="0.2">
      <c r="A1332" s="5">
        <v>1271</v>
      </c>
      <c r="B1332" s="137">
        <f>'Expenditures 15-22'!K174</f>
        <v>371750</v>
      </c>
      <c r="C1332" s="2" t="s">
        <v>594</v>
      </c>
      <c r="D1332" s="2" t="str">
        <f t="shared" si="19"/>
        <v>Error?</v>
      </c>
    </row>
    <row r="1333" spans="1:4" x14ac:dyDescent="0.2">
      <c r="A1333" s="5">
        <v>1272</v>
      </c>
      <c r="B1333" s="137">
        <f>'Expenditures 15-22'!K175</f>
        <v>58020</v>
      </c>
      <c r="C1333" s="2" t="s">
        <v>594</v>
      </c>
      <c r="D1333" s="2" t="str">
        <f t="shared" si="19"/>
        <v>Error?</v>
      </c>
    </row>
    <row r="1334" spans="1:4" x14ac:dyDescent="0.2">
      <c r="A1334" s="10">
        <v>1273</v>
      </c>
      <c r="D1334" s="2" t="str">
        <f t="shared" si="19"/>
        <v>OK</v>
      </c>
    </row>
    <row r="1335" spans="1:4" x14ac:dyDescent="0.2">
      <c r="A1335" s="5">
        <v>1274</v>
      </c>
      <c r="B1335" s="137">
        <f>'Expenditures 15-22'!C182</f>
        <v>500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500</v>
      </c>
      <c r="C1339" s="2" t="s">
        <v>594</v>
      </c>
      <c r="D1339" s="2" t="str">
        <f t="shared" si="19"/>
        <v>Error?</v>
      </c>
    </row>
    <row r="1340" spans="1:4" x14ac:dyDescent="0.2">
      <c r="A1340" s="5">
        <v>1279</v>
      </c>
      <c r="B1340" s="137">
        <f>'Expenditures 15-22'!C210</f>
        <v>500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86863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86863</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86863</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87363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87363</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87363</v>
      </c>
      <c r="C1388" s="2" t="s">
        <v>594</v>
      </c>
      <c r="D1388" s="2" t="str">
        <f t="shared" si="20"/>
        <v>Error?</v>
      </c>
    </row>
    <row r="1389" spans="1:4" x14ac:dyDescent="0.2">
      <c r="A1389" s="5">
        <v>1328</v>
      </c>
      <c r="B1389" s="137">
        <f>'Expenditures 15-22'!K211</f>
        <v>180300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547</v>
      </c>
      <c r="D1408" s="2" t="str">
        <f t="shared" si="21"/>
        <v>Error?</v>
      </c>
    </row>
    <row r="1409" spans="1:4" x14ac:dyDescent="0.2">
      <c r="A1409" s="5">
        <v>1348</v>
      </c>
      <c r="B1409" s="137">
        <f>'Expenditures 15-22'!D224</f>
        <v>74</v>
      </c>
      <c r="D1409" s="2" t="str">
        <f t="shared" si="21"/>
        <v>Error?</v>
      </c>
    </row>
    <row r="1410" spans="1:4" x14ac:dyDescent="0.2">
      <c r="A1410" s="5">
        <v>1349</v>
      </c>
      <c r="B1410" s="137">
        <f>'Expenditures 15-22'!D229</f>
        <v>38969</v>
      </c>
      <c r="C1410" s="2" t="s">
        <v>594</v>
      </c>
      <c r="D1410" s="2" t="str">
        <f t="shared" si="21"/>
        <v>Error?</v>
      </c>
    </row>
    <row r="1411" spans="1:4" x14ac:dyDescent="0.2">
      <c r="A1411" s="5">
        <v>1350</v>
      </c>
      <c r="B1411" s="137">
        <f>'Expenditures 15-22'!D232</f>
        <v>1254</v>
      </c>
      <c r="D1411" s="2" t="str">
        <f t="shared" si="21"/>
        <v>Error?</v>
      </c>
    </row>
    <row r="1412" spans="1:4" x14ac:dyDescent="0.2">
      <c r="A1412" s="5">
        <v>1351</v>
      </c>
      <c r="B1412" s="137">
        <f>'Expenditures 15-22'!D233</f>
        <v>6009</v>
      </c>
      <c r="D1412" s="2" t="str">
        <f t="shared" si="21"/>
        <v>Error?</v>
      </c>
    </row>
    <row r="1413" spans="1:4" x14ac:dyDescent="0.2">
      <c r="A1413" s="5">
        <v>1352</v>
      </c>
      <c r="B1413" s="137">
        <f>'Expenditures 15-22'!D234</f>
        <v>867</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783</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8913</v>
      </c>
      <c r="C1417" s="2" t="s">
        <v>594</v>
      </c>
      <c r="D1417" s="2" t="str">
        <f t="shared" si="21"/>
        <v>Error?</v>
      </c>
    </row>
    <row r="1418" spans="1:4" x14ac:dyDescent="0.2">
      <c r="A1418" s="5">
        <v>1357</v>
      </c>
      <c r="B1418" s="137">
        <f>'Expenditures 15-22'!D240</f>
        <v>2563</v>
      </c>
      <c r="D1418" s="2" t="str">
        <f t="shared" si="21"/>
        <v>Error?</v>
      </c>
    </row>
    <row r="1419" spans="1:4" x14ac:dyDescent="0.2">
      <c r="A1419" s="5">
        <v>1358</v>
      </c>
      <c r="B1419" s="137">
        <f>'Expenditures 15-22'!D241</f>
        <v>17849</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20412</v>
      </c>
      <c r="C1421" s="2" t="s">
        <v>594</v>
      </c>
      <c r="D1421" s="2" t="str">
        <f t="shared" si="21"/>
        <v>Error?</v>
      </c>
    </row>
    <row r="1422" spans="1:4" x14ac:dyDescent="0.2">
      <c r="A1422" s="5">
        <v>1361</v>
      </c>
      <c r="B1422" s="137">
        <f>'Expenditures 15-22'!D245</f>
        <v>100</v>
      </c>
      <c r="D1422" s="2" t="str">
        <f t="shared" si="21"/>
        <v>Error?</v>
      </c>
    </row>
    <row r="1423" spans="1:4" x14ac:dyDescent="0.2">
      <c r="A1423" s="5">
        <v>1362</v>
      </c>
      <c r="B1423" s="137">
        <f>'Expenditures 15-22'!D246</f>
        <v>10817</v>
      </c>
      <c r="D1423" s="2" t="str">
        <f t="shared" si="21"/>
        <v>Error?</v>
      </c>
    </row>
    <row r="1424" spans="1:4" x14ac:dyDescent="0.2">
      <c r="A1424" s="5">
        <v>1363</v>
      </c>
      <c r="B1424" s="137">
        <f>'Expenditures 15-22'!D257</f>
        <v>29159</v>
      </c>
      <c r="C1424" s="2" t="s">
        <v>594</v>
      </c>
      <c r="D1424" s="2" t="str">
        <f t="shared" si="21"/>
        <v>Error?</v>
      </c>
    </row>
    <row r="1425" spans="1:4" x14ac:dyDescent="0.2">
      <c r="A1425" s="5">
        <v>1364</v>
      </c>
      <c r="B1425" s="137">
        <f>'Expenditures 15-22'!D259</f>
        <v>8168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8168</v>
      </c>
      <c r="C1427" s="2" t="s">
        <v>594</v>
      </c>
      <c r="D1427" s="2" t="str">
        <f t="shared" si="21"/>
        <v>Error?</v>
      </c>
    </row>
    <row r="1428" spans="1:4" x14ac:dyDescent="0.2">
      <c r="A1428" s="5">
        <v>1367</v>
      </c>
      <c r="B1428" s="137">
        <f>'Expenditures 15-22'!D263</f>
        <v>10298</v>
      </c>
      <c r="D1428" s="2" t="str">
        <f t="shared" si="21"/>
        <v>Error?</v>
      </c>
    </row>
    <row r="1429" spans="1:4" x14ac:dyDescent="0.2">
      <c r="A1429" s="5">
        <v>1368</v>
      </c>
      <c r="B1429" s="137">
        <f>'Expenditures 15-22'!D264</f>
        <v>6286</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28943</v>
      </c>
      <c r="D1431" s="2" t="str">
        <f t="shared" si="21"/>
        <v>Error?</v>
      </c>
    </row>
    <row r="1432" spans="1:4" x14ac:dyDescent="0.2">
      <c r="A1432" s="5">
        <v>1371</v>
      </c>
      <c r="B1432" s="137">
        <f>'Expenditures 15-22'!D267</f>
        <v>65</v>
      </c>
      <c r="D1432" s="2" t="str">
        <f t="shared" si="21"/>
        <v>Error?</v>
      </c>
    </row>
    <row r="1433" spans="1:4" x14ac:dyDescent="0.2">
      <c r="A1433" s="5">
        <v>1372</v>
      </c>
      <c r="B1433" s="137">
        <f>'Expenditures 15-22'!D268</f>
        <v>63</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45655</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1253</v>
      </c>
      <c r="D1445" s="2" t="str">
        <f t="shared" si="21"/>
        <v>Error?</v>
      </c>
    </row>
    <row r="1446" spans="1:4" x14ac:dyDescent="0.2">
      <c r="A1446" s="5">
        <v>1385</v>
      </c>
      <c r="B1446" s="137">
        <f>'Expenditures 15-22'!D279</f>
        <v>113560</v>
      </c>
      <c r="C1446" s="2" t="s">
        <v>594</v>
      </c>
      <c r="D1446" s="2" t="str">
        <f t="shared" si="21"/>
        <v>Error?</v>
      </c>
    </row>
    <row r="1447" spans="1:4" x14ac:dyDescent="0.2">
      <c r="A1447" s="5">
        <v>1386</v>
      </c>
      <c r="B1447" s="137">
        <f>'Expenditures 15-22'!D280</f>
        <v>4401</v>
      </c>
      <c r="D1447" s="2" t="str">
        <f t="shared" si="21"/>
        <v>Error?</v>
      </c>
    </row>
    <row r="1448" spans="1:4" x14ac:dyDescent="0.2">
      <c r="A1448" s="5">
        <v>1387</v>
      </c>
      <c r="B1448" s="137">
        <f>'Expenditures 15-22'!D295</f>
        <v>156930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547</v>
      </c>
      <c r="C1472" s="2" t="s">
        <v>594</v>
      </c>
      <c r="D1472" s="2" t="str">
        <f t="shared" si="22"/>
        <v>Error?</v>
      </c>
    </row>
    <row r="1473" spans="1:4" x14ac:dyDescent="0.2">
      <c r="A1473" s="5">
        <v>1412</v>
      </c>
      <c r="B1473" s="137">
        <f>'Expenditures 15-22'!K224</f>
        <v>74</v>
      </c>
      <c r="C1473" s="2" t="s">
        <v>594</v>
      </c>
      <c r="D1473" s="2" t="str">
        <f t="shared" si="22"/>
        <v>Error?</v>
      </c>
    </row>
    <row r="1474" spans="1:4" x14ac:dyDescent="0.2">
      <c r="A1474" s="5">
        <v>1413</v>
      </c>
      <c r="B1474" s="137">
        <f>'Expenditures 15-22'!K229</f>
        <v>38969</v>
      </c>
      <c r="C1474" s="2" t="s">
        <v>594</v>
      </c>
      <c r="D1474" s="2" t="str">
        <f t="shared" si="22"/>
        <v>Error?</v>
      </c>
    </row>
    <row r="1475" spans="1:4" x14ac:dyDescent="0.2">
      <c r="A1475" s="5">
        <v>1414</v>
      </c>
      <c r="B1475" s="137">
        <f>'Expenditures 15-22'!K232</f>
        <v>1254</v>
      </c>
      <c r="C1475" s="2" t="s">
        <v>594</v>
      </c>
      <c r="D1475" s="2" t="str">
        <f t="shared" si="22"/>
        <v>Error?</v>
      </c>
    </row>
    <row r="1476" spans="1:4" x14ac:dyDescent="0.2">
      <c r="A1476" s="5">
        <v>1415</v>
      </c>
      <c r="B1476" s="137">
        <f>'Expenditures 15-22'!K233</f>
        <v>6009</v>
      </c>
      <c r="C1476" s="2" t="s">
        <v>594</v>
      </c>
      <c r="D1476" s="2" t="str">
        <f t="shared" si="22"/>
        <v>Error?</v>
      </c>
    </row>
    <row r="1477" spans="1:4" x14ac:dyDescent="0.2">
      <c r="A1477" s="5">
        <v>1416</v>
      </c>
      <c r="B1477" s="137">
        <f>'Expenditures 15-22'!K234</f>
        <v>867</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783</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8913</v>
      </c>
      <c r="C1481" s="2" t="s">
        <v>594</v>
      </c>
      <c r="D1481" s="2" t="str">
        <f t="shared" si="22"/>
        <v>Error?</v>
      </c>
    </row>
    <row r="1482" spans="1:4" x14ac:dyDescent="0.2">
      <c r="A1482" s="5">
        <v>1421</v>
      </c>
      <c r="B1482" s="137">
        <f>'Expenditures 15-22'!K240</f>
        <v>2563</v>
      </c>
      <c r="C1482" s="2" t="s">
        <v>594</v>
      </c>
      <c r="D1482" s="2" t="str">
        <f t="shared" si="22"/>
        <v>Error?</v>
      </c>
    </row>
    <row r="1483" spans="1:4" x14ac:dyDescent="0.2">
      <c r="A1483" s="5">
        <v>1422</v>
      </c>
      <c r="B1483" s="137">
        <f>'Expenditures 15-22'!K241</f>
        <v>17849</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20412</v>
      </c>
      <c r="C1485" s="2" t="s">
        <v>594</v>
      </c>
      <c r="D1485" s="2" t="str">
        <f t="shared" si="22"/>
        <v>Error?</v>
      </c>
    </row>
    <row r="1486" spans="1:4" x14ac:dyDescent="0.2">
      <c r="A1486" s="5">
        <v>1425</v>
      </c>
      <c r="B1486" s="137">
        <f>'Expenditures 15-22'!K245</f>
        <v>100</v>
      </c>
      <c r="C1486" s="2" t="s">
        <v>594</v>
      </c>
      <c r="D1486" s="2" t="str">
        <f t="shared" si="22"/>
        <v>Error?</v>
      </c>
    </row>
    <row r="1487" spans="1:4" x14ac:dyDescent="0.2">
      <c r="A1487" s="5">
        <v>1426</v>
      </c>
      <c r="B1487" s="137">
        <f>'Expenditures 15-22'!K246</f>
        <v>10817</v>
      </c>
      <c r="C1487" s="2" t="s">
        <v>594</v>
      </c>
      <c r="D1487" s="2" t="str">
        <f t="shared" si="22"/>
        <v>Error?</v>
      </c>
    </row>
    <row r="1488" spans="1:4" x14ac:dyDescent="0.2">
      <c r="A1488" s="5">
        <v>1427</v>
      </c>
      <c r="B1488" s="137">
        <f>'Expenditures 15-22'!K257</f>
        <v>29159</v>
      </c>
      <c r="C1488" s="2" t="s">
        <v>594</v>
      </c>
      <c r="D1488" s="2" t="str">
        <f t="shared" si="22"/>
        <v>Error?</v>
      </c>
    </row>
    <row r="1489" spans="1:4" x14ac:dyDescent="0.2">
      <c r="A1489" s="5">
        <v>1428</v>
      </c>
      <c r="B1489" s="137">
        <f>'Expenditures 15-22'!K259</f>
        <v>8168</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8168</v>
      </c>
      <c r="C1491" s="2" t="s">
        <v>594</v>
      </c>
      <c r="D1491" s="2" t="str">
        <f t="shared" si="22"/>
        <v>Error?</v>
      </c>
    </row>
    <row r="1492" spans="1:4" x14ac:dyDescent="0.2">
      <c r="A1492" s="5">
        <v>1431</v>
      </c>
      <c r="B1492" s="137">
        <f>'Expenditures 15-22'!K263</f>
        <v>10298</v>
      </c>
      <c r="C1492" s="2" t="s">
        <v>594</v>
      </c>
      <c r="D1492" s="2" t="str">
        <f t="shared" si="22"/>
        <v>Error?</v>
      </c>
    </row>
    <row r="1493" spans="1:4" x14ac:dyDescent="0.2">
      <c r="A1493" s="5">
        <v>1432</v>
      </c>
      <c r="B1493" s="137">
        <f>'Expenditures 15-22'!K264</f>
        <v>6286</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28943</v>
      </c>
      <c r="C1495" s="2" t="s">
        <v>594</v>
      </c>
      <c r="D1495" s="2" t="str">
        <f t="shared" si="22"/>
        <v>Error?</v>
      </c>
    </row>
    <row r="1496" spans="1:4" x14ac:dyDescent="0.2">
      <c r="A1496" s="5">
        <v>1435</v>
      </c>
      <c r="B1496" s="137">
        <f>'Expenditures 15-22'!K267</f>
        <v>65</v>
      </c>
      <c r="C1496" s="2" t="s">
        <v>594</v>
      </c>
      <c r="D1496" s="2" t="str">
        <f t="shared" si="22"/>
        <v>Error?</v>
      </c>
    </row>
    <row r="1497" spans="1:4" x14ac:dyDescent="0.2">
      <c r="A1497" s="5">
        <v>1436</v>
      </c>
      <c r="B1497" s="137">
        <f>'Expenditures 15-22'!K268</f>
        <v>63</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45655</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1253</v>
      </c>
      <c r="C1509" s="2" t="s">
        <v>594</v>
      </c>
      <c r="D1509" s="2" t="str">
        <f t="shared" si="22"/>
        <v>Error?</v>
      </c>
    </row>
    <row r="1510" spans="1:4" x14ac:dyDescent="0.2">
      <c r="A1510" s="5">
        <v>1449</v>
      </c>
      <c r="B1510" s="137">
        <f>'Expenditures 15-22'!K279</f>
        <v>113560</v>
      </c>
      <c r="C1510" s="2" t="s">
        <v>594</v>
      </c>
      <c r="D1510" s="2" t="str">
        <f t="shared" si="22"/>
        <v>Error?</v>
      </c>
    </row>
    <row r="1511" spans="1:4" x14ac:dyDescent="0.2">
      <c r="A1511" s="5">
        <v>1450</v>
      </c>
      <c r="B1511" s="137">
        <f>'Expenditures 15-22'!K280</f>
        <v>4401</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156930</v>
      </c>
      <c r="C1517" s="2" t="s">
        <v>594</v>
      </c>
      <c r="D1517" s="2" t="str">
        <f t="shared" si="22"/>
        <v>Error?</v>
      </c>
    </row>
    <row r="1518" spans="1:4" x14ac:dyDescent="0.2">
      <c r="A1518" s="5">
        <v>1457</v>
      </c>
      <c r="B1518" s="137">
        <f>'Expenditures 15-22'!K296</f>
        <v>-312001</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23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1089957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1566043</v>
      </c>
      <c r="C1630" s="2" t="s">
        <v>594</v>
      </c>
      <c r="D1630" s="2" t="str">
        <f t="shared" si="24"/>
        <v>Error?</v>
      </c>
    </row>
    <row r="1631" spans="1:4" x14ac:dyDescent="0.2">
      <c r="A1631" s="5">
        <v>1570</v>
      </c>
      <c r="B1631" s="137">
        <f>'Acct Summary 7-8'!D79</f>
        <v>331084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307954</v>
      </c>
      <c r="C1644" s="2" t="s">
        <v>594</v>
      </c>
      <c r="D1644" s="2" t="str">
        <f t="shared" si="24"/>
        <v>Error?</v>
      </c>
    </row>
    <row r="1645" spans="1:4" x14ac:dyDescent="0.2">
      <c r="A1645" s="5">
        <v>1584</v>
      </c>
      <c r="B1645" s="137">
        <f>'Acct Summary 7-8'!E79</f>
        <v>-58020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594</v>
      </c>
      <c r="D1658" s="2" t="str">
        <f t="shared" si="24"/>
        <v>Error?</v>
      </c>
    </row>
    <row r="1659" spans="1:4" x14ac:dyDescent="0.2">
      <c r="A1659" s="5">
        <v>1598</v>
      </c>
      <c r="B1659" s="137">
        <f>'Acct Summary 7-8'!F79</f>
        <v>446935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277235</v>
      </c>
      <c r="C1672" s="2" t="s">
        <v>594</v>
      </c>
      <c r="D1672" s="2" t="str">
        <f t="shared" si="25"/>
        <v>Error?</v>
      </c>
    </row>
    <row r="1673" spans="1:4" x14ac:dyDescent="0.2">
      <c r="A1673" s="5">
        <v>1612</v>
      </c>
      <c r="B1673" s="137">
        <f>'Acct Summary 7-8'!G79</f>
        <v>744088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432087</v>
      </c>
      <c r="C1686" s="2" t="s">
        <v>594</v>
      </c>
      <c r="D1686" s="2" t="str">
        <f t="shared" si="25"/>
        <v>Error?</v>
      </c>
    </row>
    <row r="1687" spans="1:4" x14ac:dyDescent="0.2">
      <c r="A1687" s="5">
        <v>1626</v>
      </c>
      <c r="B1687" s="137">
        <f>'Acct Summary 7-8'!H79</f>
        <v>2799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2822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453431</v>
      </c>
      <c r="C1744" s="2" t="s">
        <v>594</v>
      </c>
      <c r="D1744" s="2" t="str">
        <f t="shared" si="26"/>
        <v>Error?</v>
      </c>
    </row>
    <row r="1745" spans="1:5" x14ac:dyDescent="0.2">
      <c r="A1745" s="5">
        <v>1684</v>
      </c>
      <c r="B1745" s="137">
        <f>'Tax Sched 23'!B5</f>
        <v>50425</v>
      </c>
      <c r="C1745" s="2" t="s">
        <v>594</v>
      </c>
      <c r="D1745" s="2" t="str">
        <f t="shared" si="26"/>
        <v>Error?</v>
      </c>
    </row>
    <row r="1746" spans="1:5" x14ac:dyDescent="0.2">
      <c r="A1746" s="5">
        <v>1685</v>
      </c>
      <c r="B1746" s="137">
        <f>'Tax Sched 23'!B6</f>
        <v>413295</v>
      </c>
      <c r="C1746" s="2" t="s">
        <v>594</v>
      </c>
      <c r="D1746" s="2" t="str">
        <f t="shared" si="26"/>
        <v>Error?</v>
      </c>
    </row>
    <row r="1747" spans="1:5" x14ac:dyDescent="0.2">
      <c r="A1747" s="5">
        <v>1686</v>
      </c>
      <c r="B1747" s="137">
        <f>'Tax Sched 23'!B7</f>
        <v>195683</v>
      </c>
      <c r="C1747" s="2" t="s">
        <v>594</v>
      </c>
      <c r="D1747" s="2" t="str">
        <f t="shared" si="26"/>
        <v>Error?</v>
      </c>
    </row>
    <row r="1748" spans="1:5" x14ac:dyDescent="0.2">
      <c r="A1748" s="5">
        <v>1687</v>
      </c>
      <c r="B1748" s="137">
        <f>'Tax Sched 23'!B8</f>
        <v>-81123</v>
      </c>
      <c r="C1748" s="2" t="s">
        <v>594</v>
      </c>
      <c r="D1748" s="2" t="str">
        <f t="shared" si="26"/>
        <v>Error?</v>
      </c>
    </row>
    <row r="1749" spans="1:5" x14ac:dyDescent="0.2">
      <c r="A1749" s="5">
        <v>1688</v>
      </c>
      <c r="B1749" s="137">
        <f>'Tax Sched 23'!B10</f>
        <v>4564</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235598</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36461</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1227211</v>
      </c>
      <c r="C1759" s="2" t="s">
        <v>594</v>
      </c>
      <c r="D1759" s="2" t="str">
        <f t="shared" si="26"/>
        <v>Error?</v>
      </c>
    </row>
    <row r="1760" spans="1:5" x14ac:dyDescent="0.2">
      <c r="A1760" s="5">
        <v>1699</v>
      </c>
      <c r="B1760" s="137">
        <f>'Tax Sched 23'!D4</f>
        <v>98512</v>
      </c>
      <c r="C1760" s="2" t="s">
        <v>594</v>
      </c>
      <c r="D1760" s="2" t="str">
        <f t="shared" si="26"/>
        <v>Error?</v>
      </c>
    </row>
    <row r="1761" spans="1:5" x14ac:dyDescent="0.2">
      <c r="A1761" s="5">
        <v>1700</v>
      </c>
      <c r="B1761" s="137">
        <f>'Tax Sched 23'!D5</f>
        <v>15567</v>
      </c>
      <c r="C1761" s="2" t="s">
        <v>594</v>
      </c>
      <c r="D1761" s="2" t="str">
        <f t="shared" si="26"/>
        <v>Error?</v>
      </c>
    </row>
    <row r="1762" spans="1:5" s="8" customFormat="1" x14ac:dyDescent="0.2">
      <c r="A1762" s="5">
        <v>1701</v>
      </c>
      <c r="B1762" s="137">
        <f>'Tax Sched 23'!D6</f>
        <v>150633</v>
      </c>
      <c r="C1762" s="2" t="s">
        <v>594</v>
      </c>
      <c r="D1762" s="2" t="str">
        <f t="shared" si="26"/>
        <v>Error?</v>
      </c>
      <c r="E1762" s="9"/>
    </row>
    <row r="1763" spans="1:5" x14ac:dyDescent="0.2">
      <c r="A1763" s="5">
        <v>1702</v>
      </c>
      <c r="B1763" s="137">
        <f>'Tax Sched 23'!D7</f>
        <v>167802</v>
      </c>
      <c r="C1763" s="2" t="s">
        <v>594</v>
      </c>
      <c r="D1763" s="2" t="str">
        <f t="shared" si="26"/>
        <v>Error?</v>
      </c>
    </row>
    <row r="1764" spans="1:5" x14ac:dyDescent="0.2">
      <c r="A1764" s="5">
        <v>1703</v>
      </c>
      <c r="B1764" s="137">
        <f>'Tax Sched 23'!D8</f>
        <v>-81123</v>
      </c>
      <c r="C1764" s="2" t="s">
        <v>594</v>
      </c>
      <c r="D1764" s="2" t="str">
        <f t="shared" si="26"/>
        <v>Error?</v>
      </c>
    </row>
    <row r="1765" spans="1:5" x14ac:dyDescent="0.2">
      <c r="A1765" s="5">
        <v>1704</v>
      </c>
      <c r="B1765" s="137">
        <f>'Tax Sched 23'!D10</f>
        <v>1412</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110118</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11259</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393057</v>
      </c>
      <c r="C1775" s="2" t="s">
        <v>594</v>
      </c>
      <c r="D1775" s="2" t="str">
        <f t="shared" si="26"/>
        <v>Error?</v>
      </c>
    </row>
    <row r="1776" spans="1:5" x14ac:dyDescent="0.2">
      <c r="A1776" s="5">
        <v>1715</v>
      </c>
      <c r="B1776" s="137">
        <f>'Tax Sched 23'!C4</f>
        <v>354919</v>
      </c>
      <c r="D1776" s="2" t="str">
        <f t="shared" si="26"/>
        <v>Error?</v>
      </c>
    </row>
    <row r="1777" spans="1:4" x14ac:dyDescent="0.2">
      <c r="A1777" s="5">
        <v>1716</v>
      </c>
      <c r="B1777" s="137">
        <f>'Tax Sched 23'!C5</f>
        <v>34858</v>
      </c>
      <c r="D1777" s="2" t="str">
        <f t="shared" si="26"/>
        <v>Error?</v>
      </c>
    </row>
    <row r="1778" spans="1:4" x14ac:dyDescent="0.2">
      <c r="A1778" s="5">
        <v>1717</v>
      </c>
      <c r="B1778" s="137">
        <f>'Tax Sched 23'!C6</f>
        <v>262662</v>
      </c>
      <c r="D1778" s="2" t="str">
        <f t="shared" si="26"/>
        <v>Error?</v>
      </c>
    </row>
    <row r="1779" spans="1:4" x14ac:dyDescent="0.2">
      <c r="A1779" s="5">
        <v>1718</v>
      </c>
      <c r="B1779" s="137">
        <f>'Tax Sched 23'!C7</f>
        <v>27881</v>
      </c>
      <c r="D1779" s="2" t="str">
        <f t="shared" si="26"/>
        <v>Error?</v>
      </c>
    </row>
    <row r="1780" spans="1:4" x14ac:dyDescent="0.2">
      <c r="A1780" s="5">
        <v>1719</v>
      </c>
      <c r="B1780" s="137">
        <f>'Tax Sched 23'!C8</f>
        <v>0</v>
      </c>
      <c r="D1780" s="2" t="str">
        <f t="shared" si="26"/>
        <v>Error?</v>
      </c>
    </row>
    <row r="1781" spans="1:4" x14ac:dyDescent="0.2">
      <c r="A1781" s="5">
        <v>1720</v>
      </c>
      <c r="B1781" s="137">
        <f>'Tax Sched 23'!C10</f>
        <v>3152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125480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25202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834154</v>
      </c>
      <c r="C1791" s="2" t="s">
        <v>594</v>
      </c>
      <c r="D1791" s="2" t="str">
        <f t="shared" ref="D1791:D1854" si="27">IF(ISBLANK(B1791),"OK",IF(A1791-B1791=0,"OK","Error?"))</f>
        <v>Error?</v>
      </c>
    </row>
    <row r="1792" spans="1:4" x14ac:dyDescent="0.2">
      <c r="A1792" s="5">
        <v>1731</v>
      </c>
      <c r="B1792" s="137">
        <f>'Tax Sched 23'!F4</f>
        <v>1010378</v>
      </c>
      <c r="C1792" s="2" t="s">
        <v>594</v>
      </c>
      <c r="D1792" s="2" t="str">
        <f t="shared" si="27"/>
        <v>Error?</v>
      </c>
    </row>
    <row r="1793" spans="1:4" x14ac:dyDescent="0.2">
      <c r="A1793" s="5">
        <v>1732</v>
      </c>
      <c r="B1793" s="137">
        <f>'Tax Sched 23'!F5</f>
        <v>99234</v>
      </c>
      <c r="C1793" s="2" t="s">
        <v>594</v>
      </c>
      <c r="D1793" s="2" t="str">
        <f t="shared" si="27"/>
        <v>Error?</v>
      </c>
    </row>
    <row r="1794" spans="1:4" x14ac:dyDescent="0.2">
      <c r="A1794" s="5">
        <v>1733</v>
      </c>
      <c r="B1794" s="137">
        <f>'Tax Sched 23'!F6</f>
        <v>178651</v>
      </c>
      <c r="C1794" s="2" t="s">
        <v>594</v>
      </c>
      <c r="D1794" s="2" t="str">
        <f t="shared" si="27"/>
        <v>Error?</v>
      </c>
    </row>
    <row r="1795" spans="1:4" x14ac:dyDescent="0.2">
      <c r="A1795" s="5">
        <v>1734</v>
      </c>
      <c r="B1795" s="137">
        <f>'Tax Sched 23'!F7</f>
        <v>79373</v>
      </c>
      <c r="C1795" s="2" t="s">
        <v>594</v>
      </c>
      <c r="D1795" s="2" t="str">
        <f t="shared" si="27"/>
        <v>Error?</v>
      </c>
    </row>
    <row r="1796" spans="1:4" x14ac:dyDescent="0.2">
      <c r="A1796" s="5">
        <v>1735</v>
      </c>
      <c r="B1796" s="137">
        <f>'Tax Sched 23'!F8</f>
        <v>0</v>
      </c>
      <c r="C1796" s="2" t="s">
        <v>594</v>
      </c>
      <c r="D1796" s="2" t="str">
        <f t="shared" si="27"/>
        <v>Error?</v>
      </c>
    </row>
    <row r="1797" spans="1:4" x14ac:dyDescent="0.2">
      <c r="A1797" s="5">
        <v>1736</v>
      </c>
      <c r="B1797" s="137">
        <f>'Tax Sched 23'!F10</f>
        <v>8974</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357213</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71745</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1805568</v>
      </c>
      <c r="C1807" s="2" t="s">
        <v>594</v>
      </c>
      <c r="D1807" s="2" t="str">
        <f t="shared" si="27"/>
        <v>Error?</v>
      </c>
    </row>
    <row r="1808" spans="1:4" x14ac:dyDescent="0.2">
      <c r="A1808" s="5">
        <v>1747</v>
      </c>
      <c r="B1808" s="137">
        <f>'Tax Sched 23'!E4</f>
        <v>1365297</v>
      </c>
      <c r="D1808" s="2" t="str">
        <f t="shared" si="27"/>
        <v>Error?</v>
      </c>
    </row>
    <row r="1809" spans="1:4" x14ac:dyDescent="0.2">
      <c r="A1809" s="5">
        <v>1748</v>
      </c>
      <c r="B1809" s="137">
        <f>'Tax Sched 23'!E5</f>
        <v>134092</v>
      </c>
      <c r="D1809" s="2" t="str">
        <f t="shared" si="27"/>
        <v>Error?</v>
      </c>
    </row>
    <row r="1810" spans="1:4" x14ac:dyDescent="0.2">
      <c r="A1810" s="5">
        <v>1749</v>
      </c>
      <c r="B1810" s="137">
        <f>'Tax Sched 23'!E6</f>
        <v>441313</v>
      </c>
      <c r="D1810" s="2" t="str">
        <f t="shared" si="27"/>
        <v>Error?</v>
      </c>
    </row>
    <row r="1811" spans="1:4" x14ac:dyDescent="0.2">
      <c r="A1811" s="5">
        <v>1750</v>
      </c>
      <c r="B1811" s="137">
        <f>'Tax Sched 23'!E7</f>
        <v>107254</v>
      </c>
      <c r="D1811" s="2" t="str">
        <f t="shared" si="27"/>
        <v>Error?</v>
      </c>
    </row>
    <row r="1812" spans="1:4" x14ac:dyDescent="0.2">
      <c r="A1812" s="5">
        <v>1751</v>
      </c>
      <c r="B1812" s="137">
        <f>'Tax Sched 23'!E8</f>
        <v>0</v>
      </c>
      <c r="D1812" s="2" t="str">
        <f t="shared" si="27"/>
        <v>Error?</v>
      </c>
    </row>
    <row r="1813" spans="1:4" x14ac:dyDescent="0.2">
      <c r="A1813" s="5">
        <v>1752</v>
      </c>
      <c r="B1813" s="137">
        <f>'Tax Sched 23'!E10</f>
        <v>12126</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482693</v>
      </c>
      <c r="D1816" s="2" t="str">
        <f t="shared" si="27"/>
        <v>Error?</v>
      </c>
    </row>
    <row r="1817" spans="1:4" x14ac:dyDescent="0.2">
      <c r="A1817" s="5">
        <v>1756</v>
      </c>
      <c r="B1817" s="137">
        <f>'Tax Sched 23'!E12</f>
        <v>0</v>
      </c>
      <c r="D1817" s="2" t="str">
        <f t="shared" si="27"/>
        <v>Error?</v>
      </c>
    </row>
    <row r="1818" spans="1:4" x14ac:dyDescent="0.2">
      <c r="A1818" s="5">
        <v>1757</v>
      </c>
      <c r="B1818" s="137">
        <f>'Tax Sched 23'!E14</f>
        <v>96947</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2639722</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1195000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36461</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36461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36461</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12072</v>
      </c>
      <c r="D2008" s="2" t="str">
        <f t="shared" si="30"/>
        <v>Error?</v>
      </c>
    </row>
    <row r="2009" spans="1:4" x14ac:dyDescent="0.2">
      <c r="A2009" s="5">
        <v>1948</v>
      </c>
      <c r="B2009" s="137">
        <f>'Cap Outlay Deprec 26'!C8</f>
        <v>7668839</v>
      </c>
      <c r="D2009" s="2" t="str">
        <f t="shared" si="30"/>
        <v>Error?</v>
      </c>
    </row>
    <row r="2010" spans="1:4" x14ac:dyDescent="0.2">
      <c r="A2010" s="5">
        <v>1949</v>
      </c>
      <c r="B2010" s="137">
        <f>'Cap Outlay Deprec 26'!C10</f>
        <v>628807</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852770</v>
      </c>
      <c r="D2012" s="2" t="str">
        <f t="shared" si="30"/>
        <v>Error?</v>
      </c>
    </row>
    <row r="2013" spans="1:4" x14ac:dyDescent="0.2">
      <c r="A2013" s="5">
        <v>1952</v>
      </c>
      <c r="B2013" s="137">
        <f>'Cap Outlay Deprec 26'!C16</f>
        <v>9162488</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12072</v>
      </c>
      <c r="C2026" s="2" t="s">
        <v>594</v>
      </c>
      <c r="D2026" s="2" t="str">
        <f t="shared" si="30"/>
        <v>Error?</v>
      </c>
    </row>
    <row r="2027" spans="1:4" x14ac:dyDescent="0.2">
      <c r="A2027" s="5">
        <v>1966</v>
      </c>
      <c r="B2027" s="137">
        <f>'Cap Outlay Deprec 26'!F8</f>
        <v>7668839</v>
      </c>
      <c r="C2027" s="2" t="s">
        <v>594</v>
      </c>
      <c r="D2027" s="2" t="str">
        <f t="shared" si="30"/>
        <v>Error?</v>
      </c>
    </row>
    <row r="2028" spans="1:4" x14ac:dyDescent="0.2">
      <c r="A2028" s="5">
        <v>1967</v>
      </c>
      <c r="B2028" s="137">
        <f>'Cap Outlay Deprec 26'!F10</f>
        <v>628807</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852770</v>
      </c>
      <c r="C2030" s="2" t="s">
        <v>594</v>
      </c>
      <c r="D2030" s="2" t="str">
        <f t="shared" si="30"/>
        <v>Error?</v>
      </c>
    </row>
    <row r="2031" spans="1:4" x14ac:dyDescent="0.2">
      <c r="A2031" s="5">
        <v>1970</v>
      </c>
      <c r="B2031" s="137">
        <f>'Cap Outlay Deprec 26'!F16</f>
        <v>9162488</v>
      </c>
      <c r="C2031" s="2" t="s">
        <v>594</v>
      </c>
      <c r="D2031" s="2" t="str">
        <f t="shared" si="30"/>
        <v>Error?</v>
      </c>
    </row>
    <row r="2032" spans="1:4" x14ac:dyDescent="0.2">
      <c r="A2032" s="10">
        <v>1971</v>
      </c>
      <c r="D2032" s="2" t="str">
        <f t="shared" si="30"/>
        <v>OK</v>
      </c>
    </row>
    <row r="2033" spans="1:4" x14ac:dyDescent="0.2">
      <c r="A2033" s="5">
        <v>1972</v>
      </c>
      <c r="B2033" s="137">
        <f>'Cap Outlay Deprec 26'!H8</f>
        <v>4098314</v>
      </c>
      <c r="D2033" s="2" t="str">
        <f t="shared" si="30"/>
        <v>Error?</v>
      </c>
    </row>
    <row r="2034" spans="1:4" x14ac:dyDescent="0.2">
      <c r="A2034" s="5">
        <v>1973</v>
      </c>
      <c r="B2034" s="137">
        <f>'Cap Outlay Deprec 26'!H10</f>
        <v>582977</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716432</v>
      </c>
      <c r="D2036" s="2" t="str">
        <f t="shared" si="30"/>
        <v>Error?</v>
      </c>
    </row>
    <row r="2037" spans="1:4" x14ac:dyDescent="0.2">
      <c r="A2037" s="5">
        <v>1976</v>
      </c>
      <c r="B2037" s="137">
        <f>'Cap Outlay Deprec 26'!H16</f>
        <v>5397723</v>
      </c>
      <c r="C2037" s="2" t="s">
        <v>594</v>
      </c>
      <c r="D2037" s="2" t="str">
        <f t="shared" si="30"/>
        <v>Error?</v>
      </c>
    </row>
    <row r="2038" spans="1:4" x14ac:dyDescent="0.2">
      <c r="A2038" s="10">
        <v>1977</v>
      </c>
      <c r="D2038" s="2" t="str">
        <f t="shared" si="30"/>
        <v>OK</v>
      </c>
    </row>
    <row r="2039" spans="1:4" x14ac:dyDescent="0.2">
      <c r="A2039" s="5">
        <v>1978</v>
      </c>
      <c r="B2039" s="137">
        <f>'Cap Outlay Deprec 26'!I8</f>
        <v>146764</v>
      </c>
      <c r="D2039" s="2" t="str">
        <f t="shared" si="30"/>
        <v>Error?</v>
      </c>
    </row>
    <row r="2040" spans="1:4" x14ac:dyDescent="0.2">
      <c r="A2040" s="5">
        <v>1979</v>
      </c>
      <c r="B2040" s="137">
        <f>'Cap Outlay Deprec 26'!I10</f>
        <v>1296</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28966</v>
      </c>
      <c r="D2042" s="2" t="str">
        <f t="shared" si="30"/>
        <v>Error?</v>
      </c>
    </row>
    <row r="2043" spans="1:4" x14ac:dyDescent="0.2">
      <c r="A2043" s="5">
        <v>1982</v>
      </c>
      <c r="B2043" s="137">
        <f>'Cap Outlay Deprec 26'!I16</f>
        <v>177026</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4245078</v>
      </c>
      <c r="C2051" s="2" t="s">
        <v>594</v>
      </c>
      <c r="D2051" s="2" t="str">
        <f t="shared" si="31"/>
        <v>Error?</v>
      </c>
    </row>
    <row r="2052" spans="1:4" x14ac:dyDescent="0.2">
      <c r="A2052" s="5">
        <v>1991</v>
      </c>
      <c r="B2052" s="137">
        <f>'Cap Outlay Deprec 26'!K10</f>
        <v>584273</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745398</v>
      </c>
      <c r="C2054" s="2" t="s">
        <v>594</v>
      </c>
      <c r="D2054" s="2" t="str">
        <f t="shared" si="31"/>
        <v>Error?</v>
      </c>
    </row>
    <row r="2055" spans="1:4" x14ac:dyDescent="0.2">
      <c r="A2055" s="5">
        <v>1994</v>
      </c>
      <c r="B2055" s="137">
        <f>'Cap Outlay Deprec 26'!K16</f>
        <v>5574749</v>
      </c>
      <c r="C2055" s="2" t="s">
        <v>594</v>
      </c>
      <c r="D2055" s="2" t="str">
        <f t="shared" si="31"/>
        <v>Error?</v>
      </c>
    </row>
    <row r="2056" spans="1:4" x14ac:dyDescent="0.2">
      <c r="A2056" s="5">
        <v>1995</v>
      </c>
      <c r="B2056" s="137">
        <f>'Cap Outlay Deprec 26'!L5</f>
        <v>12072</v>
      </c>
      <c r="C2056" s="2" t="s">
        <v>594</v>
      </c>
      <c r="D2056" s="2" t="str">
        <f t="shared" si="31"/>
        <v>Error?</v>
      </c>
    </row>
    <row r="2057" spans="1:4" x14ac:dyDescent="0.2">
      <c r="A2057" s="5">
        <v>1996</v>
      </c>
      <c r="B2057" s="137">
        <f>'Cap Outlay Deprec 26'!L8</f>
        <v>3423761</v>
      </c>
      <c r="C2057" s="2" t="s">
        <v>594</v>
      </c>
      <c r="D2057" s="2" t="str">
        <f t="shared" si="31"/>
        <v>Error?</v>
      </c>
    </row>
    <row r="2058" spans="1:4" x14ac:dyDescent="0.2">
      <c r="A2058" s="5">
        <v>1997</v>
      </c>
      <c r="B2058" s="137">
        <f>'Cap Outlay Deprec 26'!L10</f>
        <v>44534</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107372</v>
      </c>
      <c r="C2060" s="2" t="s">
        <v>594</v>
      </c>
      <c r="D2060" s="2" t="str">
        <f t="shared" si="31"/>
        <v>Error?</v>
      </c>
    </row>
    <row r="2061" spans="1:4" x14ac:dyDescent="0.2">
      <c r="A2061" s="5">
        <v>2000</v>
      </c>
      <c r="B2061" s="137">
        <f>'Cap Outlay Deprec 26'!L16</f>
        <v>3587739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210387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210387</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926954</v>
      </c>
      <c r="C2551" s="2" t="s">
        <v>594</v>
      </c>
      <c r="D2551" s="2" t="str">
        <f t="shared" si="38"/>
        <v>Error?</v>
      </c>
    </row>
    <row r="2552" spans="1:4" x14ac:dyDescent="0.2">
      <c r="A2552" s="10">
        <v>2491</v>
      </c>
      <c r="D2552" s="2" t="str">
        <f t="shared" si="38"/>
        <v>OK</v>
      </c>
    </row>
    <row r="2553" spans="1:4" x14ac:dyDescent="0.2">
      <c r="A2553" s="5">
        <v>2492</v>
      </c>
      <c r="B2553" s="137">
        <f>'Acct Summary 7-8'!C6</f>
        <v>2362200</v>
      </c>
      <c r="C2553" s="2" t="s">
        <v>594</v>
      </c>
      <c r="D2553" s="2" t="str">
        <f t="shared" si="38"/>
        <v>Error?</v>
      </c>
    </row>
    <row r="2554" spans="1:4" x14ac:dyDescent="0.2">
      <c r="A2554" s="5">
        <v>2493</v>
      </c>
      <c r="B2554" s="137">
        <f>'Acct Summary 7-8'!C7</f>
        <v>924316</v>
      </c>
      <c r="C2554" s="2" t="s">
        <v>594</v>
      </c>
      <c r="D2554" s="2" t="str">
        <f t="shared" si="38"/>
        <v>Error?</v>
      </c>
    </row>
    <row r="2555" spans="1:4" x14ac:dyDescent="0.2">
      <c r="A2555" s="5">
        <v>2494</v>
      </c>
      <c r="B2555" s="137">
        <f>'Acct Summary 7-8'!C8</f>
        <v>4213470</v>
      </c>
      <c r="C2555" s="2" t="s">
        <v>594</v>
      </c>
      <c r="D2555" s="2" t="str">
        <f t="shared" si="38"/>
        <v>Error?</v>
      </c>
    </row>
    <row r="2556" spans="1:4" x14ac:dyDescent="0.2">
      <c r="A2556" s="5">
        <v>2495</v>
      </c>
      <c r="B2556" s="137">
        <f>'Acct Summary 7-8'!C12</f>
        <v>1723060</v>
      </c>
      <c r="C2556" s="2" t="s">
        <v>594</v>
      </c>
      <c r="D2556" s="2" t="str">
        <f t="shared" si="38"/>
        <v>Error?</v>
      </c>
    </row>
    <row r="2557" spans="1:4" x14ac:dyDescent="0.2">
      <c r="A2557" s="5">
        <v>2496</v>
      </c>
      <c r="B2557" s="137">
        <f>'Acct Summary 7-8'!C13</f>
        <v>1916807</v>
      </c>
      <c r="C2557" s="2" t="s">
        <v>594</v>
      </c>
      <c r="D2557" s="2" t="str">
        <f t="shared" si="38"/>
        <v>Error?</v>
      </c>
    </row>
    <row r="2558" spans="1:4" x14ac:dyDescent="0.2">
      <c r="A2558" s="5">
        <v>2497</v>
      </c>
      <c r="B2558" s="137">
        <f>'Acct Summary 7-8'!C14</f>
        <v>37130</v>
      </c>
      <c r="C2558" s="2" t="s">
        <v>594</v>
      </c>
      <c r="D2558" s="2" t="str">
        <f t="shared" si="38"/>
        <v>Error?</v>
      </c>
    </row>
    <row r="2559" spans="1:4" x14ac:dyDescent="0.2">
      <c r="A2559" s="5">
        <v>2498</v>
      </c>
      <c r="B2559" s="137">
        <f>'Acct Summary 7-8'!C15</f>
        <v>210387</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3887384</v>
      </c>
      <c r="C2561" s="2" t="s">
        <v>594</v>
      </c>
      <c r="D2561" s="2" t="str">
        <f t="shared" si="39"/>
        <v>Error?</v>
      </c>
    </row>
    <row r="2562" spans="1:4" x14ac:dyDescent="0.2">
      <c r="A2562" s="5">
        <v>2501</v>
      </c>
      <c r="B2562" s="137">
        <f>'Acct Summary 7-8'!C20</f>
        <v>326086</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352062</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352062</v>
      </c>
      <c r="C2568" s="2" t="s">
        <v>594</v>
      </c>
      <c r="D2568" s="2" t="str">
        <f t="shared" si="39"/>
        <v>Error?</v>
      </c>
    </row>
    <row r="2569" spans="1:4" x14ac:dyDescent="0.2">
      <c r="A2569" s="5">
        <v>2508</v>
      </c>
      <c r="B2569" s="137">
        <f>'Acct Summary 7-8'!D13</f>
        <v>575192</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575192</v>
      </c>
      <c r="C2573" s="2" t="s">
        <v>594</v>
      </c>
      <c r="D2573" s="2" t="str">
        <f t="shared" si="39"/>
        <v>Error?</v>
      </c>
    </row>
    <row r="2574" spans="1:4" x14ac:dyDescent="0.2">
      <c r="A2574" s="5">
        <v>2513</v>
      </c>
      <c r="B2574" s="137">
        <f>'Acct Summary 7-8'!D20</f>
        <v>-223130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213781</v>
      </c>
      <c r="C2591" s="2" t="s">
        <v>594</v>
      </c>
      <c r="D2591" s="2" t="str">
        <f t="shared" si="39"/>
        <v>Error?</v>
      </c>
    </row>
    <row r="2592" spans="1:4" x14ac:dyDescent="0.2">
      <c r="A2592" s="10">
        <v>2531</v>
      </c>
      <c r="D2592" s="2" t="str">
        <f t="shared" si="39"/>
        <v>OK</v>
      </c>
    </row>
    <row r="2593" spans="1:4" x14ac:dyDescent="0.2">
      <c r="A2593" s="5">
        <v>2532</v>
      </c>
      <c r="B2593" s="137">
        <f>'Acct Summary 7-8'!F6</f>
        <v>53882</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267663</v>
      </c>
      <c r="C2595" s="2" t="s">
        <v>594</v>
      </c>
      <c r="D2595" s="2" t="str">
        <f t="shared" si="39"/>
        <v>Error?</v>
      </c>
    </row>
    <row r="2596" spans="1:4" x14ac:dyDescent="0.2">
      <c r="A2596" s="5">
        <v>2535</v>
      </c>
      <c r="B2596" s="137">
        <f>'Acct Summary 7-8'!F13</f>
        <v>87363</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87363</v>
      </c>
      <c r="C2600" s="2" t="s">
        <v>594</v>
      </c>
      <c r="D2600" s="2" t="str">
        <f t="shared" si="39"/>
        <v>Error?</v>
      </c>
    </row>
    <row r="2601" spans="1:4" x14ac:dyDescent="0.2">
      <c r="A2601" s="5">
        <v>2540</v>
      </c>
      <c r="B2601" s="137">
        <f>'Acct Summary 7-8'!F20</f>
        <v>180300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-155071</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-155071</v>
      </c>
      <c r="C2606" s="2" t="s">
        <v>594</v>
      </c>
      <c r="D2606" s="2" t="str">
        <f t="shared" si="39"/>
        <v>Error?</v>
      </c>
    </row>
    <row r="2607" spans="1:4" x14ac:dyDescent="0.2">
      <c r="A2607" s="5">
        <v>2546</v>
      </c>
      <c r="B2607" s="137">
        <f>'Acct Summary 7-8'!G12</f>
        <v>38969</v>
      </c>
      <c r="C2607" s="2" t="s">
        <v>594</v>
      </c>
      <c r="D2607" s="2" t="str">
        <f t="shared" si="39"/>
        <v>Error?</v>
      </c>
    </row>
    <row r="2608" spans="1:4" x14ac:dyDescent="0.2">
      <c r="A2608" s="5">
        <v>2547</v>
      </c>
      <c r="B2608" s="137">
        <f>'Acct Summary 7-8'!G13</f>
        <v>113560</v>
      </c>
      <c r="C2608" s="2" t="s">
        <v>594</v>
      </c>
      <c r="D2608" s="2" t="str">
        <f t="shared" si="39"/>
        <v>Error?</v>
      </c>
    </row>
    <row r="2609" spans="1:4" x14ac:dyDescent="0.2">
      <c r="A2609" s="5">
        <v>2548</v>
      </c>
      <c r="B2609" s="137">
        <f>'Acct Summary 7-8'!G14</f>
        <v>4401</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156930</v>
      </c>
      <c r="C2612" s="2" t="s">
        <v>594</v>
      </c>
      <c r="D2612" s="2" t="str">
        <f t="shared" si="39"/>
        <v>Error?</v>
      </c>
    </row>
    <row r="2613" spans="1:4" x14ac:dyDescent="0.2">
      <c r="A2613" s="5">
        <v>2552</v>
      </c>
      <c r="B2613" s="137">
        <f>'Acct Summary 7-8'!G20</f>
        <v>-312001</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415128</v>
      </c>
      <c r="C2630" s="2" t="s">
        <v>594</v>
      </c>
      <c r="D2630" s="2" t="str">
        <f t="shared" si="40"/>
        <v>Error?</v>
      </c>
    </row>
    <row r="2631" spans="1:4" x14ac:dyDescent="0.2">
      <c r="A2631" s="5">
        <v>2570</v>
      </c>
      <c r="B2631" s="137">
        <f>'Acct Summary 7-8'!E6</f>
        <v>14642</v>
      </c>
      <c r="C2631" s="2" t="s">
        <v>594</v>
      </c>
      <c r="D2631" s="2" t="str">
        <f t="shared" si="40"/>
        <v>Error?</v>
      </c>
    </row>
    <row r="2632" spans="1:4" x14ac:dyDescent="0.2">
      <c r="A2632" s="5">
        <v>2571</v>
      </c>
      <c r="B2632" s="137">
        <f>'Acct Summary 7-8'!E8</f>
        <v>429770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371750</v>
      </c>
      <c r="C2634" s="2" t="s">
        <v>594</v>
      </c>
      <c r="D2634" s="2" t="str">
        <f t="shared" si="40"/>
        <v>Error?</v>
      </c>
    </row>
    <row r="2635" spans="1:4" x14ac:dyDescent="0.2">
      <c r="A2635" s="5">
        <v>2574</v>
      </c>
      <c r="B2635" s="137">
        <f>'Acct Summary 7-8'!E17</f>
        <v>371750</v>
      </c>
      <c r="C2635" s="2" t="s">
        <v>594</v>
      </c>
      <c r="D2635" s="2" t="str">
        <f t="shared" si="40"/>
        <v>Error?</v>
      </c>
    </row>
    <row r="2636" spans="1:4" x14ac:dyDescent="0.2">
      <c r="A2636" s="5">
        <v>2575</v>
      </c>
      <c r="B2636" s="137">
        <f>'Acct Summary 7-8'!E20</f>
        <v>58020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23</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23</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23</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13286</v>
      </c>
      <c r="D2718" s="2" t="str">
        <f t="shared" si="41"/>
        <v>Error?</v>
      </c>
    </row>
    <row r="2719" spans="1:4" x14ac:dyDescent="0.2">
      <c r="A2719" s="5">
        <v>2658</v>
      </c>
      <c r="B2719" s="137">
        <f>'Expenditures 15-22'!D51</f>
        <v>4324</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17610</v>
      </c>
      <c r="C2724" s="2" t="s">
        <v>594</v>
      </c>
      <c r="D2724" s="2" t="str">
        <f t="shared" si="41"/>
        <v>Error?</v>
      </c>
    </row>
    <row r="2725" spans="1:4" x14ac:dyDescent="0.2">
      <c r="A2725" s="5">
        <v>2664</v>
      </c>
      <c r="B2725" s="137">
        <f>'Expenditures 15-22'!D247</f>
        <v>2392</v>
      </c>
      <c r="D2725" s="2" t="str">
        <f t="shared" si="41"/>
        <v>Error?</v>
      </c>
    </row>
    <row r="2726" spans="1:4" x14ac:dyDescent="0.2">
      <c r="A2726" s="5">
        <v>2665</v>
      </c>
      <c r="B2726" s="137">
        <f>'Expenditures 15-22'!K247</f>
        <v>2392</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497078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875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497078</v>
      </c>
      <c r="D2912" s="2" t="str">
        <f t="shared" si="44"/>
        <v>Error?</v>
      </c>
    </row>
    <row r="2913" spans="1:4" x14ac:dyDescent="0.2">
      <c r="A2913" s="5">
        <v>2852</v>
      </c>
      <c r="B2913" s="137">
        <f>'Assets-Liab 5-6'!I41</f>
        <v>497078</v>
      </c>
      <c r="C2913" s="2" t="s">
        <v>594</v>
      </c>
      <c r="D2913" s="2" t="str">
        <f t="shared" si="44"/>
        <v>Error?</v>
      </c>
    </row>
    <row r="2914" spans="1:4" x14ac:dyDescent="0.2">
      <c r="A2914" s="5">
        <v>2853</v>
      </c>
      <c r="B2914" s="137">
        <f>'Assets-Liab 5-6'!L33</f>
        <v>875</v>
      </c>
      <c r="D2914" s="2" t="str">
        <f t="shared" si="44"/>
        <v>Error?</v>
      </c>
    </row>
    <row r="2915" spans="1:4" x14ac:dyDescent="0.2">
      <c r="A2915" s="10">
        <v>2854</v>
      </c>
      <c r="D2915" s="2" t="str">
        <f t="shared" si="44"/>
        <v>OK</v>
      </c>
    </row>
    <row r="2916" spans="1:4" x14ac:dyDescent="0.2">
      <c r="A2916" s="5">
        <v>2855</v>
      </c>
      <c r="B2916" s="137">
        <f>'Assets-Liab 5-6'!L34</f>
        <v>875</v>
      </c>
      <c r="C2916" s="2" t="s">
        <v>594</v>
      </c>
      <c r="D2916" s="2" t="str">
        <f t="shared" si="44"/>
        <v>Error?</v>
      </c>
    </row>
    <row r="2917" spans="1:4" x14ac:dyDescent="0.2">
      <c r="A2917" s="5">
        <v>2856</v>
      </c>
      <c r="B2917" s="137">
        <f>'Assets-Liab 5-6'!L41</f>
        <v>875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210387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210387</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153806</v>
      </c>
      <c r="D3055" s="2" t="str">
        <f t="shared" si="46"/>
        <v>Error?</v>
      </c>
    </row>
    <row r="3056" spans="1:4" x14ac:dyDescent="0.2">
      <c r="A3056" s="5">
        <v>2995</v>
      </c>
      <c r="B3056" s="137">
        <f>'Expenditures 15-22'!D10</f>
        <v>20189</v>
      </c>
      <c r="D3056" s="2" t="str">
        <f t="shared" si="46"/>
        <v>Error?</v>
      </c>
    </row>
    <row r="3057" spans="1:4" x14ac:dyDescent="0.2">
      <c r="A3057" s="5">
        <v>2996</v>
      </c>
      <c r="B3057" s="137">
        <f>'Expenditures 15-22'!E10</f>
        <v>12719</v>
      </c>
      <c r="D3057" s="2" t="str">
        <f t="shared" si="46"/>
        <v>Error?</v>
      </c>
    </row>
    <row r="3058" spans="1:4" x14ac:dyDescent="0.2">
      <c r="A3058" s="5">
        <v>2997</v>
      </c>
      <c r="B3058" s="137">
        <f>'Expenditures 15-22'!F10</f>
        <v>11285</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197999</v>
      </c>
      <c r="C3062" s="2" t="s">
        <v>594</v>
      </c>
      <c r="D3062" s="2" t="str">
        <f t="shared" si="46"/>
        <v>Error?</v>
      </c>
    </row>
    <row r="3063" spans="1:4" x14ac:dyDescent="0.2">
      <c r="A3063" s="10">
        <v>3002</v>
      </c>
      <c r="D3063" s="2" t="str">
        <f t="shared" si="46"/>
        <v>OK</v>
      </c>
    </row>
    <row r="3064" spans="1:4" x14ac:dyDescent="0.2">
      <c r="A3064" s="5">
        <v>3003</v>
      </c>
      <c r="B3064" s="137">
        <f>'Expenditures 15-22'!D219</f>
        <v>5472</v>
      </c>
      <c r="D3064" s="2" t="str">
        <f t="shared" si="46"/>
        <v>Error?</v>
      </c>
    </row>
    <row r="3065" spans="1:4" x14ac:dyDescent="0.2">
      <c r="A3065" s="5">
        <v>3004</v>
      </c>
      <c r="B3065" s="137">
        <f>'Expenditures 15-22'!K219</f>
        <v>5472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8462</v>
      </c>
      <c r="C3225" s="2" t="s">
        <v>594</v>
      </c>
      <c r="D3225" s="2" t="str">
        <f t="shared" si="49"/>
        <v>Error?</v>
      </c>
    </row>
    <row r="3226" spans="1:4" x14ac:dyDescent="0.2">
      <c r="A3226" s="5">
        <v>3165</v>
      </c>
      <c r="B3226" s="137">
        <f>'Acct Summary 7-8'!I8</f>
        <v>8462</v>
      </c>
      <c r="C3226" s="2" t="s">
        <v>594</v>
      </c>
      <c r="D3226" s="2" t="str">
        <f t="shared" si="49"/>
        <v>Error?</v>
      </c>
    </row>
    <row r="3227" spans="1:4" x14ac:dyDescent="0.2">
      <c r="A3227" s="5">
        <v>3166</v>
      </c>
      <c r="B3227" s="137">
        <f>'Acct Summary 7-8'!I20</f>
        <v>8462</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150000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150000</v>
      </c>
      <c r="C3232" s="2" t="s">
        <v>594</v>
      </c>
      <c r="D3232" s="2" t="str">
        <f t="shared" si="49"/>
        <v>Error?</v>
      </c>
    </row>
    <row r="3233" spans="1:4" x14ac:dyDescent="0.2">
      <c r="A3233" s="5">
        <v>3172</v>
      </c>
      <c r="B3233" s="137">
        <f>'Acct Summary 7-8'!C78</f>
        <v>476086</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200000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200000</v>
      </c>
      <c r="C3238" s="2" t="s">
        <v>594</v>
      </c>
      <c r="D3238" s="2" t="str">
        <f t="shared" si="49"/>
        <v>Error?</v>
      </c>
    </row>
    <row r="3239" spans="1:4" x14ac:dyDescent="0.2">
      <c r="A3239" s="5">
        <v>3178</v>
      </c>
      <c r="B3239" s="137">
        <f>'Acct Summary 7-8'!D78</f>
        <v>-23130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350000</v>
      </c>
      <c r="C3254" s="2" t="s">
        <v>594</v>
      </c>
      <c r="D3254" s="2" t="str">
        <f t="shared" si="49"/>
        <v>Error?</v>
      </c>
    </row>
    <row r="3255" spans="1:4" x14ac:dyDescent="0.2">
      <c r="A3255" s="5">
        <v>3194</v>
      </c>
      <c r="B3255" s="137">
        <f>'Acct Summary 7-8'!F77</f>
        <v>-350000</v>
      </c>
      <c r="C3255" s="2" t="s">
        <v>594</v>
      </c>
      <c r="D3255" s="2" t="str">
        <f t="shared" si="49"/>
        <v>Error?</v>
      </c>
    </row>
    <row r="3256" spans="1:4" x14ac:dyDescent="0.2">
      <c r="A3256" s="5">
        <v>3195</v>
      </c>
      <c r="B3256" s="137">
        <f>'Acct Summary 7-8'!F78</f>
        <v>-169700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-312001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58020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23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8462</v>
      </c>
      <c r="C3320" s="2" t="s">
        <v>594</v>
      </c>
      <c r="D3320" s="2" t="str">
        <f t="shared" si="50"/>
        <v>Error?</v>
      </c>
    </row>
    <row r="3321" spans="1:4" x14ac:dyDescent="0.2">
      <c r="A3321" s="5">
        <v>3260</v>
      </c>
      <c r="B3321" s="137">
        <f>'Acct Summary 7-8'!I79</f>
        <v>488616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497078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225287</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27604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14288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19471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292471</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13147</v>
      </c>
      <c r="D3387" s="2" t="str">
        <f t="shared" si="51"/>
        <v>Error?</v>
      </c>
    </row>
    <row r="3388" spans="1:4" x14ac:dyDescent="0.2">
      <c r="A3388" s="5">
        <v>3327</v>
      </c>
      <c r="B3388" s="137">
        <f>'Expenditures 15-22'!D217</f>
        <v>7360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13147</v>
      </c>
      <c r="C3390" s="2" t="s">
        <v>594</v>
      </c>
      <c r="D3390" s="2" t="str">
        <f t="shared" si="51"/>
        <v>Error?</v>
      </c>
    </row>
    <row r="3391" spans="1:4" x14ac:dyDescent="0.2">
      <c r="A3391" s="5">
        <v>3330</v>
      </c>
      <c r="B3391" s="137">
        <f>'Expenditures 15-22'!K217</f>
        <v>7360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1586857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308050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277235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432087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2822</v>
      </c>
      <c r="D3425" s="2" t="str">
        <f t="shared" si="52"/>
        <v>Error?</v>
      </c>
    </row>
    <row r="3426" spans="1:4" x14ac:dyDescent="0.2">
      <c r="A3426" s="10">
        <v>3365</v>
      </c>
      <c r="D3426" s="2" t="str">
        <f t="shared" si="52"/>
        <v>OK</v>
      </c>
    </row>
    <row r="3427" spans="1:4" x14ac:dyDescent="0.2">
      <c r="A3427" s="5">
        <v>3366</v>
      </c>
      <c r="B3427" s="137">
        <f>'Assets-Liab 5-6'!I4</f>
        <v>497078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875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-81123</v>
      </c>
      <c r="C3446" s="2" t="s">
        <v>594</v>
      </c>
      <c r="D3446" s="2" t="str">
        <f t="shared" si="52"/>
        <v>Error?</v>
      </c>
    </row>
    <row r="3447" spans="1:4" x14ac:dyDescent="0.2">
      <c r="A3447" s="5">
        <v>3386</v>
      </c>
      <c r="B3447" s="137">
        <f>'Tax Sched 23'!D16</f>
        <v>-81123</v>
      </c>
      <c r="C3447" s="2" t="s">
        <v>594</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594</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215309</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215309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215309</v>
      </c>
      <c r="D3567" s="2" t="str">
        <f t="shared" si="54"/>
        <v>Error?</v>
      </c>
    </row>
    <row r="3568" spans="1:4" x14ac:dyDescent="0.2">
      <c r="A3568" s="5">
        <v>3507</v>
      </c>
      <c r="B3568" s="137">
        <f>'Assets-Liab 5-6'!K41</f>
        <v>215309</v>
      </c>
      <c r="C3568" s="2" t="s">
        <v>594</v>
      </c>
      <c r="D3568" s="2" t="str">
        <f t="shared" si="54"/>
        <v>Error?</v>
      </c>
    </row>
    <row r="3569" spans="1:4" x14ac:dyDescent="0.2">
      <c r="A3569" s="5">
        <v>3508</v>
      </c>
      <c r="B3569" s="137">
        <f>'Acct Summary 7-8'!K4</f>
        <v>1770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1770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1770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1770</v>
      </c>
      <c r="C3588" s="2" t="s">
        <v>594</v>
      </c>
      <c r="D3588" s="2" t="str">
        <f t="shared" si="55"/>
        <v>Error?</v>
      </c>
    </row>
    <row r="3589" spans="1:4" x14ac:dyDescent="0.2">
      <c r="A3589" s="5">
        <v>3528</v>
      </c>
      <c r="B3589" s="137">
        <f>'Acct Summary 7-8'!K79</f>
        <v>213539</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215309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1770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164831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1455499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5668969</v>
      </c>
      <c r="C4122" s="2" t="s">
        <v>594</v>
      </c>
      <c r="D4122" s="2" t="str">
        <f t="shared" si="63"/>
        <v>Error?</v>
      </c>
    </row>
    <row r="4123" spans="1:4" x14ac:dyDescent="0.2">
      <c r="A4123" s="5">
        <v>4062</v>
      </c>
      <c r="B4123" s="137">
        <f>'Acct Summary 7-8'!D10</f>
        <v>352062</v>
      </c>
      <c r="C4123" s="2" t="s">
        <v>594</v>
      </c>
      <c r="D4123" s="2" t="str">
        <f t="shared" si="63"/>
        <v>Error?</v>
      </c>
    </row>
    <row r="4124" spans="1:4" x14ac:dyDescent="0.2">
      <c r="A4124" s="5">
        <v>4063</v>
      </c>
      <c r="B4124" s="137">
        <f>'Acct Summary 7-8'!E10</f>
        <v>429770</v>
      </c>
      <c r="C4124" s="2" t="s">
        <v>594</v>
      </c>
      <c r="D4124" s="2" t="str">
        <f t="shared" si="63"/>
        <v>Error?</v>
      </c>
    </row>
    <row r="4125" spans="1:4" x14ac:dyDescent="0.2">
      <c r="A4125" s="5">
        <v>4064</v>
      </c>
      <c r="B4125" s="137">
        <f>'Acct Summary 7-8'!F10</f>
        <v>267663</v>
      </c>
      <c r="C4125" s="2" t="s">
        <v>594</v>
      </c>
      <c r="D4125" s="2" t="str">
        <f t="shared" si="63"/>
        <v>Error?</v>
      </c>
    </row>
    <row r="4126" spans="1:4" x14ac:dyDescent="0.2">
      <c r="A4126" s="5">
        <v>4065</v>
      </c>
      <c r="B4126" s="137">
        <f>'Acct Summary 7-8'!G10</f>
        <v>-155071</v>
      </c>
      <c r="C4126" s="2" t="s">
        <v>594</v>
      </c>
      <c r="D4126" s="2" t="str">
        <f t="shared" si="63"/>
        <v>Error?</v>
      </c>
    </row>
    <row r="4127" spans="1:4" x14ac:dyDescent="0.2">
      <c r="A4127" s="5">
        <v>4066</v>
      </c>
      <c r="B4127" s="137">
        <f>'Acct Summary 7-8'!H10</f>
        <v>23</v>
      </c>
      <c r="C4127" s="2" t="s">
        <v>594</v>
      </c>
      <c r="D4127" s="2" t="str">
        <f t="shared" si="63"/>
        <v>Error?</v>
      </c>
    </row>
    <row r="4128" spans="1:4" x14ac:dyDescent="0.2">
      <c r="A4128" s="5">
        <v>4067</v>
      </c>
      <c r="B4128" s="137">
        <f>'Acct Summary 7-8'!I10</f>
        <v>8462</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1770</v>
      </c>
      <c r="C4130" s="2" t="s">
        <v>594</v>
      </c>
      <c r="D4130" s="2" t="str">
        <f t="shared" si="63"/>
        <v>Error?</v>
      </c>
    </row>
    <row r="4131" spans="1:4" x14ac:dyDescent="0.2">
      <c r="A4131" s="5">
        <v>4070</v>
      </c>
      <c r="B4131" s="137">
        <f>'Acct Summary 7-8'!C18</f>
        <v>1455499</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5342883</v>
      </c>
      <c r="C4136" s="2" t="s">
        <v>594</v>
      </c>
      <c r="D4136" s="2" t="str">
        <f t="shared" si="63"/>
        <v>Error?</v>
      </c>
    </row>
    <row r="4137" spans="1:4" x14ac:dyDescent="0.2">
      <c r="A4137" s="5">
        <v>4076</v>
      </c>
      <c r="B4137" s="137">
        <f>'Acct Summary 7-8'!D19</f>
        <v>575192</v>
      </c>
      <c r="C4137" s="2" t="s">
        <v>594</v>
      </c>
      <c r="D4137" s="2" t="str">
        <f t="shared" si="63"/>
        <v>Error?</v>
      </c>
    </row>
    <row r="4138" spans="1:4" x14ac:dyDescent="0.2">
      <c r="A4138" s="5">
        <v>4077</v>
      </c>
      <c r="B4138" s="137">
        <f>'Acct Summary 7-8'!E19</f>
        <v>371750</v>
      </c>
      <c r="C4138" s="2" t="s">
        <v>594</v>
      </c>
      <c r="D4138" s="2" t="str">
        <f t="shared" si="63"/>
        <v>Error?</v>
      </c>
    </row>
    <row r="4139" spans="1:4" x14ac:dyDescent="0.2">
      <c r="A4139" s="5">
        <v>4078</v>
      </c>
      <c r="B4139" s="137">
        <f>'Acct Summary 7-8'!F19</f>
        <v>87363</v>
      </c>
      <c r="C4139" s="2" t="s">
        <v>594</v>
      </c>
      <c r="D4139" s="2" t="str">
        <f t="shared" si="63"/>
        <v>Error?</v>
      </c>
    </row>
    <row r="4140" spans="1:4" x14ac:dyDescent="0.2">
      <c r="A4140" s="5">
        <v>4079</v>
      </c>
      <c r="B4140" s="137">
        <f>'Acct Summary 7-8'!G19</f>
        <v>156930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875000</v>
      </c>
      <c r="C4171" s="2" t="s">
        <v>594</v>
      </c>
      <c r="D4171" s="2" t="str">
        <f t="shared" si="64"/>
        <v>Error?</v>
      </c>
    </row>
    <row r="4172" spans="1:4" x14ac:dyDescent="0.2">
      <c r="A4172" s="5">
        <v>4111</v>
      </c>
      <c r="B4172" s="137">
        <f>'Short-Term Long-Term Debt 24'!J49</f>
        <v>875000</v>
      </c>
      <c r="C4172" s="2" t="s">
        <v>594</v>
      </c>
      <c r="D4172" s="2" t="str">
        <f t="shared" si="64"/>
        <v>Error?</v>
      </c>
    </row>
    <row r="4173" spans="1:4" x14ac:dyDescent="0.2">
      <c r="A4173" s="5">
        <v>4112</v>
      </c>
      <c r="B4173" s="137">
        <f>'Short-Term Long-Term Debt 24'!H49</f>
        <v>320000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4278</v>
      </c>
      <c r="C4265" s="2" t="s">
        <v>594</v>
      </c>
      <c r="D4265" s="2" t="str">
        <f t="shared" si="65"/>
        <v>Error?</v>
      </c>
      <c r="E4265" s="127"/>
    </row>
    <row r="4266" spans="1:5" x14ac:dyDescent="0.2">
      <c r="A4266" s="12">
        <v>4205</v>
      </c>
      <c r="B4266" s="137">
        <f>('FP Info 3'!F10)*100000</f>
        <v>420</v>
      </c>
      <c r="C4266" s="2" t="s">
        <v>594</v>
      </c>
      <c r="D4266" s="2" t="str">
        <f t="shared" si="65"/>
        <v>Error?</v>
      </c>
      <c r="E4266" s="127"/>
    </row>
    <row r="4267" spans="1:5" x14ac:dyDescent="0.2">
      <c r="A4267" s="12">
        <v>4206</v>
      </c>
      <c r="B4267" s="137">
        <f>('FP Info 3'!H10)*100000</f>
        <v>336</v>
      </c>
      <c r="C4267" s="2" t="s">
        <v>594</v>
      </c>
      <c r="D4267" s="2" t="str">
        <f t="shared" si="65"/>
        <v>Error?</v>
      </c>
      <c r="E4267" s="127"/>
    </row>
    <row r="4268" spans="1:5" x14ac:dyDescent="0.2">
      <c r="A4268" s="12">
        <v>4207</v>
      </c>
      <c r="B4268" s="137">
        <f>('FP Info 3'!J10)*100000</f>
        <v>5034</v>
      </c>
      <c r="C4268" s="2" t="s">
        <v>594</v>
      </c>
      <c r="D4268" s="2" t="str">
        <f t="shared" si="65"/>
        <v>Error?</v>
      </c>
    </row>
    <row r="4269" spans="1:5" x14ac:dyDescent="0.2">
      <c r="A4269" s="12">
        <v>4208</v>
      </c>
      <c r="B4269" s="137">
        <f>'FP Info 3'!J16</f>
        <v>2648310</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18907</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14410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6633</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24748</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38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28628</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31911537</v>
      </c>
      <c r="D4995" s="2" t="str">
        <f t="shared" si="77"/>
        <v>Error?</v>
      </c>
    </row>
    <row r="4996" spans="1:4" x14ac:dyDescent="0.2">
      <c r="A4996" s="12">
        <v>4935</v>
      </c>
      <c r="B4996" s="137">
        <f>'FP Info 3'!H31</f>
        <v>2201896.0530000003</v>
      </c>
      <c r="D4996" s="2" t="str">
        <f t="shared" si="77"/>
        <v>Error?</v>
      </c>
    </row>
    <row r="4997" spans="1:4" x14ac:dyDescent="0.2">
      <c r="A4997" s="12">
        <v>4936</v>
      </c>
      <c r="B4997" s="137">
        <f>'FP Info 3'!H37</f>
        <v>875000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150000</v>
      </c>
      <c r="C5012" s="2" t="s">
        <v>594</v>
      </c>
      <c r="D5012" s="2" t="str">
        <f t="shared" si="77"/>
        <v>Error?</v>
      </c>
    </row>
    <row r="5013" spans="1:4" x14ac:dyDescent="0.2">
      <c r="A5013" s="5">
        <v>4952</v>
      </c>
      <c r="B5013" s="137">
        <f>'Acct Summary 7-8'!D27</f>
        <v>200000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350000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453431</v>
      </c>
      <c r="D5061" s="2" t="str">
        <f t="shared" si="78"/>
        <v>Error?</v>
      </c>
    </row>
    <row r="5062" spans="1:4" x14ac:dyDescent="0.2">
      <c r="A5062" s="10">
        <v>5001</v>
      </c>
      <c r="D5062" s="2" t="str">
        <f t="shared" si="78"/>
        <v>OK</v>
      </c>
    </row>
    <row r="5063" spans="1:4" x14ac:dyDescent="0.2">
      <c r="A5063" s="5">
        <v>5002</v>
      </c>
      <c r="B5063" s="137">
        <f>'Revenues 9-14'!C7</f>
        <v>36461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489892</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217185</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217185</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11127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11127</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885</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885</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763</v>
      </c>
      <c r="D5111" s="2" t="str">
        <f t="shared" si="78"/>
        <v>Error?</v>
      </c>
    </row>
    <row r="5112" spans="1:4" x14ac:dyDescent="0.2">
      <c r="A5112" s="5">
        <v>5051</v>
      </c>
      <c r="B5112" s="137">
        <f>'Revenues 9-14'!C93</f>
        <v>763</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205346</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1756</v>
      </c>
      <c r="D5119" s="2" t="str">
        <f t="shared" ref="D5119:D5182" si="79">IF(ISBLANK(B5119),"OK",IF(A5119-B5119=0,"OK","Error?"))</f>
        <v>Error?</v>
      </c>
    </row>
    <row r="5120" spans="1:4" x14ac:dyDescent="0.2">
      <c r="A5120" s="5">
        <v>5059</v>
      </c>
      <c r="B5120" s="137">
        <f>'Revenues 9-14'!C108</f>
        <v>207102</v>
      </c>
      <c r="C5120" s="2" t="s">
        <v>594</v>
      </c>
      <c r="D5120" s="2" t="str">
        <f t="shared" si="79"/>
        <v>Error?</v>
      </c>
    </row>
    <row r="5121" spans="1:4" x14ac:dyDescent="0.2">
      <c r="A5121" s="5">
        <v>5060</v>
      </c>
      <c r="B5121" s="137">
        <f>'Revenues 9-14'!C109</f>
        <v>926954</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1970546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1970546</v>
      </c>
      <c r="C5132" s="2" t="s">
        <v>594</v>
      </c>
      <c r="D5132" s="2" t="str">
        <f t="shared" si="79"/>
        <v>Error?</v>
      </c>
    </row>
    <row r="5133" spans="1:4" x14ac:dyDescent="0.2">
      <c r="A5133" s="5">
        <v>5072</v>
      </c>
      <c r="B5133" s="137">
        <f>'Revenues 9-14'!C124</f>
        <v>3106</v>
      </c>
      <c r="D5133" s="2" t="str">
        <f t="shared" si="79"/>
        <v>Error?</v>
      </c>
    </row>
    <row r="5134" spans="1:4" x14ac:dyDescent="0.2">
      <c r="A5134" s="5">
        <v>5073</v>
      </c>
      <c r="B5134" s="137">
        <f>'Revenues 9-14'!C125</f>
        <v>22476</v>
      </c>
      <c r="D5134" s="2" t="str">
        <f t="shared" si="79"/>
        <v>Error?</v>
      </c>
    </row>
    <row r="5135" spans="1:4" x14ac:dyDescent="0.2">
      <c r="A5135" s="5">
        <v>5074</v>
      </c>
      <c r="B5135" s="137">
        <f>'Revenues 9-14'!C126</f>
        <v>37595</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63177</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3764</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296085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391654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2362200</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141347</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77088</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231679</v>
      </c>
      <c r="C5246" s="2" t="s">
        <v>594</v>
      </c>
      <c r="D5246" s="2" t="str">
        <f t="shared" si="80"/>
        <v>Error?</v>
      </c>
    </row>
    <row r="5247" spans="1:4" x14ac:dyDescent="0.2">
      <c r="A5247" s="5">
        <v>5186</v>
      </c>
      <c r="B5247" s="137">
        <f>'Revenues 9-14'!C203</f>
        <v>493225</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6633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493225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4501</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130213</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134714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924316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924316</v>
      </c>
      <c r="C5326" s="2" t="s">
        <v>594</v>
      </c>
      <c r="D5326" s="2" t="str">
        <f t="shared" si="82"/>
        <v>Error?</v>
      </c>
    </row>
    <row r="5327" spans="1:4" x14ac:dyDescent="0.2">
      <c r="A5327" s="5">
        <v>5266</v>
      </c>
      <c r="B5327" s="137">
        <f>'Revenues 9-14'!C275</f>
        <v>4213470</v>
      </c>
      <c r="C5327" s="2" t="s">
        <v>594</v>
      </c>
      <c r="D5327" s="2" t="str">
        <f t="shared" si="82"/>
        <v>Error?</v>
      </c>
    </row>
    <row r="5328" spans="1:4" x14ac:dyDescent="0.2">
      <c r="A5328" s="5">
        <v>5267</v>
      </c>
      <c r="B5328" s="137">
        <f>'Revenues 9-14'!D5</f>
        <v>50425</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50425</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215322</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215322</v>
      </c>
      <c r="C5339" s="2" t="s">
        <v>594</v>
      </c>
      <c r="D5339" s="2" t="str">
        <f t="shared" si="82"/>
        <v>Error?</v>
      </c>
    </row>
    <row r="5340" spans="1:4" x14ac:dyDescent="0.2">
      <c r="A5340" s="5">
        <v>5279</v>
      </c>
      <c r="B5340" s="137">
        <f>'Revenues 9-14'!D65</f>
        <v>1539</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1539</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84547</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16</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213</v>
      </c>
      <c r="D5354" s="2" t="str">
        <f t="shared" si="82"/>
        <v>Error?</v>
      </c>
    </row>
    <row r="5355" spans="1:4" x14ac:dyDescent="0.2">
      <c r="A5355" s="5">
        <v>5294</v>
      </c>
      <c r="B5355" s="137">
        <f>'Revenues 9-14'!D108</f>
        <v>84776</v>
      </c>
      <c r="C5355" s="2" t="s">
        <v>594</v>
      </c>
      <c r="D5355" s="2" t="str">
        <f t="shared" si="82"/>
        <v>Error?</v>
      </c>
    </row>
    <row r="5356" spans="1:4" x14ac:dyDescent="0.2">
      <c r="A5356" s="5">
        <v>5295</v>
      </c>
      <c r="B5356" s="137">
        <f>'Revenues 9-14'!D109</f>
        <v>352062</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352062</v>
      </c>
      <c r="C5508" s="2" t="s">
        <v>594</v>
      </c>
      <c r="D5508" s="2" t="str">
        <f t="shared" si="85"/>
        <v>Error?</v>
      </c>
    </row>
    <row r="5509" spans="1:4" x14ac:dyDescent="0.2">
      <c r="A5509" s="5">
        <v>5448</v>
      </c>
      <c r="B5509" s="137">
        <f>'Revenues 9-14'!E5</f>
        <v>413295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413295</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1833</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1833</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415128</v>
      </c>
      <c r="C5527" s="2" t="s">
        <v>594</v>
      </c>
      <c r="D5527" s="2" t="str">
        <f t="shared" si="85"/>
        <v>Error?</v>
      </c>
    </row>
    <row r="5528" spans="1:4" x14ac:dyDescent="0.2">
      <c r="A5528" s="5">
        <v>5467</v>
      </c>
      <c r="B5528" s="137">
        <f>'Revenues 9-14'!E117</f>
        <v>14642</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14642</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14642</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429770</v>
      </c>
      <c r="C5552" s="2" t="s">
        <v>594</v>
      </c>
      <c r="D5552" s="2" t="str">
        <f t="shared" si="85"/>
        <v>Error?</v>
      </c>
    </row>
    <row r="5553" spans="1:4" x14ac:dyDescent="0.2">
      <c r="A5553" s="5">
        <v>5492</v>
      </c>
      <c r="B5553" s="137">
        <f>'Revenues 9-14'!F5</f>
        <v>195683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195683</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4178</v>
      </c>
      <c r="D5580" s="2" t="str">
        <f t="shared" si="86"/>
        <v>Error?</v>
      </c>
    </row>
    <row r="5581" spans="1:4" x14ac:dyDescent="0.2">
      <c r="A5581" s="5">
        <v>5520</v>
      </c>
      <c r="B5581" s="137">
        <f>'Revenues 9-14'!F66</f>
        <v>0</v>
      </c>
      <c r="D5581" s="2" t="str">
        <f t="shared" si="86"/>
        <v>Error?</v>
      </c>
    </row>
    <row r="5582" spans="1:4" x14ac:dyDescent="0.2">
      <c r="A5582" s="5">
        <v>5521</v>
      </c>
      <c r="B5582" s="137">
        <f>'Revenues 9-14'!F67</f>
        <v>4178</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13920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13920</v>
      </c>
      <c r="C5587" s="2" t="s">
        <v>594</v>
      </c>
      <c r="D5587" s="2" t="str">
        <f t="shared" si="86"/>
        <v>Error?</v>
      </c>
    </row>
    <row r="5588" spans="1:4" x14ac:dyDescent="0.2">
      <c r="A5588" s="5">
        <v>5527</v>
      </c>
      <c r="B5588" s="137">
        <f>'Revenues 9-14'!F109</f>
        <v>213781</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16875</v>
      </c>
      <c r="D5615" s="2" t="str">
        <f t="shared" si="86"/>
        <v>Error?</v>
      </c>
    </row>
    <row r="5616" spans="1:4" x14ac:dyDescent="0.2">
      <c r="A5616" s="10">
        <v>5555</v>
      </c>
      <c r="D5616" s="2" t="str">
        <f t="shared" si="86"/>
        <v>OK</v>
      </c>
    </row>
    <row r="5617" spans="1:4" x14ac:dyDescent="0.2">
      <c r="A5617" s="5">
        <v>5556</v>
      </c>
      <c r="B5617" s="137">
        <f>'Revenues 9-14'!F152</f>
        <v>37007</v>
      </c>
      <c r="D5617" s="2" t="str">
        <f t="shared" si="86"/>
        <v>Error?</v>
      </c>
    </row>
    <row r="5618" spans="1:4" x14ac:dyDescent="0.2">
      <c r="A5618" s="5">
        <v>5557</v>
      </c>
      <c r="B5618" s="137">
        <f>'Revenues 9-14'!F154</f>
        <v>53882</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53882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53882</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267663</v>
      </c>
      <c r="C5720" s="2" t="s">
        <v>594</v>
      </c>
      <c r="D5720" s="2" t="str">
        <f t="shared" si="88"/>
        <v>Error?</v>
      </c>
    </row>
    <row r="5721" spans="1:4" x14ac:dyDescent="0.2">
      <c r="A5721" s="5">
        <v>5660</v>
      </c>
      <c r="B5721" s="137">
        <f>'Revenues 9-14'!G5</f>
        <v>-81123</v>
      </c>
      <c r="D5721" s="2" t="str">
        <f t="shared" si="88"/>
        <v>Error?</v>
      </c>
    </row>
    <row r="5722" spans="1:4" x14ac:dyDescent="0.2">
      <c r="A5722" s="5">
        <v>5661</v>
      </c>
      <c r="B5722" s="137">
        <f>'Revenues 9-14'!G7</f>
        <v>0</v>
      </c>
      <c r="D5722" s="2" t="str">
        <f t="shared" si="88"/>
        <v>Error?</v>
      </c>
    </row>
    <row r="5723" spans="1:4" x14ac:dyDescent="0.2">
      <c r="A5723" s="5">
        <v>5662</v>
      </c>
      <c r="B5723" s="137">
        <f>'Revenues 9-14'!G8</f>
        <v>-81123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-162246</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1500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1500</v>
      </c>
      <c r="C5730" s="2" t="s">
        <v>594</v>
      </c>
      <c r="D5730" s="2" t="str">
        <f t="shared" si="88"/>
        <v>Error?</v>
      </c>
    </row>
    <row r="5731" spans="1:4" x14ac:dyDescent="0.2">
      <c r="A5731" s="5">
        <v>5670</v>
      </c>
      <c r="B5731" s="137">
        <f>'Revenues 9-14'!G65</f>
        <v>5675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5675</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-155071</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23</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23</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23</v>
      </c>
      <c r="C5915" s="2" t="s">
        <v>594</v>
      </c>
      <c r="D5915" s="2" t="str">
        <f t="shared" si="91"/>
        <v>Error?</v>
      </c>
    </row>
    <row r="5916" spans="1:4" x14ac:dyDescent="0.2">
      <c r="A5916" s="5">
        <v>5855</v>
      </c>
      <c r="B5916" s="137">
        <f>'Revenues 9-14'!I5</f>
        <v>4564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4564</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3898</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3898</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8462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1770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1770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1770</v>
      </c>
      <c r="C6023" s="2" t="s">
        <v>594</v>
      </c>
      <c r="D6023" s="2" t="str">
        <f t="shared" si="93"/>
        <v>Error?</v>
      </c>
    </row>
    <row r="6024" spans="1:5" x14ac:dyDescent="0.2">
      <c r="A6024" s="5">
        <v>5963</v>
      </c>
      <c r="B6024" s="137">
        <f>'Revenues 9-14'!G109</f>
        <v>-155071</v>
      </c>
      <c r="C6024" s="2" t="s">
        <v>594</v>
      </c>
      <c r="D6024" s="2" t="str">
        <f t="shared" si="93"/>
        <v>Error?</v>
      </c>
    </row>
    <row r="6025" spans="1:5" x14ac:dyDescent="0.2">
      <c r="A6025" s="5">
        <v>5964</v>
      </c>
      <c r="B6025" s="137">
        <f>'Revenues 9-14'!H109</f>
        <v>23</v>
      </c>
      <c r="C6025" s="2" t="s">
        <v>594</v>
      </c>
      <c r="D6025" s="2" t="str">
        <f t="shared" si="93"/>
        <v>Error?</v>
      </c>
    </row>
    <row r="6026" spans="1:5" x14ac:dyDescent="0.2">
      <c r="A6026" s="5">
        <v>5965</v>
      </c>
      <c r="B6026" s="137">
        <f>'Revenues 9-14'!I109</f>
        <v>8462</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1770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15735</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196.7</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206722</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87</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87</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206635</v>
      </c>
      <c r="D6215" s="2" t="str">
        <f t="shared" si="96"/>
        <v>Error?</v>
      </c>
      <c r="E6215" s="2" t="s">
        <v>199</v>
      </c>
    </row>
    <row r="6216" spans="1:5" x14ac:dyDescent="0.2">
      <c r="A6216">
        <v>6155</v>
      </c>
      <c r="B6216" s="137">
        <f>'Assets-Liab 5-6'!J41</f>
        <v>206722</v>
      </c>
      <c r="D6216" s="2" t="str">
        <f t="shared" si="96"/>
        <v>Error?</v>
      </c>
      <c r="E6216" s="2" t="s">
        <v>199</v>
      </c>
    </row>
    <row r="6217" spans="1:5" x14ac:dyDescent="0.2">
      <c r="A6217">
        <v>6156</v>
      </c>
      <c r="B6217" s="137">
        <f>'Assets-Liab 5-6'!J4</f>
        <v>206722</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235799</v>
      </c>
      <c r="D6220" s="2" t="str">
        <f t="shared" si="96"/>
        <v>Error?</v>
      </c>
      <c r="E6220" s="2" t="s">
        <v>199</v>
      </c>
    </row>
    <row r="6221" spans="1:5" x14ac:dyDescent="0.2">
      <c r="A6221">
        <v>6160</v>
      </c>
      <c r="B6221" s="137">
        <f>'Acct Summary 7-8'!J6</f>
        <v>218452</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454251</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454251</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349973</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349973</v>
      </c>
      <c r="D6229" s="2" t="str">
        <f t="shared" si="96"/>
        <v>Error?</v>
      </c>
      <c r="E6229" s="2" t="s">
        <v>199</v>
      </c>
    </row>
    <row r="6230" spans="1:5" x14ac:dyDescent="0.2">
      <c r="A6230">
        <v>6169</v>
      </c>
      <c r="B6230" s="137">
        <f>'Acct Summary 7-8'!J20</f>
        <v>104278</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104278</v>
      </c>
      <c r="D6263" s="2" t="str">
        <f t="shared" si="96"/>
        <v>Error?</v>
      </c>
      <c r="E6263" s="2" t="s">
        <v>199</v>
      </c>
    </row>
    <row r="6264" spans="1:5" x14ac:dyDescent="0.2">
      <c r="A6264">
        <v>6203</v>
      </c>
      <c r="B6264" s="137">
        <f>'Acct Summary 7-8'!J79</f>
        <v>102357</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206635</v>
      </c>
      <c r="D6266" s="2" t="str">
        <f t="shared" si="96"/>
        <v>Error?</v>
      </c>
      <c r="E6266" s="2" t="s">
        <v>199</v>
      </c>
    </row>
    <row r="6267" spans="1:5" x14ac:dyDescent="0.2">
      <c r="A6267">
        <v>6206</v>
      </c>
      <c r="B6267" s="137">
        <f>'Acct Summary 7-8'!C82</f>
        <v>476086</v>
      </c>
      <c r="D6267" s="2" t="str">
        <f t="shared" si="96"/>
        <v>Error?</v>
      </c>
      <c r="E6267" s="2" t="s">
        <v>199</v>
      </c>
    </row>
    <row r="6268" spans="1:5" x14ac:dyDescent="0.2">
      <c r="A6268">
        <v>6207</v>
      </c>
      <c r="B6268" s="137">
        <f>'Acct Summary 7-8'!D82</f>
        <v>-23130</v>
      </c>
      <c r="D6268" s="2" t="str">
        <f t="shared" si="96"/>
        <v>Error?</v>
      </c>
      <c r="E6268" s="2" t="s">
        <v>199</v>
      </c>
    </row>
    <row r="6269" spans="1:5" x14ac:dyDescent="0.2">
      <c r="A6269">
        <v>6208</v>
      </c>
      <c r="B6269" s="137">
        <f>'Acct Summary 7-8'!E82</f>
        <v>58020</v>
      </c>
      <c r="D6269" s="2" t="str">
        <f t="shared" si="96"/>
        <v>Error?</v>
      </c>
      <c r="E6269" s="2" t="s">
        <v>199</v>
      </c>
    </row>
    <row r="6270" spans="1:5" x14ac:dyDescent="0.2">
      <c r="A6270">
        <v>6209</v>
      </c>
      <c r="B6270" s="137">
        <f>'Acct Summary 7-8'!F82</f>
        <v>-169700</v>
      </c>
      <c r="D6270" s="2" t="str">
        <f t="shared" si="96"/>
        <v>Error?</v>
      </c>
      <c r="E6270" s="2" t="s">
        <v>199</v>
      </c>
    </row>
    <row r="6271" spans="1:5" x14ac:dyDescent="0.2">
      <c r="A6271">
        <v>6210</v>
      </c>
      <c r="B6271" s="137">
        <f>'Acct Summary 7-8'!G82</f>
        <v>-312001</v>
      </c>
      <c r="D6271" s="2" t="str">
        <f t="shared" ref="D6271:D6334" si="97">IF(ISBLANK(B6271),"OK",IF(A6271-B6271=0,"OK","Error?"))</f>
        <v>Error?</v>
      </c>
      <c r="E6271" s="2" t="s">
        <v>199</v>
      </c>
    </row>
    <row r="6272" spans="1:5" x14ac:dyDescent="0.2">
      <c r="A6272">
        <v>6211</v>
      </c>
      <c r="B6272" s="137">
        <f>'Acct Summary 7-8'!H82</f>
        <v>23</v>
      </c>
      <c r="D6272" s="2" t="str">
        <f t="shared" si="97"/>
        <v>Error?</v>
      </c>
      <c r="E6272" s="2" t="s">
        <v>199</v>
      </c>
    </row>
    <row r="6273" spans="1:5" x14ac:dyDescent="0.2">
      <c r="A6273">
        <v>6212</v>
      </c>
      <c r="B6273" s="137">
        <f>'Acct Summary 7-8'!I82</f>
        <v>8462</v>
      </c>
      <c r="D6273" s="2" t="str">
        <f t="shared" si="97"/>
        <v>Error?</v>
      </c>
      <c r="E6273" s="2" t="s">
        <v>199</v>
      </c>
    </row>
    <row r="6274" spans="1:5" x14ac:dyDescent="0.2">
      <c r="A6274">
        <v>6213</v>
      </c>
      <c r="B6274" s="137">
        <f>'Acct Summary 7-8'!J82</f>
        <v>104278</v>
      </c>
      <c r="D6274" s="2" t="str">
        <f t="shared" si="97"/>
        <v>Error?</v>
      </c>
      <c r="E6274" s="2" t="s">
        <v>199</v>
      </c>
    </row>
    <row r="6275" spans="1:5" x14ac:dyDescent="0.2">
      <c r="A6275">
        <v>6214</v>
      </c>
      <c r="B6275" s="137">
        <f>'Acct Summary 7-8'!K82</f>
        <v>1770</v>
      </c>
      <c r="D6275" s="2" t="str">
        <f t="shared" si="97"/>
        <v>Error?</v>
      </c>
      <c r="E6275" s="2" t="s">
        <v>199</v>
      </c>
    </row>
    <row r="6276" spans="1:5" x14ac:dyDescent="0.2">
      <c r="A6276">
        <v>6215</v>
      </c>
      <c r="B6276" s="137">
        <f>'Acct Summary 7-8'!C83</f>
        <v>0.3040057009928846</v>
      </c>
      <c r="D6276" s="2" t="str">
        <f t="shared" si="97"/>
        <v>Error?</v>
      </c>
      <c r="E6276" s="2" t="s">
        <v>199</v>
      </c>
    </row>
    <row r="6277" spans="1:5" x14ac:dyDescent="0.2">
      <c r="A6277">
        <v>6216</v>
      </c>
      <c r="B6277" s="137">
        <f>'Acct Summary 7-8'!D83</f>
        <v>-7.5108620118589139E-2</v>
      </c>
      <c r="D6277" s="2" t="str">
        <f t="shared" si="97"/>
        <v>Error?</v>
      </c>
      <c r="E6277" s="2" t="s">
        <v>199</v>
      </c>
    </row>
    <row r="6278" spans="1:5" x14ac:dyDescent="0.2">
      <c r="A6278">
        <v>6217</v>
      </c>
      <c r="B6278" s="137" t="e">
        <f>'Acct Summary 7-8'!E83</f>
        <v>#DIV/0!</v>
      </c>
      <c r="D6278" s="2" t="e">
        <f t="shared" si="97"/>
        <v>#DIV/0!</v>
      </c>
      <c r="E6278" s="2" t="s">
        <v>199</v>
      </c>
    </row>
    <row r="6279" spans="1:5" x14ac:dyDescent="0.2">
      <c r="A6279">
        <v>6218</v>
      </c>
      <c r="B6279" s="137">
        <f>'Acct Summary 7-8'!F83</f>
        <v>-0.61211607481017904</v>
      </c>
      <c r="D6279" s="2" t="str">
        <f t="shared" si="97"/>
        <v>Error?</v>
      </c>
      <c r="E6279" s="2" t="s">
        <v>199</v>
      </c>
    </row>
    <row r="6280" spans="1:5" x14ac:dyDescent="0.2">
      <c r="A6280">
        <v>6219</v>
      </c>
      <c r="B6280" s="137">
        <f>'Acct Summary 7-8'!G83</f>
        <v>-0.72207911832570759</v>
      </c>
      <c r="D6280" s="2" t="str">
        <f t="shared" si="97"/>
        <v>Error?</v>
      </c>
      <c r="E6280" s="2" t="s">
        <v>199</v>
      </c>
    </row>
    <row r="6281" spans="1:5" x14ac:dyDescent="0.2">
      <c r="A6281">
        <v>6220</v>
      </c>
      <c r="B6281" s="137">
        <f>'Acct Summary 7-8'!H83</f>
        <v>8.1502480510276393E-3</v>
      </c>
      <c r="D6281" s="2" t="str">
        <f t="shared" si="97"/>
        <v>Error?</v>
      </c>
      <c r="E6281" s="2" t="s">
        <v>199</v>
      </c>
    </row>
    <row r="6282" spans="1:5" x14ac:dyDescent="0.2">
      <c r="A6282">
        <v>6221</v>
      </c>
      <c r="B6282" s="137">
        <f>'Acct Summary 7-8'!I83</f>
        <v>1.7023485247788073E-2</v>
      </c>
      <c r="D6282" s="2" t="str">
        <f t="shared" si="97"/>
        <v>Error?</v>
      </c>
      <c r="E6282" s="2" t="s">
        <v>199</v>
      </c>
    </row>
    <row r="6283" spans="1:5" x14ac:dyDescent="0.2">
      <c r="A6283">
        <v>6222</v>
      </c>
      <c r="B6283" s="137">
        <f>'Acct Summary 7-8'!J83</f>
        <v>0.50464829288358704</v>
      </c>
      <c r="D6283" s="2" t="str">
        <f t="shared" si="97"/>
        <v>Error?</v>
      </c>
      <c r="E6283" s="2" t="s">
        <v>199</v>
      </c>
    </row>
    <row r="6284" spans="1:5" x14ac:dyDescent="0.2">
      <c r="A6284">
        <v>6223</v>
      </c>
      <c r="B6284" s="137">
        <f>'Acct Summary 7-8'!K83</f>
        <v>8.220743210920119E-3</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235598</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235598</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201</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201</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235799</v>
      </c>
      <c r="D6352" s="2" t="str">
        <f t="shared" si="98"/>
        <v>Error?</v>
      </c>
      <c r="E6352" s="2" t="s">
        <v>199</v>
      </c>
    </row>
    <row r="6353" spans="1:5" x14ac:dyDescent="0.2">
      <c r="A6353">
        <v>6292</v>
      </c>
      <c r="B6353" s="137">
        <f>'Revenues 9-14'!J117</f>
        <v>218452</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218452</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218452</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229861</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7193</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272618</v>
      </c>
      <c r="D6848" s="2" t="str">
        <f t="shared" si="106"/>
        <v>Error?</v>
      </c>
    </row>
    <row r="6849" spans="1:4" x14ac:dyDescent="0.2">
      <c r="A6849">
        <v>6788</v>
      </c>
      <c r="B6849" s="137">
        <f>'Expenditures 15-22'!I8</f>
        <v>5821</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13014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672</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78764</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79436</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672</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672</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4496</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4496</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4496</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4496</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89100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102114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349973</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454251</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12369</v>
      </c>
      <c r="D7073" s="2" t="str">
        <f t="shared" si="109"/>
        <v>Error?</v>
      </c>
    </row>
    <row r="7074" spans="1:4" x14ac:dyDescent="0.2">
      <c r="A7074">
        <v>7013</v>
      </c>
      <c r="B7074" s="137">
        <f>'Expenditures 15-22'!K216</f>
        <v>12369</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15850</v>
      </c>
      <c r="D7093" s="2" t="str">
        <f t="shared" si="109"/>
        <v>Error?</v>
      </c>
    </row>
    <row r="7094" spans="1:4" x14ac:dyDescent="0.2">
      <c r="A7094">
        <v>7033</v>
      </c>
      <c r="B7094" s="137">
        <f>'Expenditures 15-22'!K254</f>
        <v>15850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56652</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56652</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57690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57690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7618</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7618</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155434</v>
      </c>
      <c r="D7172" s="2" t="str">
        <f t="shared" si="111"/>
        <v>Error?</v>
      </c>
    </row>
    <row r="7173" spans="1:4" x14ac:dyDescent="0.2">
      <c r="A7173">
        <v>7112</v>
      </c>
      <c r="B7173" s="137">
        <f>'Expenditures 15-22'!D325</f>
        <v>26238</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298</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181970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155434</v>
      </c>
      <c r="D7199" s="2" t="str">
        <f t="shared" si="111"/>
        <v>Error?</v>
      </c>
    </row>
    <row r="7200" spans="1:4" x14ac:dyDescent="0.2">
      <c r="A7200">
        <v>7139</v>
      </c>
      <c r="B7200" s="137">
        <f>'Expenditures 15-22'!D330</f>
        <v>26238</v>
      </c>
      <c r="D7200" s="2" t="str">
        <f t="shared" si="111"/>
        <v>Error?</v>
      </c>
    </row>
    <row r="7201" spans="1:4" x14ac:dyDescent="0.2">
      <c r="A7201">
        <v>7140</v>
      </c>
      <c r="B7201" s="137">
        <f>'Expenditures 15-22'!E330</f>
        <v>168003</v>
      </c>
      <c r="D7201" s="2" t="str">
        <f t="shared" si="111"/>
        <v>Error?</v>
      </c>
    </row>
    <row r="7202" spans="1:4" x14ac:dyDescent="0.2">
      <c r="A7202">
        <v>7141</v>
      </c>
      <c r="B7202" s="137">
        <f>'Expenditures 15-22'!F330</f>
        <v>298</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349973</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155434</v>
      </c>
      <c r="D7216" s="2" t="str">
        <f t="shared" si="111"/>
        <v>Error?</v>
      </c>
    </row>
    <row r="7217" spans="1:4" x14ac:dyDescent="0.2">
      <c r="A7217">
        <v>7156</v>
      </c>
      <c r="B7217" s="137">
        <f>'Expenditures 15-22'!D342</f>
        <v>26238</v>
      </c>
      <c r="D7217" s="2" t="str">
        <f t="shared" si="111"/>
        <v>Error?</v>
      </c>
    </row>
    <row r="7218" spans="1:4" x14ac:dyDescent="0.2">
      <c r="A7218">
        <v>7157</v>
      </c>
      <c r="B7218" s="137">
        <f>'Expenditures 15-22'!E342</f>
        <v>168003</v>
      </c>
      <c r="D7218" s="2" t="str">
        <f t="shared" si="111"/>
        <v>Error?</v>
      </c>
    </row>
    <row r="7219" spans="1:4" x14ac:dyDescent="0.2">
      <c r="A7219">
        <v>7158</v>
      </c>
      <c r="B7219" s="137">
        <f>'Expenditures 15-22'!F342</f>
        <v>298</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349973</v>
      </c>
      <c r="D7224" s="2" t="str">
        <f t="shared" si="111"/>
        <v>Error?</v>
      </c>
    </row>
    <row r="7225" spans="1:4" x14ac:dyDescent="0.2">
      <c r="A7225">
        <v>7164</v>
      </c>
      <c r="B7225" s="137">
        <f>'Expenditures 15-22'!K343</f>
        <v>104278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30468</v>
      </c>
      <c r="D7246" s="2" t="str">
        <f t="shared" si="112"/>
        <v>Error?</v>
      </c>
    </row>
    <row r="7247" spans="1:4" x14ac:dyDescent="0.2">
      <c r="A7247">
        <f t="shared" si="113"/>
        <v>7186</v>
      </c>
      <c r="B7247" s="137">
        <f>'Expenditures 15-22'!E7</f>
        <v>2965</v>
      </c>
      <c r="D7247" s="2" t="str">
        <f t="shared" si="112"/>
        <v>Error?</v>
      </c>
    </row>
    <row r="7248" spans="1:4" x14ac:dyDescent="0.2">
      <c r="A7248">
        <f t="shared" si="113"/>
        <v>7187</v>
      </c>
      <c r="B7248" s="137">
        <f>'Expenditures 15-22'!F7</f>
        <v>9324</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102114</v>
      </c>
      <c r="D7624" s="2" t="str">
        <f t="shared" si="124"/>
        <v>Error?</v>
      </c>
      <c r="E7624" s="2" t="s">
        <v>19</v>
      </c>
    </row>
    <row r="7625" spans="1:5" x14ac:dyDescent="0.2">
      <c r="A7625">
        <f t="shared" si="123"/>
        <v>7564</v>
      </c>
      <c r="B7625" s="137">
        <f>'Cap Outlay Deprec 26'!I17</f>
        <v>10211.4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187237.4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13244</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46043</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46043</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36461</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1964</v>
      </c>
    </row>
    <row r="7775" spans="1:5" x14ac:dyDescent="0.2">
      <c r="A7775">
        <v>7714</v>
      </c>
      <c r="B7775" s="137">
        <f>'Expenditures 15-22'!H133</f>
        <v>0</v>
      </c>
      <c r="D7775" s="2" t="str">
        <f t="shared" si="127"/>
        <v>Error?</v>
      </c>
      <c r="E7775" s="4" t="s">
        <v>1964</v>
      </c>
    </row>
    <row r="7776" spans="1:5" x14ac:dyDescent="0.2">
      <c r="A7776">
        <v>7715</v>
      </c>
      <c r="B7776" s="137">
        <f>'Expenditures 15-22'!K133</f>
        <v>0</v>
      </c>
      <c r="D7776" s="2" t="str">
        <f t="shared" si="127"/>
        <v>Error?</v>
      </c>
      <c r="E7776" s="4" t="s">
        <v>1964</v>
      </c>
    </row>
    <row r="7777" spans="1:5" x14ac:dyDescent="0.2">
      <c r="A7777">
        <v>7716</v>
      </c>
      <c r="B7777" s="137">
        <f>'Expenditures 15-22'!H157</f>
        <v>0</v>
      </c>
      <c r="D7777" s="2" t="str">
        <f t="shared" si="127"/>
        <v>Error?</v>
      </c>
      <c r="E7777" s="4" t="s">
        <v>1964</v>
      </c>
    </row>
    <row r="7778" spans="1:5" x14ac:dyDescent="0.2">
      <c r="A7778">
        <v>7717</v>
      </c>
      <c r="B7778" s="137">
        <f>'Expenditures 15-22'!K157</f>
        <v>0</v>
      </c>
      <c r="D7778" s="2" t="str">
        <f t="shared" si="127"/>
        <v>Error?</v>
      </c>
      <c r="E7778" s="4" t="s">
        <v>1964</v>
      </c>
    </row>
    <row r="7779" spans="1:5" x14ac:dyDescent="0.2">
      <c r="A7779">
        <v>7718</v>
      </c>
      <c r="B7779" s="137">
        <f>'Expenditures 15-22'!H158</f>
        <v>0</v>
      </c>
      <c r="D7779" s="2" t="str">
        <f t="shared" si="127"/>
        <v>Error?</v>
      </c>
      <c r="E7779" s="4" t="s">
        <v>1964</v>
      </c>
    </row>
    <row r="7780" spans="1:5" x14ac:dyDescent="0.2">
      <c r="A7780">
        <v>7719</v>
      </c>
      <c r="B7780" s="137">
        <f>'Expenditures 15-22'!K158</f>
        <v>0</v>
      </c>
      <c r="D7780" s="2" t="str">
        <f t="shared" si="127"/>
        <v>Error?</v>
      </c>
      <c r="E7780" s="4" t="s">
        <v>1964</v>
      </c>
    </row>
    <row r="7781" spans="1:5" x14ac:dyDescent="0.2">
      <c r="A7781">
        <v>7720</v>
      </c>
      <c r="B7781" s="137">
        <f>'Expenditures 15-22'!H159</f>
        <v>0</v>
      </c>
      <c r="D7781" s="2" t="str">
        <f t="shared" si="127"/>
        <v>Error?</v>
      </c>
      <c r="E7781" s="4" t="s">
        <v>1964</v>
      </c>
    </row>
    <row r="7782" spans="1:5" x14ac:dyDescent="0.2">
      <c r="A7782">
        <v>7721</v>
      </c>
      <c r="B7782" s="137">
        <f>'Expenditures 15-22'!K159</f>
        <v>0</v>
      </c>
      <c r="D7782" s="2" t="str">
        <f t="shared" si="127"/>
        <v>Error?</v>
      </c>
      <c r="E7782" s="4" t="s">
        <v>1964</v>
      </c>
    </row>
    <row r="7783" spans="1:5" x14ac:dyDescent="0.2">
      <c r="A7783">
        <v>7722</v>
      </c>
      <c r="B7783" s="137">
        <f>'Expenditures 15-22'!D282</f>
        <v>0</v>
      </c>
      <c r="D7783" s="2" t="str">
        <f t="shared" si="127"/>
        <v>Error?</v>
      </c>
      <c r="E7783" s="4" t="s">
        <v>1964</v>
      </c>
    </row>
    <row r="7784" spans="1:5" x14ac:dyDescent="0.2">
      <c r="A7784">
        <v>7723</v>
      </c>
      <c r="B7784" s="137">
        <f>'Expenditures 15-22'!K282</f>
        <v>0</v>
      </c>
      <c r="D7784" s="2" t="str">
        <f t="shared" si="127"/>
        <v>Error?</v>
      </c>
      <c r="E7784" s="4" t="s">
        <v>1964</v>
      </c>
    </row>
    <row r="7785" spans="1:5" x14ac:dyDescent="0.2">
      <c r="A7785">
        <v>7724</v>
      </c>
      <c r="B7785" s="137">
        <f>'Expenditures 15-22'!H332</f>
        <v>0</v>
      </c>
      <c r="D7785" s="2" t="str">
        <f t="shared" si="127"/>
        <v>Error?</v>
      </c>
      <c r="E7785" s="4" t="s">
        <v>1964</v>
      </c>
    </row>
    <row r="7786" spans="1:5" x14ac:dyDescent="0.2">
      <c r="A7786">
        <v>7725</v>
      </c>
      <c r="B7786" s="137">
        <f>'Expenditures 15-22'!K332</f>
        <v>0</v>
      </c>
      <c r="D7786" s="2" t="str">
        <f t="shared" si="127"/>
        <v>Error?</v>
      </c>
      <c r="E7786" s="4" t="s">
        <v>1964</v>
      </c>
    </row>
    <row r="7787" spans="1:5" x14ac:dyDescent="0.2">
      <c r="A7787">
        <v>7726</v>
      </c>
      <c r="B7787" s="137">
        <f>'Expenditures 15-22'!H333</f>
        <v>0</v>
      </c>
      <c r="D7787" s="2" t="str">
        <f t="shared" si="127"/>
        <v>Error?</v>
      </c>
      <c r="E7787" s="4" t="s">
        <v>1964</v>
      </c>
    </row>
    <row r="7788" spans="1:5" x14ac:dyDescent="0.2">
      <c r="A7788">
        <v>7727</v>
      </c>
      <c r="B7788" s="137">
        <f>'Expenditures 15-22'!K333</f>
        <v>0</v>
      </c>
      <c r="D7788" s="2" t="str">
        <f t="shared" si="127"/>
        <v>Error?</v>
      </c>
      <c r="E7788" s="4" t="s">
        <v>1964</v>
      </c>
    </row>
    <row r="7789" spans="1:5" x14ac:dyDescent="0.2">
      <c r="A7789">
        <v>7728</v>
      </c>
      <c r="B7789" s="137">
        <f>'Expenditures 15-22'!H334</f>
        <v>0</v>
      </c>
      <c r="D7789" s="2" t="str">
        <f t="shared" si="127"/>
        <v>Error?</v>
      </c>
      <c r="E7789" s="4" t="s">
        <v>1964</v>
      </c>
    </row>
    <row r="7790" spans="1:5" x14ac:dyDescent="0.2">
      <c r="A7790">
        <v>7729</v>
      </c>
      <c r="B7790" s="137">
        <f>'Expenditures 15-22'!K334</f>
        <v>0</v>
      </c>
      <c r="D7790" s="2" t="str">
        <f t="shared" si="127"/>
        <v>Error?</v>
      </c>
      <c r="E7790" s="4" t="s">
        <v>1964</v>
      </c>
    </row>
    <row r="7791" spans="1:5" x14ac:dyDescent="0.2">
      <c r="A7791">
        <v>7730</v>
      </c>
      <c r="B7791" s="137">
        <f>'Expenditures 15-22'!H354</f>
        <v>0</v>
      </c>
      <c r="D7791" s="2" t="str">
        <f t="shared" si="127"/>
        <v>Error?</v>
      </c>
      <c r="E7791" s="4" t="s">
        <v>1964</v>
      </c>
    </row>
    <row r="7792" spans="1:5" x14ac:dyDescent="0.2">
      <c r="A7792">
        <v>7731</v>
      </c>
      <c r="B7792" s="137">
        <f>'Expenditures 15-22'!K354</f>
        <v>0</v>
      </c>
      <c r="D7792" s="2" t="str">
        <f t="shared" si="127"/>
        <v>Error?</v>
      </c>
      <c r="E7792" s="4" t="s">
        <v>1964</v>
      </c>
    </row>
    <row r="7793" spans="1:5" x14ac:dyDescent="0.2">
      <c r="A7793">
        <v>7732</v>
      </c>
      <c r="B7793" s="137">
        <f>'Expenditures 15-22'!H355</f>
        <v>0</v>
      </c>
      <c r="D7793" s="2" t="str">
        <f t="shared" si="127"/>
        <v>Error?</v>
      </c>
      <c r="E7793" s="4" t="s">
        <v>1964</v>
      </c>
    </row>
    <row r="7794" spans="1:5" x14ac:dyDescent="0.2">
      <c r="A7794">
        <v>7733</v>
      </c>
      <c r="B7794" s="137">
        <f>'Expenditures 15-22'!K355</f>
        <v>0</v>
      </c>
      <c r="D7794" s="2" t="str">
        <f t="shared" si="127"/>
        <v>Error?</v>
      </c>
      <c r="E7794" s="4" t="s">
        <v>1964</v>
      </c>
    </row>
    <row r="7795" spans="1:5" x14ac:dyDescent="0.2">
      <c r="A7795">
        <v>7734</v>
      </c>
      <c r="B7795" s="137">
        <f>'Expenditures 15-22'!E138</f>
        <v>0</v>
      </c>
      <c r="D7795" s="2" t="str">
        <f t="shared" si="127"/>
        <v>Error?</v>
      </c>
      <c r="E7795" s="4" t="s">
        <v>1964</v>
      </c>
    </row>
    <row r="7796" spans="1:5" x14ac:dyDescent="0.2">
      <c r="A7796">
        <v>7735</v>
      </c>
      <c r="B7796" s="137">
        <f>'Acct Summary 7-8'!J15</f>
        <v>0</v>
      </c>
      <c r="D7796" s="2" t="str">
        <f t="shared" si="127"/>
        <v>Error?</v>
      </c>
      <c r="E7796" s="4" t="s">
        <v>1964</v>
      </c>
    </row>
    <row r="7797" spans="1:5" x14ac:dyDescent="0.2">
      <c r="A7797">
        <v>7736</v>
      </c>
      <c r="B7797" s="137">
        <f>'Contracts Paid in CY 29'!D141</f>
        <v>145833</v>
      </c>
      <c r="D7797" s="2" t="str">
        <f t="shared" si="127"/>
        <v>Error?</v>
      </c>
      <c r="E7797" s="4" t="s">
        <v>2017</v>
      </c>
    </row>
    <row r="7798" spans="1:5" x14ac:dyDescent="0.2">
      <c r="A7798">
        <v>7737</v>
      </c>
      <c r="B7798" s="137">
        <f>'Contracts Paid in CY 29'!F141</f>
        <v>25000</v>
      </c>
      <c r="D7798" s="2" t="str">
        <f t="shared" si="127"/>
        <v>Error?</v>
      </c>
      <c r="E7798" s="4" t="s">
        <v>2017</v>
      </c>
    </row>
    <row r="7799" spans="1:5" x14ac:dyDescent="0.2">
      <c r="A7799">
        <v>7738</v>
      </c>
      <c r="B7799" s="137">
        <f>'Contracts Paid in CY 29'!G141</f>
        <v>120833</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46" sqref="B4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1" t="s">
        <v>1253</v>
      </c>
      <c r="B2" s="2411"/>
      <c r="C2" s="2411"/>
      <c r="D2" s="2411"/>
      <c r="E2" s="2411"/>
      <c r="F2" s="2411"/>
      <c r="G2" s="2411"/>
      <c r="H2" s="2411"/>
      <c r="I2" s="2411"/>
      <c r="J2" s="2411"/>
      <c r="K2" s="2411"/>
      <c r="L2" s="2411"/>
    </row>
    <row r="3" spans="1:29" ht="13.5" customHeight="1" x14ac:dyDescent="0.2">
      <c r="A3" s="2442" t="s">
        <v>1252</v>
      </c>
      <c r="B3" s="2442"/>
      <c r="C3" s="2442"/>
      <c r="D3" s="2442"/>
      <c r="E3" s="2442"/>
      <c r="F3" s="2442"/>
      <c r="G3" s="2442"/>
      <c r="H3" s="2442"/>
      <c r="I3" s="2442"/>
      <c r="J3" s="2442"/>
      <c r="K3" s="2442"/>
      <c r="L3" s="2442"/>
    </row>
    <row r="4" spans="1:29" ht="13.5" customHeight="1" x14ac:dyDescent="0.2">
      <c r="A4" s="2411" t="s">
        <v>1799</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33" t="str">
        <f>COVER!A17</f>
        <v>General George Patton S 133</v>
      </c>
      <c r="B7" s="2434"/>
      <c r="C7" s="2434"/>
      <c r="D7" s="2435"/>
      <c r="E7" s="2436">
        <f>COVER!A13</f>
        <v>7016133002</v>
      </c>
      <c r="F7" s="2437"/>
      <c r="G7" s="2443" t="str">
        <f>COVER!T23</f>
        <v>060-003973</v>
      </c>
      <c r="H7" s="2444"/>
      <c r="I7" s="2444"/>
      <c r="J7" s="2444"/>
      <c r="K7" s="2444"/>
      <c r="L7" s="2445"/>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46"/>
      <c r="B9" s="2447"/>
      <c r="C9" s="2447"/>
      <c r="D9" s="2447"/>
      <c r="E9" s="2447"/>
      <c r="F9" s="2448"/>
      <c r="G9" s="2417" t="str">
        <f>COVER!T13</f>
        <v>EVANS, MARSHALL &amp; PEASE, P.C.</v>
      </c>
      <c r="H9" s="2449"/>
      <c r="I9" s="2449"/>
      <c r="J9" s="2449"/>
      <c r="K9" s="2449"/>
      <c r="L9" s="2450"/>
    </row>
    <row r="10" spans="1:29" ht="13.5" customHeight="1" x14ac:dyDescent="0.2">
      <c r="A10" s="2423" t="str">
        <f>COVER!A38</f>
        <v>DR. CAROL KUNST</v>
      </c>
      <c r="B10" s="2424"/>
      <c r="C10" s="2424"/>
      <c r="D10" s="2424"/>
      <c r="E10" s="2424"/>
      <c r="F10" s="2425"/>
      <c r="G10" s="2417" t="str">
        <f>COVER!T17</f>
        <v>1875 HICKS ROAD</v>
      </c>
      <c r="H10" s="2418"/>
      <c r="I10" s="2418"/>
      <c r="J10" s="2418"/>
      <c r="K10" s="2418"/>
      <c r="L10" s="2419"/>
    </row>
    <row r="11" spans="1:29" ht="13.5" customHeight="1" x14ac:dyDescent="0.2">
      <c r="A11" s="1184" t="s">
        <v>1599</v>
      </c>
      <c r="B11" s="1185"/>
      <c r="C11" s="1186"/>
      <c r="D11" s="1191"/>
      <c r="E11" s="1186"/>
      <c r="F11" s="1190"/>
      <c r="G11" s="2417" t="str">
        <f>COVER!T19</f>
        <v>ROLLING MEADOWS</v>
      </c>
      <c r="H11" s="2418"/>
      <c r="I11" s="2418"/>
      <c r="J11" s="2418"/>
      <c r="K11" s="2418"/>
      <c r="L11" s="2419"/>
    </row>
    <row r="12" spans="1:29" ht="13.5" customHeight="1" x14ac:dyDescent="0.2">
      <c r="A12" s="2426" t="s">
        <v>1598</v>
      </c>
      <c r="B12" s="2427"/>
      <c r="C12" s="2427"/>
      <c r="D12" s="2427"/>
      <c r="E12" s="2427"/>
      <c r="F12" s="2428"/>
      <c r="G12" s="2420"/>
      <c r="H12" s="2421"/>
      <c r="I12" s="2421"/>
      <c r="J12" s="2421"/>
      <c r="K12" s="2421"/>
      <c r="L12" s="2422"/>
    </row>
    <row r="13" spans="1:29" ht="13.5" customHeight="1" x14ac:dyDescent="0.2">
      <c r="A13" s="2417"/>
      <c r="B13" s="2418"/>
      <c r="C13" s="2418"/>
      <c r="D13" s="2418"/>
      <c r="E13" s="2418"/>
      <c r="F13" s="2419"/>
      <c r="G13" s="2412" t="s">
        <v>1600</v>
      </c>
      <c r="H13" s="2413"/>
      <c r="I13" s="2429" t="str">
        <f>COVER!T25</f>
        <v>JEFF@EMPCPA.COM</v>
      </c>
      <c r="J13" s="2430"/>
      <c r="K13" s="2430"/>
      <c r="L13" s="2431"/>
    </row>
    <row r="14" spans="1:29" ht="13.5" customHeight="1" x14ac:dyDescent="0.2">
      <c r="A14" s="2417" t="str">
        <f>COVER!A19</f>
        <v>150 WEST 137TH STREET</v>
      </c>
      <c r="B14" s="2418"/>
      <c r="C14" s="2418"/>
      <c r="D14" s="2418"/>
      <c r="E14" s="2418"/>
      <c r="F14" s="2419"/>
      <c r="G14" s="1195" t="s">
        <v>1247</v>
      </c>
      <c r="H14" s="1193"/>
      <c r="I14" s="1193"/>
      <c r="J14" s="1193"/>
      <c r="K14" s="1193"/>
      <c r="L14" s="1194"/>
    </row>
    <row r="15" spans="1:29" ht="13.5" customHeight="1" x14ac:dyDescent="0.2">
      <c r="A15" s="2417" t="str">
        <f>COVER!A21</f>
        <v>RIVERDALE</v>
      </c>
      <c r="B15" s="2418"/>
      <c r="C15" s="2418"/>
      <c r="D15" s="2418"/>
      <c r="E15" s="2418"/>
      <c r="F15" s="2419"/>
      <c r="G15" s="2414" t="str">
        <f>COVER!T15</f>
        <v>JEFFERY M. ROLLEFSON, CPA</v>
      </c>
      <c r="H15" s="2415"/>
      <c r="I15" s="2415"/>
      <c r="J15" s="2415"/>
      <c r="K15" s="2415"/>
      <c r="L15" s="2416"/>
    </row>
    <row r="16" spans="1:29" ht="12.2" customHeight="1" x14ac:dyDescent="0.2">
      <c r="A16" s="2439">
        <f>COVER!A25</f>
        <v>0</v>
      </c>
      <c r="B16" s="2440"/>
      <c r="C16" s="2440"/>
      <c r="D16" s="2440"/>
      <c r="E16" s="2440"/>
      <c r="F16" s="2441"/>
      <c r="G16" s="2451"/>
      <c r="H16" s="2452"/>
      <c r="I16" s="2452"/>
      <c r="J16" s="2452"/>
      <c r="K16" s="2452"/>
      <c r="L16" s="2453"/>
    </row>
    <row r="17" spans="1:13" ht="12.2" customHeight="1" x14ac:dyDescent="0.2">
      <c r="A17" s="2454"/>
      <c r="B17" s="2440"/>
      <c r="C17" s="2440"/>
      <c r="D17" s="2440"/>
      <c r="E17" s="2440"/>
      <c r="F17" s="2441"/>
      <c r="G17" s="1195" t="s">
        <v>1246</v>
      </c>
      <c r="H17" s="1193"/>
      <c r="I17" s="1193"/>
      <c r="J17" s="1193"/>
      <c r="K17" s="1197" t="s">
        <v>1245</v>
      </c>
      <c r="L17" s="1190"/>
      <c r="M17" s="1183"/>
    </row>
    <row r="18" spans="1:13" ht="12.2" customHeight="1" x14ac:dyDescent="0.2">
      <c r="A18" s="2423"/>
      <c r="B18" s="2424"/>
      <c r="C18" s="2424"/>
      <c r="D18" s="2424"/>
      <c r="E18" s="2424"/>
      <c r="F18" s="2425"/>
      <c r="G18" s="2433" t="str">
        <f>COVER!T21</f>
        <v>847-221-5700</v>
      </c>
      <c r="H18" s="2434"/>
      <c r="I18" s="2434"/>
      <c r="J18" s="2434"/>
      <c r="K18" s="2433" t="str">
        <f>COVER!X21</f>
        <v>847-221-5701</v>
      </c>
      <c r="L18" s="243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5" t="str">
        <f>'Single Audit Cover'!A7</f>
        <v>General George Patton S 133</v>
      </c>
      <c r="B1" s="2432"/>
      <c r="C1" s="2432"/>
      <c r="D1" s="2432"/>
    </row>
    <row r="2" spans="1:11" s="1214" customFormat="1" ht="12.75" x14ac:dyDescent="0.2">
      <c r="A2" s="2456">
        <f>'Single Audit Cover'!E7</f>
        <v>7016133002</v>
      </c>
      <c r="B2" s="2457"/>
      <c r="C2" s="2457"/>
      <c r="D2" s="2457"/>
    </row>
    <row r="3" spans="1:11" s="1214" customFormat="1" ht="12.75" x14ac:dyDescent="0.2">
      <c r="A3" s="2455" t="s">
        <v>1593</v>
      </c>
      <c r="B3" s="2432"/>
      <c r="C3" s="2432"/>
      <c r="D3" s="2432"/>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1945</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59" t="str">
        <f>'Single Audit Cover'!A7</f>
        <v>General George Patton S 133</v>
      </c>
      <c r="B1" s="2459"/>
      <c r="C1" s="2459"/>
      <c r="D1" s="2459"/>
      <c r="E1" s="2459"/>
    </row>
    <row r="2" spans="1:5" x14ac:dyDescent="0.2">
      <c r="A2" s="2460">
        <f>'Single Audit Cover'!E7</f>
        <v>7016133002</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59" t="s">
        <v>1305</v>
      </c>
    </row>
    <row r="10" spans="1:5" x14ac:dyDescent="0.2">
      <c r="A10" s="1260" t="s">
        <v>1304</v>
      </c>
      <c r="B10" s="1261" t="s">
        <v>1303</v>
      </c>
      <c r="C10" s="1261"/>
      <c r="D10" s="1262">
        <f>SUM('Acct Summary 7-8'!C7:K7)</f>
        <v>924316</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15735</v>
      </c>
    </row>
    <row r="15" spans="1:5" x14ac:dyDescent="0.2">
      <c r="A15" s="1260"/>
      <c r="B15" s="1261"/>
      <c r="C15" s="1261"/>
    </row>
    <row r="16" spans="1:5" x14ac:dyDescent="0.2">
      <c r="A16" s="1260" t="s">
        <v>1953</v>
      </c>
      <c r="B16" s="1261"/>
      <c r="C16" s="1261"/>
    </row>
    <row r="17" spans="1:4" x14ac:dyDescent="0.2">
      <c r="A17" s="1260" t="s">
        <v>1601</v>
      </c>
      <c r="B17" s="1261" t="s">
        <v>1298</v>
      </c>
      <c r="C17" s="1261"/>
      <c r="D17" s="1263">
        <f>-SUM('Revenues 9-14'!C271:D271,'Revenues 9-14'!F271:G271)</f>
        <v>-14410</v>
      </c>
    </row>
    <row r="19" spans="1:4" ht="13.5" thickBot="1" x14ac:dyDescent="0.25">
      <c r="A19" s="1264" t="s">
        <v>1297</v>
      </c>
      <c r="D19" s="1265">
        <f>SUM(D10:D17)</f>
        <v>925641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1"/>
      <c r="B24" s="2461"/>
      <c r="D24" s="1267"/>
    </row>
    <row r="25" spans="1:4" x14ac:dyDescent="0.2">
      <c r="A25" s="2458"/>
      <c r="B25" s="2458"/>
      <c r="D25" s="1267"/>
    </row>
    <row r="26" spans="1:4" x14ac:dyDescent="0.2">
      <c r="A26" s="2458"/>
      <c r="B26" s="2458"/>
      <c r="D26" s="1267"/>
    </row>
    <row r="27" spans="1:4" x14ac:dyDescent="0.2">
      <c r="A27" s="2458"/>
      <c r="B27" s="2458"/>
      <c r="D27" s="1267"/>
    </row>
    <row r="28" spans="1:4" x14ac:dyDescent="0.2">
      <c r="A28" s="2458"/>
      <c r="B28" s="2458"/>
      <c r="D28" s="1267"/>
    </row>
    <row r="29" spans="1:4" x14ac:dyDescent="0.2">
      <c r="A29" s="2458"/>
      <c r="B29" s="2458"/>
      <c r="D29" s="1267"/>
    </row>
    <row r="30" spans="1:4" x14ac:dyDescent="0.2">
      <c r="A30" s="2458"/>
      <c r="B30" s="2458"/>
      <c r="D30" s="1267"/>
    </row>
    <row r="32" spans="1:4" x14ac:dyDescent="0.2">
      <c r="A32" s="1259" t="s">
        <v>1295</v>
      </c>
      <c r="D32" s="1262">
        <f>SUM(D19:D30)</f>
        <v>925641</v>
      </c>
    </row>
    <row r="33" spans="1:4" x14ac:dyDescent="0.2">
      <c r="D33" s="1268"/>
    </row>
    <row r="34" spans="1:4" x14ac:dyDescent="0.2">
      <c r="A34" s="316" t="s">
        <v>1294</v>
      </c>
    </row>
    <row r="35" spans="1:4" x14ac:dyDescent="0.2">
      <c r="A35" s="316" t="s">
        <v>1293</v>
      </c>
      <c r="B35" s="1257" t="s">
        <v>1292</v>
      </c>
      <c r="D35" s="1269">
        <v>925641</v>
      </c>
    </row>
    <row r="37" spans="1:4" x14ac:dyDescent="0.2">
      <c r="A37" s="1259" t="s">
        <v>1291</v>
      </c>
    </row>
    <row r="39" spans="1:4" ht="13.35" customHeight="1" x14ac:dyDescent="0.2">
      <c r="A39" s="1266" t="s">
        <v>1290</v>
      </c>
    </row>
    <row r="40" spans="1:4" x14ac:dyDescent="0.2">
      <c r="A40" s="2458"/>
      <c r="B40" s="2458"/>
      <c r="D40" s="1267"/>
    </row>
    <row r="41" spans="1:4" x14ac:dyDescent="0.2">
      <c r="A41" s="2458"/>
      <c r="B41" s="2458"/>
      <c r="D41" s="1270"/>
    </row>
    <row r="42" spans="1:4" x14ac:dyDescent="0.2">
      <c r="A42" s="2458"/>
      <c r="B42" s="2458"/>
      <c r="D42" s="1270"/>
    </row>
    <row r="43" spans="1:4" x14ac:dyDescent="0.2">
      <c r="A43" s="2458"/>
      <c r="B43" s="2458"/>
      <c r="D43" s="1270"/>
    </row>
    <row r="44" spans="1:4" x14ac:dyDescent="0.2">
      <c r="A44" s="2458"/>
      <c r="B44" s="2458"/>
      <c r="D44" s="1270"/>
    </row>
    <row r="45" spans="1:4" x14ac:dyDescent="0.2">
      <c r="A45" s="2458"/>
      <c r="B45" s="2458"/>
      <c r="D45" s="1270"/>
    </row>
    <row r="47" spans="1:4" x14ac:dyDescent="0.2">
      <c r="B47" s="1271" t="s">
        <v>1289</v>
      </c>
      <c r="C47" s="1271"/>
      <c r="D47" s="1272">
        <f>SUM(D35:D45)</f>
        <v>925641</v>
      </c>
    </row>
    <row r="49" spans="2:4" x14ac:dyDescent="0.2">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3" sqref="I13:I14"/>
    </sheetView>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42" t="str">
        <f>'Single Audit Cover'!A7</f>
        <v>General George Patton S 133</v>
      </c>
      <c r="C1" s="2463"/>
      <c r="D1" s="2463"/>
      <c r="E1" s="2463"/>
      <c r="F1" s="2463"/>
      <c r="G1" s="2463"/>
      <c r="H1" s="2463"/>
      <c r="I1" s="2463"/>
      <c r="J1" s="2463"/>
      <c r="K1" s="2463"/>
      <c r="L1" s="2463"/>
      <c r="M1" s="2463"/>
    </row>
    <row r="2" spans="2:14" ht="15" x14ac:dyDescent="0.2">
      <c r="B2" s="2464">
        <f>'Single Audit Cover'!E7</f>
        <v>7016133002</v>
      </c>
      <c r="C2" s="2464"/>
      <c r="D2" s="2464"/>
      <c r="E2" s="2464"/>
      <c r="F2" s="2464"/>
      <c r="G2" s="2464"/>
      <c r="H2" s="2464"/>
      <c r="I2" s="2464"/>
      <c r="J2" s="2464"/>
      <c r="K2" s="2464"/>
      <c r="L2" s="2464"/>
      <c r="M2" s="2464"/>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1836</v>
      </c>
      <c r="D9" s="1313" t="s">
        <v>1837</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6" t="s">
        <v>2100</v>
      </c>
      <c r="C11" s="1337"/>
      <c r="D11" s="1338"/>
      <c r="E11" s="1339"/>
      <c r="F11" s="1339"/>
      <c r="G11" s="1339"/>
      <c r="H11" s="1339"/>
      <c r="I11" s="1339"/>
      <c r="J11" s="1339"/>
      <c r="K11" s="1339"/>
      <c r="L11" s="1339"/>
      <c r="M11" s="1339"/>
    </row>
    <row r="12" spans="2:14" ht="20.100000000000001" customHeight="1" x14ac:dyDescent="0.2">
      <c r="B12" s="1957" t="s">
        <v>2111</v>
      </c>
      <c r="C12" s="1340"/>
      <c r="D12" s="1341"/>
      <c r="E12" s="1342"/>
      <c r="F12" s="1342"/>
      <c r="G12" s="1342"/>
      <c r="H12" s="1342"/>
      <c r="I12" s="1342"/>
      <c r="J12" s="1342"/>
      <c r="K12" s="1342"/>
      <c r="L12" s="1339"/>
      <c r="M12" s="1342"/>
    </row>
    <row r="13" spans="2:14" ht="20.100000000000001" customHeight="1" x14ac:dyDescent="0.2">
      <c r="B13" s="1336" t="s">
        <v>2101</v>
      </c>
      <c r="C13" s="1340">
        <v>84.01</v>
      </c>
      <c r="D13" s="1341" t="s">
        <v>2102</v>
      </c>
      <c r="E13" s="1342">
        <v>151631</v>
      </c>
      <c r="F13" s="1342">
        <v>235182</v>
      </c>
      <c r="G13" s="1342">
        <v>375960</v>
      </c>
      <c r="H13" s="1342"/>
      <c r="I13" s="1342">
        <v>10853</v>
      </c>
      <c r="J13" s="1342"/>
      <c r="K13" s="1342"/>
      <c r="L13" s="1339">
        <f t="shared" ref="L13:L23" si="0">+G13+I13+K13</f>
        <v>386813</v>
      </c>
      <c r="M13" s="1342">
        <v>426802</v>
      </c>
    </row>
    <row r="14" spans="2:14" ht="20.100000000000001" customHeight="1" x14ac:dyDescent="0.2">
      <c r="B14" s="1336" t="s">
        <v>2101</v>
      </c>
      <c r="C14" s="1340">
        <v>84.01</v>
      </c>
      <c r="D14" s="1341" t="s">
        <v>2103</v>
      </c>
      <c r="E14" s="1342"/>
      <c r="F14" s="1342">
        <v>258043</v>
      </c>
      <c r="G14" s="1342"/>
      <c r="H14" s="1342"/>
      <c r="I14" s="1342">
        <v>339600</v>
      </c>
      <c r="J14" s="1342"/>
      <c r="K14" s="1342"/>
      <c r="L14" s="1339">
        <f t="shared" si="0"/>
        <v>339600</v>
      </c>
      <c r="M14" s="1342">
        <v>388482</v>
      </c>
    </row>
    <row r="15" spans="2:14" ht="20.100000000000001" customHeight="1" x14ac:dyDescent="0.2">
      <c r="B15" s="1336" t="s">
        <v>2104</v>
      </c>
      <c r="C15" s="1340">
        <v>84.367000000000004</v>
      </c>
      <c r="D15" s="1341" t="s">
        <v>2105</v>
      </c>
      <c r="E15" s="1342">
        <v>52671</v>
      </c>
      <c r="F15" s="1342"/>
      <c r="G15" s="1342">
        <v>52671</v>
      </c>
      <c r="H15" s="1342"/>
      <c r="I15" s="1342"/>
      <c r="J15" s="1342"/>
      <c r="K15" s="1342"/>
      <c r="L15" s="1339">
        <f t="shared" si="0"/>
        <v>52671</v>
      </c>
      <c r="M15" s="1342">
        <v>54968</v>
      </c>
    </row>
    <row r="16" spans="2:14" ht="20.100000000000001" customHeight="1" x14ac:dyDescent="0.2">
      <c r="B16" s="1336" t="s">
        <v>2104</v>
      </c>
      <c r="C16" s="1340">
        <v>84.367000000000004</v>
      </c>
      <c r="D16" s="1341" t="s">
        <v>2106</v>
      </c>
      <c r="E16" s="1342"/>
      <c r="F16" s="1342">
        <v>24748</v>
      </c>
      <c r="G16" s="1342"/>
      <c r="H16" s="1342"/>
      <c r="I16" s="1342">
        <v>24748</v>
      </c>
      <c r="J16" s="1342"/>
      <c r="K16" s="1342"/>
      <c r="L16" s="1339">
        <f t="shared" si="0"/>
        <v>24748</v>
      </c>
      <c r="M16" s="1342">
        <v>24748</v>
      </c>
    </row>
    <row r="17" spans="2:14" ht="20.100000000000001" customHeight="1" x14ac:dyDescent="0.2">
      <c r="B17" s="1336" t="s">
        <v>2107</v>
      </c>
      <c r="C17" s="1340" t="s">
        <v>2108</v>
      </c>
      <c r="D17" s="1341" t="s">
        <v>2109</v>
      </c>
      <c r="E17" s="1342"/>
      <c r="F17" s="1342">
        <v>6633</v>
      </c>
      <c r="G17" s="1342"/>
      <c r="H17" s="1342"/>
      <c r="I17" s="1342">
        <v>6767</v>
      </c>
      <c r="J17" s="1342"/>
      <c r="K17" s="1342"/>
      <c r="L17" s="1339">
        <f t="shared" si="0"/>
        <v>6767</v>
      </c>
      <c r="M17" s="1342">
        <v>15879</v>
      </c>
    </row>
    <row r="18" spans="2:14" ht="20.100000000000001" customHeight="1" x14ac:dyDescent="0.2">
      <c r="B18" s="1957"/>
      <c r="C18" s="1340"/>
      <c r="D18" s="1341"/>
      <c r="E18" s="1958"/>
      <c r="F18" s="1958"/>
      <c r="G18" s="1958"/>
      <c r="H18" s="1342"/>
      <c r="I18" s="1958"/>
      <c r="J18" s="1342"/>
      <c r="K18" s="1342"/>
      <c r="L18" s="1959"/>
      <c r="M18" s="1958"/>
    </row>
    <row r="19" spans="2:14" s="1962" customFormat="1" ht="20.100000000000001" customHeight="1" x14ac:dyDescent="0.2">
      <c r="B19" s="1957" t="s">
        <v>2110</v>
      </c>
      <c r="C19" s="1960"/>
      <c r="D19" s="1961"/>
      <c r="E19" s="1958"/>
      <c r="F19" s="1958"/>
      <c r="G19" s="1958"/>
      <c r="H19" s="1958"/>
      <c r="I19" s="1958"/>
      <c r="J19" s="1958"/>
      <c r="K19" s="1958"/>
      <c r="L19" s="1959"/>
      <c r="M19" s="1958"/>
    </row>
    <row r="20" spans="2:14" ht="20.100000000000001" customHeight="1" x14ac:dyDescent="0.2">
      <c r="B20" s="1336" t="s">
        <v>2112</v>
      </c>
      <c r="C20" s="1340">
        <v>84.173000000000002</v>
      </c>
      <c r="D20" s="1341" t="s">
        <v>2113</v>
      </c>
      <c r="E20" s="1342"/>
      <c r="F20" s="1342">
        <v>2072</v>
      </c>
      <c r="G20" s="1342">
        <v>2072</v>
      </c>
      <c r="H20" s="1342"/>
      <c r="I20" s="1342"/>
      <c r="J20" s="1342"/>
      <c r="K20" s="1342"/>
      <c r="L20" s="1339">
        <f t="shared" si="0"/>
        <v>2072</v>
      </c>
      <c r="M20" s="1342" t="s">
        <v>2115</v>
      </c>
    </row>
    <row r="21" spans="2:14" ht="20.100000000000001" customHeight="1" x14ac:dyDescent="0.2">
      <c r="B21" s="1336" t="s">
        <v>2112</v>
      </c>
      <c r="C21" s="1340">
        <v>84.173000000000002</v>
      </c>
      <c r="D21" s="1341" t="s">
        <v>2114</v>
      </c>
      <c r="E21" s="1342"/>
      <c r="F21" s="1342">
        <v>2429</v>
      </c>
      <c r="G21" s="1342"/>
      <c r="H21" s="1342"/>
      <c r="I21" s="1342">
        <v>2429</v>
      </c>
      <c r="J21" s="1342"/>
      <c r="K21" s="1342"/>
      <c r="L21" s="1339">
        <f t="shared" si="0"/>
        <v>2429</v>
      </c>
      <c r="M21" s="1342" t="s">
        <v>2115</v>
      </c>
    </row>
    <row r="22" spans="2:14" ht="20.100000000000001" customHeight="1" x14ac:dyDescent="0.2">
      <c r="B22" s="1336" t="s">
        <v>2116</v>
      </c>
      <c r="C22" s="1340">
        <v>84.027000000000001</v>
      </c>
      <c r="D22" s="1341" t="s">
        <v>2117</v>
      </c>
      <c r="E22" s="1342">
        <v>96830</v>
      </c>
      <c r="F22" s="1342">
        <v>3523</v>
      </c>
      <c r="G22" s="1342">
        <v>100353</v>
      </c>
      <c r="H22" s="1342"/>
      <c r="I22" s="1342"/>
      <c r="J22" s="1342"/>
      <c r="K22" s="1342"/>
      <c r="L22" s="1339">
        <f t="shared" si="0"/>
        <v>100353</v>
      </c>
      <c r="M22" s="1342" t="s">
        <v>2115</v>
      </c>
    </row>
    <row r="23" spans="2:14" ht="20.100000000000001" customHeight="1" x14ac:dyDescent="0.2">
      <c r="B23" s="1336" t="s">
        <v>2116</v>
      </c>
      <c r="C23" s="1340">
        <v>84.027000000000001</v>
      </c>
      <c r="D23" s="1341" t="s">
        <v>2118</v>
      </c>
      <c r="E23" s="1342"/>
      <c r="F23" s="1342">
        <v>126690</v>
      </c>
      <c r="G23" s="1342"/>
      <c r="H23" s="1342"/>
      <c r="I23" s="1342">
        <v>136083</v>
      </c>
      <c r="J23" s="1342"/>
      <c r="K23" s="1342"/>
      <c r="L23" s="1339">
        <f t="shared" si="0"/>
        <v>136083</v>
      </c>
      <c r="M23" s="1342" t="s">
        <v>2115</v>
      </c>
    </row>
    <row r="24" spans="2:14" ht="20.100000000000001" customHeight="1" x14ac:dyDescent="0.2">
      <c r="B24" s="1336"/>
      <c r="C24" s="1340"/>
      <c r="D24" s="1341"/>
      <c r="E24" s="1342"/>
      <c r="F24" s="1342"/>
      <c r="G24" s="1342"/>
      <c r="H24" s="1342"/>
      <c r="I24" s="1342"/>
      <c r="J24" s="1342"/>
      <c r="K24" s="1342"/>
      <c r="L24" s="1339"/>
      <c r="M24" s="1342"/>
    </row>
    <row r="25" spans="2:14" ht="20.100000000000001" customHeight="1" x14ac:dyDescent="0.2">
      <c r="B25" s="1965" t="s">
        <v>2119</v>
      </c>
      <c r="C25" s="1340"/>
      <c r="D25" s="1341"/>
      <c r="E25" s="1342"/>
      <c r="F25" s="1963">
        <f>SUM(F13:F24)</f>
        <v>659320</v>
      </c>
      <c r="G25" s="1342"/>
      <c r="H25" s="1342"/>
      <c r="I25" s="1963">
        <f>SUM(I13:I24)</f>
        <v>520480</v>
      </c>
      <c r="J25" s="1342"/>
      <c r="K25" s="1342"/>
      <c r="L25" s="1964"/>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956" t="s">
        <v>2120</v>
      </c>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1948</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L16" sqref="L16"/>
    </sheetView>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42" t="str">
        <f>'Single Audit Cover'!A7</f>
        <v>General George Patton S 133</v>
      </c>
      <c r="C1" s="2463"/>
      <c r="D1" s="2463"/>
      <c r="E1" s="2463"/>
      <c r="F1" s="2463"/>
      <c r="G1" s="2463"/>
      <c r="H1" s="2463"/>
      <c r="I1" s="2463"/>
      <c r="J1" s="2463"/>
      <c r="K1" s="2463"/>
      <c r="L1" s="2463"/>
      <c r="M1" s="2463"/>
    </row>
    <row r="2" spans="2:14" ht="15" x14ac:dyDescent="0.2">
      <c r="B2" s="2464">
        <f>'Single Audit Cover'!E7</f>
        <v>7016133002</v>
      </c>
      <c r="C2" s="2464"/>
      <c r="D2" s="2464"/>
      <c r="E2" s="2464"/>
      <c r="F2" s="2464"/>
      <c r="G2" s="2464"/>
      <c r="H2" s="2464"/>
      <c r="I2" s="2464"/>
      <c r="J2" s="2464"/>
      <c r="K2" s="2464"/>
      <c r="L2" s="2464"/>
      <c r="M2" s="2464"/>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1836</v>
      </c>
      <c r="D9" s="1313" t="s">
        <v>1837</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2121</v>
      </c>
      <c r="C11" s="1337"/>
      <c r="D11" s="1338"/>
      <c r="E11" s="1339"/>
      <c r="F11" s="1339"/>
      <c r="G11" s="1339"/>
      <c r="H11" s="1339"/>
      <c r="I11" s="1339"/>
      <c r="J11" s="1339"/>
      <c r="K11" s="1339"/>
      <c r="L11" s="1339"/>
      <c r="M11" s="1339"/>
    </row>
    <row r="12" spans="2:14" ht="20.100000000000001" customHeight="1" x14ac:dyDescent="0.2">
      <c r="B12" s="1336" t="s">
        <v>2122</v>
      </c>
      <c r="C12" s="1340">
        <v>10.555</v>
      </c>
      <c r="D12" s="1341" t="s">
        <v>2123</v>
      </c>
      <c r="E12" s="1342">
        <v>115286</v>
      </c>
      <c r="F12" s="1342">
        <v>26940</v>
      </c>
      <c r="G12" s="1342">
        <v>115286</v>
      </c>
      <c r="H12" s="1342"/>
      <c r="I12" s="1342">
        <v>26940</v>
      </c>
      <c r="J12" s="1342"/>
      <c r="K12" s="1342"/>
      <c r="L12" s="1339">
        <f>+G12+I12+K12</f>
        <v>142226</v>
      </c>
      <c r="M12" s="1342" t="s">
        <v>2115</v>
      </c>
    </row>
    <row r="13" spans="2:14" ht="20.100000000000001" customHeight="1" x14ac:dyDescent="0.2">
      <c r="B13" s="1336" t="s">
        <v>2122</v>
      </c>
      <c r="C13" s="1340">
        <v>10.555</v>
      </c>
      <c r="D13" s="1341" t="s">
        <v>2124</v>
      </c>
      <c r="E13" s="1342"/>
      <c r="F13" s="1342">
        <v>114407</v>
      </c>
      <c r="G13" s="1342"/>
      <c r="H13" s="1342"/>
      <c r="I13" s="1342">
        <v>114407</v>
      </c>
      <c r="J13" s="1342"/>
      <c r="K13" s="1342"/>
      <c r="L13" s="1339" t="s">
        <v>2157</v>
      </c>
      <c r="M13" s="1342" t="s">
        <v>2115</v>
      </c>
    </row>
    <row r="14" spans="2:14" ht="20.100000000000001" customHeight="1" x14ac:dyDescent="0.2">
      <c r="B14" s="1336" t="s">
        <v>2125</v>
      </c>
      <c r="C14" s="1340">
        <v>10.553000000000001</v>
      </c>
      <c r="D14" s="1341" t="s">
        <v>2126</v>
      </c>
      <c r="E14" s="1342">
        <v>63662</v>
      </c>
      <c r="F14" s="1342">
        <v>14403</v>
      </c>
      <c r="G14" s="1342">
        <v>63662</v>
      </c>
      <c r="H14" s="1342"/>
      <c r="I14" s="1342">
        <v>14403</v>
      </c>
      <c r="J14" s="1342"/>
      <c r="K14" s="1342"/>
      <c r="L14" s="1339">
        <f t="shared" ref="L14:L16" si="0">+G14+I14+K14</f>
        <v>78065</v>
      </c>
      <c r="M14" s="1342" t="s">
        <v>2115</v>
      </c>
    </row>
    <row r="15" spans="2:14" ht="20.100000000000001" customHeight="1" x14ac:dyDescent="0.2">
      <c r="B15" s="1336" t="s">
        <v>2125</v>
      </c>
      <c r="C15" s="1340">
        <v>10.553000000000001</v>
      </c>
      <c r="D15" s="1341" t="s">
        <v>2127</v>
      </c>
      <c r="E15" s="1342"/>
      <c r="F15" s="1342">
        <v>62685</v>
      </c>
      <c r="G15" s="1342"/>
      <c r="H15" s="1342"/>
      <c r="I15" s="1342">
        <v>62685</v>
      </c>
      <c r="J15" s="1342"/>
      <c r="K15" s="1342"/>
      <c r="L15" s="1339" t="s">
        <v>2157</v>
      </c>
      <c r="M15" s="1342" t="s">
        <v>2115</v>
      </c>
    </row>
    <row r="16" spans="2:14" ht="20.100000000000001" customHeight="1" x14ac:dyDescent="0.2">
      <c r="B16" s="1336" t="s">
        <v>2128</v>
      </c>
      <c r="C16" s="1340">
        <v>10.555</v>
      </c>
      <c r="D16" s="1341" t="s">
        <v>2129</v>
      </c>
      <c r="E16" s="1342"/>
      <c r="F16" s="1342">
        <v>15735</v>
      </c>
      <c r="G16" s="1342"/>
      <c r="H16" s="1342"/>
      <c r="I16" s="1342">
        <v>15735</v>
      </c>
      <c r="J16" s="1342"/>
      <c r="K16" s="1342"/>
      <c r="L16" s="1339">
        <f t="shared" si="0"/>
        <v>15735</v>
      </c>
      <c r="M16" s="1342" t="s">
        <v>2115</v>
      </c>
    </row>
    <row r="17" spans="2:14" ht="20.100000000000001" customHeight="1" x14ac:dyDescent="0.2">
      <c r="B17" s="1336" t="s">
        <v>2130</v>
      </c>
      <c r="C17" s="1340">
        <v>10.585000000000001</v>
      </c>
      <c r="D17" s="1341" t="s">
        <v>2129</v>
      </c>
      <c r="E17" s="1342"/>
      <c r="F17" s="1342">
        <v>13244</v>
      </c>
      <c r="G17" s="1342"/>
      <c r="H17" s="1342"/>
      <c r="I17" s="1342">
        <v>13244</v>
      </c>
      <c r="J17" s="1342"/>
      <c r="K17" s="1342"/>
      <c r="L17" s="1339">
        <f>+G17+I17+K17</f>
        <v>13244</v>
      </c>
      <c r="M17" s="1342" t="s">
        <v>2115</v>
      </c>
    </row>
    <row r="18" spans="2:14" ht="20.100000000000001" customHeight="1" x14ac:dyDescent="0.2">
      <c r="B18" s="1957"/>
      <c r="C18" s="1340"/>
      <c r="D18" s="1341"/>
      <c r="E18" s="1958"/>
      <c r="F18" s="1958"/>
      <c r="G18" s="1958"/>
      <c r="H18" s="1342"/>
      <c r="I18" s="1958"/>
      <c r="J18" s="1342"/>
      <c r="K18" s="1342"/>
      <c r="L18" s="1959"/>
      <c r="M18" s="1958"/>
    </row>
    <row r="19" spans="2:14" s="1962" customFormat="1" ht="20.100000000000001" customHeight="1" x14ac:dyDescent="0.2">
      <c r="B19" s="1965" t="s">
        <v>2131</v>
      </c>
      <c r="C19" s="1960"/>
      <c r="D19" s="1961"/>
      <c r="E19" s="1958"/>
      <c r="F19" s="1963">
        <f>SUM(F12:F18)</f>
        <v>247414</v>
      </c>
      <c r="G19" s="1958"/>
      <c r="H19" s="1958"/>
      <c r="I19" s="1963">
        <f>SUM(I12:I18)</f>
        <v>247414</v>
      </c>
      <c r="J19" s="1958"/>
      <c r="K19" s="1958"/>
      <c r="L19" s="1959"/>
      <c r="M19" s="1958"/>
    </row>
    <row r="20" spans="2:14" ht="20.100000000000001" customHeight="1" x14ac:dyDescent="0.2">
      <c r="B20" s="1336"/>
      <c r="C20" s="1340"/>
      <c r="D20" s="1341"/>
      <c r="E20" s="1342"/>
      <c r="F20" s="1342"/>
      <c r="G20" s="1342"/>
      <c r="H20" s="1342"/>
      <c r="I20" s="1342"/>
      <c r="J20" s="1342"/>
      <c r="K20" s="1342"/>
      <c r="L20" s="1339"/>
      <c r="M20" s="1342"/>
    </row>
    <row r="21" spans="2:14" ht="20.100000000000001" customHeight="1" x14ac:dyDescent="0.2">
      <c r="B21" s="1956" t="s">
        <v>2132</v>
      </c>
      <c r="C21" s="1340"/>
      <c r="D21" s="1341"/>
      <c r="E21" s="1342"/>
      <c r="F21" s="1342"/>
      <c r="G21" s="1342"/>
      <c r="H21" s="1342"/>
      <c r="I21" s="1342"/>
      <c r="J21" s="1342"/>
      <c r="K21" s="1342"/>
      <c r="L21" s="1339"/>
      <c r="M21" s="1342"/>
    </row>
    <row r="22" spans="2:14" ht="20.100000000000001" customHeight="1" x14ac:dyDescent="0.2">
      <c r="B22" s="1957" t="s">
        <v>2133</v>
      </c>
      <c r="C22" s="1340"/>
      <c r="D22" s="1341"/>
      <c r="E22" s="1342"/>
      <c r="F22" s="1342"/>
      <c r="G22" s="1342"/>
      <c r="H22" s="1342"/>
      <c r="I22" s="1342"/>
      <c r="J22" s="1342"/>
      <c r="K22" s="1342"/>
      <c r="L22" s="1339"/>
      <c r="M22" s="1342"/>
    </row>
    <row r="23" spans="2:14" ht="20.100000000000001" customHeight="1" x14ac:dyDescent="0.2">
      <c r="B23" s="1336" t="s">
        <v>2134</v>
      </c>
      <c r="C23" s="1340">
        <v>93.778000000000006</v>
      </c>
      <c r="D23" s="1341" t="s">
        <v>2135</v>
      </c>
      <c r="E23" s="1342">
        <v>14518</v>
      </c>
      <c r="F23" s="1342"/>
      <c r="G23" s="1342">
        <v>14518</v>
      </c>
      <c r="H23" s="1342"/>
      <c r="I23" s="1342"/>
      <c r="J23" s="1342"/>
      <c r="K23" s="1342"/>
      <c r="L23" s="1339">
        <f>+G23+I23+K23</f>
        <v>14518</v>
      </c>
      <c r="M23" s="1342" t="s">
        <v>2115</v>
      </c>
    </row>
    <row r="24" spans="2:14" ht="20.100000000000001" customHeight="1" x14ac:dyDescent="0.2">
      <c r="B24" s="1336" t="s">
        <v>2134</v>
      </c>
      <c r="C24" s="1340">
        <v>93.778000000000006</v>
      </c>
      <c r="D24" s="1341" t="s">
        <v>2136</v>
      </c>
      <c r="E24" s="1342"/>
      <c r="F24" s="1342">
        <v>18907</v>
      </c>
      <c r="G24" s="1342"/>
      <c r="H24" s="1342"/>
      <c r="I24" s="1342">
        <v>18907</v>
      </c>
      <c r="J24" s="1342"/>
      <c r="K24" s="1342"/>
      <c r="L24" s="1339">
        <f>+G24+I24+K24</f>
        <v>18907</v>
      </c>
      <c r="M24" s="1342" t="s">
        <v>2115</v>
      </c>
    </row>
    <row r="25" spans="2:14" ht="20.100000000000001" customHeight="1" x14ac:dyDescent="0.2">
      <c r="B25" s="1965"/>
      <c r="C25" s="1340"/>
      <c r="D25" s="1341"/>
      <c r="E25" s="1342"/>
      <c r="F25" s="1963"/>
      <c r="G25" s="1342"/>
      <c r="H25" s="1342"/>
      <c r="I25" s="1963"/>
      <c r="J25" s="1342"/>
      <c r="K25" s="1342"/>
      <c r="L25" s="1964"/>
      <c r="M25" s="1342"/>
    </row>
    <row r="26" spans="2:14" ht="20.100000000000001" customHeight="1" x14ac:dyDescent="0.2">
      <c r="B26" s="1965" t="s">
        <v>2137</v>
      </c>
      <c r="C26" s="1340"/>
      <c r="D26" s="1341"/>
      <c r="E26" s="1342"/>
      <c r="F26" s="1963">
        <f>SUM(F24:F25)</f>
        <v>18907</v>
      </c>
      <c r="G26" s="1342"/>
      <c r="H26" s="1342"/>
      <c r="I26" s="1963">
        <f>SUM(I23:I25)</f>
        <v>18907</v>
      </c>
      <c r="J26" s="1342"/>
      <c r="K26" s="1342"/>
      <c r="L26" s="1339"/>
      <c r="M26" s="1342"/>
    </row>
    <row r="27" spans="2:14" ht="20.100000000000001" customHeight="1" x14ac:dyDescent="0.2">
      <c r="B27" s="1967" t="s">
        <v>2138</v>
      </c>
      <c r="C27" s="1340"/>
      <c r="D27" s="1341"/>
      <c r="E27" s="1342"/>
      <c r="F27" s="1966">
        <f>+' SEFA'!F25+' SEFA (2)'!F19+' SEFA (2)'!F26</f>
        <v>925641</v>
      </c>
      <c r="G27" s="1342"/>
      <c r="H27" s="1342"/>
      <c r="I27" s="1966">
        <f>+' SEFA'!I25+' SEFA (2)'!I19+' SEFA (2)'!I26</f>
        <v>786801</v>
      </c>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1948</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44" sqref="C44"/>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76" t="str">
        <f>'Single Audit Cover'!A7</f>
        <v>General George Patton S 133</v>
      </c>
      <c r="B1" s="2476"/>
      <c r="C1" s="2476"/>
      <c r="D1" s="2476"/>
      <c r="E1" s="2476"/>
      <c r="F1" s="2476"/>
    </row>
    <row r="2" spans="1:7" ht="13.5" customHeight="1" x14ac:dyDescent="0.2">
      <c r="A2" s="2464">
        <f>'Single Audit Cover'!E7</f>
        <v>7016133002</v>
      </c>
      <c r="B2" s="2464"/>
      <c r="C2" s="2464"/>
      <c r="D2" s="2464"/>
      <c r="E2" s="2464"/>
      <c r="F2" s="2464"/>
      <c r="G2" s="1274"/>
    </row>
    <row r="3" spans="1:7" ht="15.75" customHeight="1" x14ac:dyDescent="0.2">
      <c r="A3" s="2477" t="s">
        <v>1333</v>
      </c>
      <c r="B3" s="2477"/>
      <c r="C3" s="2477"/>
      <c r="D3" s="2477"/>
      <c r="E3" s="2477"/>
      <c r="F3" s="2477"/>
    </row>
    <row r="4" spans="1:7" ht="13.5" customHeight="1" x14ac:dyDescent="0.2">
      <c r="A4" s="2478" t="str">
        <f>'Single Audit Cover'!A4</f>
        <v>Year Ending June 30, 2018</v>
      </c>
      <c r="B4" s="2478"/>
      <c r="C4" s="2478"/>
      <c r="D4" s="2478"/>
      <c r="E4" s="2478"/>
      <c r="F4" s="2478"/>
    </row>
    <row r="5" spans="1:7" ht="8.25" customHeight="1" x14ac:dyDescent="0.2">
      <c r="C5" s="316"/>
      <c r="D5" s="316"/>
    </row>
    <row r="6" spans="1:7" ht="13.5" customHeight="1" x14ac:dyDescent="0.2">
      <c r="A6" s="1275" t="s">
        <v>1831</v>
      </c>
      <c r="C6" s="316"/>
      <c r="D6" s="316"/>
    </row>
    <row r="7" spans="1:7" ht="60.95" customHeight="1" x14ac:dyDescent="0.2">
      <c r="A7" s="2475" t="s">
        <v>2139</v>
      </c>
      <c r="B7" s="2475"/>
      <c r="C7" s="2475"/>
      <c r="D7" s="2475"/>
      <c r="E7" s="2475"/>
      <c r="F7" s="2475"/>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2075</v>
      </c>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75" t="s">
        <v>1833</v>
      </c>
      <c r="B13" s="2475"/>
      <c r="C13" s="2475"/>
      <c r="D13" s="2475"/>
      <c r="E13" s="2475"/>
      <c r="F13" s="2475"/>
    </row>
    <row r="14" spans="1:7" ht="9.75" customHeight="1" x14ac:dyDescent="0.2">
      <c r="C14" s="1259"/>
      <c r="D14" s="1259"/>
    </row>
    <row r="15" spans="1:7" ht="13.5" customHeight="1" x14ac:dyDescent="0.2">
      <c r="C15" s="1870" t="s">
        <v>1332</v>
      </c>
      <c r="D15" s="2473" t="s">
        <v>1331</v>
      </c>
      <c r="E15" s="2473"/>
      <c r="F15" s="2473"/>
    </row>
    <row r="16" spans="1:7" ht="13.5" customHeight="1" x14ac:dyDescent="0.2">
      <c r="A16" s="1281"/>
      <c r="B16" s="1275" t="s">
        <v>1330</v>
      </c>
      <c r="C16" s="1870" t="s">
        <v>1329</v>
      </c>
      <c r="D16" s="2474" t="s">
        <v>1670</v>
      </c>
      <c r="E16" s="2474"/>
      <c r="F16" s="2474"/>
    </row>
    <row r="17" spans="1:6" ht="20.45" customHeight="1" x14ac:dyDescent="0.2">
      <c r="A17" s="1282"/>
      <c r="B17" s="1283" t="s">
        <v>2140</v>
      </c>
      <c r="C17" s="1284"/>
      <c r="D17" s="2468"/>
      <c r="E17" s="2468"/>
      <c r="F17" s="2468"/>
    </row>
    <row r="18" spans="1:6" ht="20.65" customHeight="1" x14ac:dyDescent="0.2">
      <c r="A18" s="1282"/>
      <c r="B18" s="1283"/>
      <c r="C18" s="1284"/>
      <c r="D18" s="2468"/>
      <c r="E18" s="2468"/>
      <c r="F18" s="2468"/>
    </row>
    <row r="19" spans="1:6" ht="20.65" customHeight="1" x14ac:dyDescent="0.2">
      <c r="A19" s="1282"/>
      <c r="B19" s="1283"/>
      <c r="C19" s="1284"/>
      <c r="D19" s="2468"/>
      <c r="E19" s="2468"/>
      <c r="F19" s="2468"/>
    </row>
    <row r="20" spans="1:6" ht="20.65" customHeight="1" x14ac:dyDescent="0.2">
      <c r="A20" s="1282"/>
      <c r="B20" s="1283"/>
      <c r="C20" s="1284"/>
      <c r="D20" s="2468"/>
      <c r="E20" s="2468"/>
      <c r="F20" s="2468"/>
    </row>
    <row r="21" spans="1:6" ht="20.65" customHeight="1" x14ac:dyDescent="0.2">
      <c r="A21" s="1282"/>
      <c r="B21" s="1283"/>
      <c r="C21" s="1284"/>
      <c r="D21" s="2468"/>
      <c r="E21" s="2468"/>
      <c r="F21" s="2468"/>
    </row>
    <row r="22" spans="1:6" ht="20.65" customHeight="1" x14ac:dyDescent="0.2">
      <c r="A22" s="1282"/>
      <c r="B22" s="1283"/>
      <c r="C22" s="1284"/>
      <c r="D22" s="2468"/>
      <c r="E22" s="2468"/>
      <c r="F22" s="2468"/>
    </row>
    <row r="23" spans="1:6" ht="20.65" customHeight="1" x14ac:dyDescent="0.2">
      <c r="A23" s="1282"/>
      <c r="B23" s="1283"/>
      <c r="C23" s="1284"/>
      <c r="D23" s="2468"/>
      <c r="E23" s="2468"/>
      <c r="F23" s="2468"/>
    </row>
    <row r="24" spans="1:6" ht="20.65" customHeight="1" x14ac:dyDescent="0.2">
      <c r="A24" s="1282"/>
      <c r="B24" s="1283"/>
      <c r="C24" s="1284"/>
      <c r="D24" s="2468"/>
      <c r="E24" s="2468"/>
      <c r="F24" s="2468"/>
    </row>
    <row r="25" spans="1:6" ht="20.65" customHeight="1" x14ac:dyDescent="0.2">
      <c r="A25" s="1282"/>
      <c r="B25" s="1283"/>
      <c r="C25" s="1284"/>
      <c r="D25" s="2468"/>
      <c r="E25" s="2468"/>
      <c r="F25" s="2468"/>
    </row>
    <row r="26" spans="1:6" ht="20.65" customHeight="1" x14ac:dyDescent="0.2">
      <c r="A26" s="1282"/>
      <c r="B26" s="1283"/>
      <c r="C26" s="1284"/>
      <c r="D26" s="2468"/>
      <c r="E26" s="2468"/>
      <c r="F26" s="2468"/>
    </row>
    <row r="27" spans="1:6" ht="20.65" customHeight="1" x14ac:dyDescent="0.2">
      <c r="A27" s="1282"/>
      <c r="B27" s="1283"/>
      <c r="C27" s="1284"/>
      <c r="D27" s="2468"/>
      <c r="E27" s="2468"/>
      <c r="F27" s="2468"/>
    </row>
    <row r="28" spans="1:6" ht="20.65" customHeight="1" x14ac:dyDescent="0.2">
      <c r="A28" s="1282"/>
      <c r="B28" s="1283"/>
      <c r="C28" s="1284"/>
      <c r="D28" s="2468"/>
      <c r="E28" s="2468"/>
      <c r="F28" s="2468"/>
    </row>
    <row r="29" spans="1:6" ht="20.65" customHeight="1" x14ac:dyDescent="0.2">
      <c r="A29" s="1282"/>
      <c r="B29" s="1283"/>
      <c r="C29" s="1284"/>
      <c r="D29" s="2468"/>
      <c r="E29" s="2468"/>
      <c r="F29" s="2468"/>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69" t="s">
        <v>2141</v>
      </c>
      <c r="B32" s="2469"/>
      <c r="C32" s="2469"/>
      <c r="D32" s="2469"/>
      <c r="E32" s="2469"/>
      <c r="F32" s="2469"/>
    </row>
    <row r="33" spans="1:6" ht="13.5" customHeight="1" x14ac:dyDescent="0.2">
      <c r="A33" s="327" t="s">
        <v>1509</v>
      </c>
      <c r="B33" s="327"/>
      <c r="C33" s="1287">
        <v>15735</v>
      </c>
      <c r="D33" s="1927"/>
      <c r="E33" s="1285"/>
    </row>
    <row r="34" spans="1:6" ht="13.5" customHeight="1" x14ac:dyDescent="0.2">
      <c r="A34" s="327" t="s">
        <v>1946</v>
      </c>
      <c r="B34" s="327"/>
      <c r="C34" s="1288">
        <v>0</v>
      </c>
      <c r="D34" s="1927" t="s">
        <v>1671</v>
      </c>
      <c r="E34" s="2470">
        <f>+C33+C34</f>
        <v>15735</v>
      </c>
      <c r="F34" s="2471"/>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v>0</v>
      </c>
      <c r="D38" s="1927"/>
      <c r="E38" s="1285"/>
    </row>
    <row r="39" spans="1:6" ht="14.25" customHeight="1" x14ac:dyDescent="0.2">
      <c r="A39" s="327"/>
      <c r="B39" s="327" t="s">
        <v>1511</v>
      </c>
      <c r="C39" s="1291">
        <v>0</v>
      </c>
      <c r="D39" s="1927"/>
      <c r="E39" s="1285"/>
    </row>
    <row r="40" spans="1:6" ht="14.25" customHeight="1" x14ac:dyDescent="0.2">
      <c r="A40" s="327"/>
      <c r="B40" s="327" t="s">
        <v>1512</v>
      </c>
      <c r="C40" s="1291">
        <v>0</v>
      </c>
      <c r="D40" s="1927"/>
      <c r="E40" s="1285"/>
    </row>
    <row r="41" spans="1:6" ht="14.25" customHeight="1" x14ac:dyDescent="0.2">
      <c r="A41" s="327"/>
      <c r="B41" s="327" t="s">
        <v>1513</v>
      </c>
      <c r="C41" s="1291">
        <v>0</v>
      </c>
      <c r="D41" s="1927"/>
      <c r="E41" s="1285"/>
    </row>
    <row r="42" spans="1:6" ht="14.25" customHeight="1" x14ac:dyDescent="0.2">
      <c r="A42" s="327" t="s">
        <v>1514</v>
      </c>
      <c r="B42" s="327"/>
      <c r="C42" s="1925">
        <v>0</v>
      </c>
      <c r="D42" s="1927"/>
      <c r="E42" s="1285"/>
    </row>
    <row r="43" spans="1:6" ht="14.25" customHeight="1" x14ac:dyDescent="0.2">
      <c r="A43" s="327" t="s">
        <v>1515</v>
      </c>
      <c r="B43" s="327"/>
      <c r="C43" s="1292" t="s">
        <v>101</v>
      </c>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1834</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72" t="s">
        <v>1672</v>
      </c>
      <c r="C49" s="2472"/>
      <c r="D49" s="2472"/>
      <c r="E49" s="1398"/>
    </row>
    <row r="50" spans="1:5" s="1299" customFormat="1" ht="3.75" customHeight="1" x14ac:dyDescent="0.2">
      <c r="A50" s="1298"/>
      <c r="B50" s="1869"/>
      <c r="C50" s="1869"/>
      <c r="D50" s="1869"/>
      <c r="E50" s="1398"/>
    </row>
    <row r="51" spans="1:5" s="1299" customFormat="1" ht="20.25" customHeight="1" x14ac:dyDescent="0.2">
      <c r="A51" s="1300">
        <v>6</v>
      </c>
      <c r="B51" s="2467" t="s">
        <v>1632</v>
      </c>
      <c r="C51" s="2467"/>
      <c r="D51" s="2467"/>
    </row>
    <row r="52" spans="1:5" ht="14.25" customHeight="1" x14ac:dyDescent="0.2">
      <c r="A52" s="1300"/>
      <c r="B52" s="2467"/>
      <c r="C52" s="2467"/>
      <c r="D52" s="246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52" sqref="G52"/>
    </sheetView>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90" t="str">
        <f>'Single Audit Cover'!A7</f>
        <v>General George Patton S 133</v>
      </c>
      <c r="C1" s="2491"/>
      <c r="D1" s="2491"/>
      <c r="E1" s="2491"/>
      <c r="F1" s="2491"/>
      <c r="G1" s="2491"/>
      <c r="H1" s="2491"/>
      <c r="I1" s="2491"/>
      <c r="J1" s="1421"/>
    </row>
    <row r="2" spans="2:10" s="316" customFormat="1" ht="12.75" customHeight="1" x14ac:dyDescent="0.2">
      <c r="B2" s="2492">
        <f>'Single Audit Cover'!E7</f>
        <v>7016133002</v>
      </c>
      <c r="C2" s="2493"/>
      <c r="D2" s="2493"/>
      <c r="E2" s="2493"/>
      <c r="F2" s="2493"/>
      <c r="G2" s="2493"/>
      <c r="H2" s="2493"/>
      <c r="I2" s="2493"/>
      <c r="J2" s="1421"/>
    </row>
    <row r="3" spans="2:10" s="316" customFormat="1" ht="12.75" customHeight="1" x14ac:dyDescent="0.2">
      <c r="B3" s="2494" t="s">
        <v>1347</v>
      </c>
      <c r="C3" s="2495"/>
      <c r="D3" s="2495"/>
      <c r="E3" s="2495"/>
      <c r="F3" s="2495"/>
      <c r="G3" s="2495"/>
      <c r="H3" s="2495"/>
      <c r="I3" s="2495"/>
      <c r="J3" s="1422"/>
    </row>
    <row r="4" spans="2:10" s="316" customFormat="1" ht="12.75" customHeight="1" x14ac:dyDescent="0.2">
      <c r="B4" s="2494" t="str">
        <f>'Single Audit Cover'!A4</f>
        <v>Year Ending June 30, 2018</v>
      </c>
      <c r="C4" s="2495"/>
      <c r="D4" s="2495"/>
      <c r="E4" s="2495"/>
      <c r="F4" s="2495"/>
      <c r="G4" s="2495"/>
      <c r="H4" s="2495"/>
      <c r="I4" s="2495"/>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94" t="s">
        <v>1346</v>
      </c>
      <c r="C7" s="2495"/>
      <c r="D7" s="2495"/>
      <c r="E7" s="2495"/>
      <c r="F7" s="2495"/>
      <c r="G7" s="2495"/>
      <c r="H7" s="2495"/>
      <c r="I7" s="2495"/>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96" t="s">
        <v>2142</v>
      </c>
      <c r="D11" s="2496"/>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t="s">
        <v>2075</v>
      </c>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t="s">
        <v>2075</v>
      </c>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t="s">
        <v>2075</v>
      </c>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t="s">
        <v>2075</v>
      </c>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t="s">
        <v>2075</v>
      </c>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97" t="s">
        <v>2143</v>
      </c>
      <c r="E29" s="2497"/>
      <c r="F29" s="2497"/>
      <c r="G29" s="2497"/>
      <c r="H29" s="2497"/>
      <c r="I29" s="2497"/>
    </row>
    <row r="30" spans="2:9" s="316" customFormat="1" x14ac:dyDescent="0.2">
      <c r="B30" s="1367"/>
      <c r="C30" s="321"/>
      <c r="D30" s="1432" t="s">
        <v>1849</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t="s">
        <v>2075</v>
      </c>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98" t="s">
        <v>1852</v>
      </c>
      <c r="D37" s="2499"/>
      <c r="E37" s="2499"/>
      <c r="F37" s="2500"/>
      <c r="G37" s="2498" t="s">
        <v>1674</v>
      </c>
      <c r="H37" s="2499"/>
      <c r="I37" s="2500"/>
    </row>
    <row r="38" spans="2:9" ht="16.5" customHeight="1" x14ac:dyDescent="0.2">
      <c r="B38" s="1443">
        <v>84.01</v>
      </c>
      <c r="C38" s="2486" t="s">
        <v>2144</v>
      </c>
      <c r="D38" s="2487"/>
      <c r="E38" s="2487"/>
      <c r="F38" s="2488"/>
      <c r="G38" s="2501">
        <v>350453</v>
      </c>
      <c r="H38" s="2502"/>
      <c r="I38" s="2503"/>
    </row>
    <row r="39" spans="2:9" ht="16.5" customHeight="1" x14ac:dyDescent="0.2">
      <c r="B39" s="1443"/>
      <c r="C39" s="2486"/>
      <c r="D39" s="2487"/>
      <c r="E39" s="2487"/>
      <c r="F39" s="2488"/>
      <c r="G39" s="2489"/>
      <c r="H39" s="2489"/>
      <c r="I39" s="2489"/>
    </row>
    <row r="40" spans="2:9" ht="16.5" customHeight="1" x14ac:dyDescent="0.2">
      <c r="B40" s="1443"/>
      <c r="C40" s="2486"/>
      <c r="D40" s="2487"/>
      <c r="E40" s="2487"/>
      <c r="F40" s="2488"/>
      <c r="G40" s="2489"/>
      <c r="H40" s="2489"/>
      <c r="I40" s="2489"/>
    </row>
    <row r="41" spans="2:9" ht="16.5" customHeight="1" x14ac:dyDescent="0.2">
      <c r="B41" s="1443"/>
      <c r="C41" s="2486"/>
      <c r="D41" s="2487"/>
      <c r="E41" s="2487"/>
      <c r="F41" s="2488"/>
      <c r="G41" s="2489"/>
      <c r="H41" s="2489"/>
      <c r="I41" s="2489"/>
    </row>
    <row r="42" spans="2:9" ht="16.5" customHeight="1" x14ac:dyDescent="0.2">
      <c r="B42" s="1443"/>
      <c r="C42" s="2486"/>
      <c r="D42" s="2487"/>
      <c r="E42" s="2487"/>
      <c r="F42" s="2488"/>
      <c r="G42" s="2489"/>
      <c r="H42" s="2489"/>
      <c r="I42" s="2489"/>
    </row>
    <row r="43" spans="2:9" ht="16.5" customHeight="1" x14ac:dyDescent="0.2">
      <c r="B43" s="1443"/>
      <c r="C43" s="2479" t="s">
        <v>1675</v>
      </c>
      <c r="D43" s="2480"/>
      <c r="E43" s="2480"/>
      <c r="F43" s="2481"/>
      <c r="G43" s="2482">
        <f>SUM(G38:I42)</f>
        <v>350453</v>
      </c>
      <c r="H43" s="2482"/>
      <c r="I43" s="2482"/>
    </row>
    <row r="44" spans="2:9" ht="12.75" customHeight="1" x14ac:dyDescent="0.2"/>
    <row r="45" spans="2:9" ht="12.75" customHeight="1" x14ac:dyDescent="0.2">
      <c r="B45" s="1434" t="s">
        <v>1949</v>
      </c>
      <c r="D45" s="2483">
        <v>786801</v>
      </c>
      <c r="E45" s="2484"/>
    </row>
    <row r="46" spans="2:9" ht="5.25" customHeight="1" x14ac:dyDescent="0.2">
      <c r="B46" s="1444"/>
      <c r="D46" s="1445"/>
      <c r="E46" s="1446"/>
    </row>
    <row r="47" spans="2:9" ht="12.75" customHeight="1" x14ac:dyDescent="0.2">
      <c r="B47" s="1299" t="s">
        <v>1676</v>
      </c>
      <c r="C47" s="1299"/>
      <c r="D47" s="1447">
        <f>+G43/D45</f>
        <v>0.44541504141453814</v>
      </c>
      <c r="E47" s="1448"/>
      <c r="F47" s="1449"/>
      <c r="I47" s="1450"/>
    </row>
    <row r="48" spans="2:9" ht="9.9499999999999993" customHeight="1" x14ac:dyDescent="0.2"/>
    <row r="49" spans="1:9" x14ac:dyDescent="0.2">
      <c r="B49" s="1367" t="s">
        <v>1335</v>
      </c>
      <c r="C49" s="1281"/>
      <c r="D49" s="1281"/>
      <c r="E49" s="2485">
        <v>750000</v>
      </c>
      <c r="F49" s="2485"/>
      <c r="G49" s="2485"/>
      <c r="H49" s="321"/>
    </row>
    <row r="51" spans="1:9" ht="13.5" customHeight="1" x14ac:dyDescent="0.2">
      <c r="B51" s="1367" t="s">
        <v>1334</v>
      </c>
      <c r="C51" s="1281"/>
      <c r="E51" s="1437"/>
      <c r="F51" s="1299" t="s">
        <v>940</v>
      </c>
      <c r="G51" s="1437" t="s">
        <v>2075</v>
      </c>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I10" sqref="I1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0" t="str">
        <f>'Single Audit Cover'!A7</f>
        <v>General George Patton S 133</v>
      </c>
      <c r="C1" s="2490"/>
      <c r="D1" s="2490"/>
      <c r="E1" s="2490"/>
      <c r="F1" s="2490"/>
      <c r="G1" s="2490"/>
      <c r="H1" s="2490"/>
      <c r="I1" s="2490"/>
      <c r="J1" s="2490"/>
      <c r="K1" s="2490"/>
      <c r="L1" s="1373"/>
      <c r="M1" s="1373"/>
    </row>
    <row r="2" spans="1:13" ht="12" customHeight="1" x14ac:dyDescent="0.2">
      <c r="B2" s="2492">
        <f>'Single Audit Cover'!E7</f>
        <v>7016133002</v>
      </c>
      <c r="C2" s="2492"/>
      <c r="D2" s="2492"/>
      <c r="E2" s="2492"/>
      <c r="F2" s="2492"/>
      <c r="G2" s="2492"/>
      <c r="H2" s="2492"/>
      <c r="I2" s="2492"/>
      <c r="J2" s="2492"/>
      <c r="K2" s="2492"/>
      <c r="L2" s="1374"/>
      <c r="M2" s="1375"/>
    </row>
    <row r="3" spans="1:13" ht="10.35" customHeight="1" x14ac:dyDescent="0.2">
      <c r="B3" s="2506" t="s">
        <v>1347</v>
      </c>
      <c r="C3" s="2506"/>
      <c r="D3" s="2506"/>
      <c r="E3" s="2506"/>
      <c r="F3" s="2506"/>
      <c r="G3" s="2506"/>
      <c r="H3" s="2506"/>
      <c r="I3" s="2506"/>
      <c r="J3" s="2506"/>
      <c r="K3" s="2506"/>
      <c r="L3" s="1376"/>
      <c r="M3" s="1376"/>
    </row>
    <row r="4" spans="1:13" ht="14.25" customHeight="1" x14ac:dyDescent="0.2">
      <c r="B4" s="2507" t="str">
        <f>'Single Audit Cover'!A4</f>
        <v>Year Ending June 30, 2018</v>
      </c>
      <c r="C4" s="2507"/>
      <c r="D4" s="2507"/>
      <c r="E4" s="2507"/>
      <c r="F4" s="2507"/>
      <c r="G4" s="2507"/>
      <c r="H4" s="2507"/>
      <c r="I4" s="2507"/>
      <c r="J4" s="2507"/>
      <c r="K4" s="2507"/>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7" t="s">
        <v>1363</v>
      </c>
      <c r="C7" s="2507"/>
      <c r="D7" s="2508"/>
      <c r="E7" s="2508"/>
      <c r="F7" s="2508"/>
      <c r="G7" s="2508"/>
      <c r="H7" s="2508"/>
      <c r="I7" s="2508"/>
      <c r="J7" s="2508"/>
      <c r="K7" s="2508"/>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1950</v>
      </c>
      <c r="D10" s="1385" t="s">
        <v>2140</v>
      </c>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5"/>
      <c r="C14" s="2505"/>
      <c r="D14" s="2505"/>
      <c r="E14" s="2505"/>
      <c r="F14" s="2505"/>
      <c r="G14" s="2505"/>
      <c r="H14" s="2505"/>
      <c r="I14" s="2505"/>
      <c r="J14" s="2505"/>
      <c r="K14" s="2505"/>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5"/>
      <c r="C17" s="2505"/>
      <c r="D17" s="2505"/>
      <c r="E17" s="2505"/>
      <c r="F17" s="2505"/>
      <c r="G17" s="2505"/>
      <c r="H17" s="2505"/>
      <c r="I17" s="2505"/>
      <c r="J17" s="2505"/>
      <c r="K17" s="2505"/>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509"/>
      <c r="C20" s="2509"/>
      <c r="D20" s="2505"/>
      <c r="E20" s="2505"/>
      <c r="F20" s="2505"/>
      <c r="G20" s="2505"/>
      <c r="H20" s="2505"/>
      <c r="I20" s="2505"/>
      <c r="J20" s="2505"/>
      <c r="K20" s="2505"/>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5"/>
      <c r="C23" s="2505"/>
      <c r="D23" s="2505"/>
      <c r="E23" s="2505"/>
      <c r="F23" s="2505"/>
      <c r="G23" s="2505"/>
      <c r="H23" s="2505"/>
      <c r="I23" s="2505"/>
      <c r="J23" s="2505"/>
      <c r="K23" s="2505"/>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5"/>
      <c r="C26" s="2505"/>
      <c r="D26" s="2505"/>
      <c r="E26" s="2505"/>
      <c r="F26" s="2505"/>
      <c r="G26" s="2505"/>
      <c r="H26" s="2505"/>
      <c r="I26" s="2505"/>
      <c r="J26" s="2505"/>
      <c r="K26" s="2505"/>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4"/>
      <c r="C29" s="2504"/>
      <c r="D29" s="2505"/>
      <c r="E29" s="2505"/>
      <c r="F29" s="2505"/>
      <c r="G29" s="2505"/>
      <c r="H29" s="2505"/>
      <c r="I29" s="2505"/>
      <c r="J29" s="2505"/>
      <c r="K29" s="2505"/>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1845</v>
      </c>
      <c r="C31" s="1402"/>
      <c r="D31" s="1377"/>
      <c r="E31" s="1378"/>
      <c r="F31" s="1378"/>
      <c r="G31" s="1379"/>
      <c r="H31" s="1378"/>
      <c r="I31" s="1379"/>
      <c r="J31" s="1378"/>
      <c r="K31" s="1378"/>
      <c r="L31" s="1380"/>
    </row>
    <row r="32" spans="2:12" s="321" customFormat="1" ht="44.25" customHeight="1" x14ac:dyDescent="0.2">
      <c r="B32" s="2504"/>
      <c r="C32" s="2504"/>
      <c r="D32" s="2505"/>
      <c r="E32" s="2505"/>
      <c r="F32" s="2505"/>
      <c r="G32" s="2505"/>
      <c r="H32" s="2505"/>
      <c r="I32" s="2505"/>
      <c r="J32" s="2505"/>
      <c r="K32" s="2505"/>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1"/>
      <c r="E35" s="321"/>
      <c r="F35" s="321"/>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13" t="str">
        <f>'Single Audit Cover'!A7</f>
        <v>General George Patton S 133</v>
      </c>
      <c r="C1" s="2513"/>
      <c r="D1" s="2513"/>
      <c r="E1" s="2513"/>
      <c r="F1" s="2513"/>
      <c r="G1" s="2513"/>
      <c r="H1" s="2513"/>
      <c r="I1" s="2513"/>
      <c r="J1" s="2513"/>
      <c r="K1" s="2513"/>
      <c r="L1" s="1464"/>
    </row>
    <row r="2" spans="1:12" ht="12.75" customHeight="1" x14ac:dyDescent="0.2">
      <c r="B2" s="2514">
        <f>'Single Audit Cover'!E7</f>
        <v>7016133002</v>
      </c>
      <c r="C2" s="2514"/>
      <c r="D2" s="2514"/>
      <c r="E2" s="2514"/>
      <c r="F2" s="2514"/>
      <c r="G2" s="2514"/>
      <c r="H2" s="2514"/>
      <c r="I2" s="2514"/>
      <c r="J2" s="2514"/>
      <c r="K2" s="2514"/>
      <c r="L2" s="1465"/>
    </row>
    <row r="3" spans="1:12" ht="12.75" customHeight="1" x14ac:dyDescent="0.2">
      <c r="B3" s="2506" t="s">
        <v>1347</v>
      </c>
      <c r="C3" s="2506"/>
      <c r="D3" s="2506"/>
      <c r="E3" s="2506"/>
      <c r="F3" s="2506"/>
      <c r="G3" s="2506"/>
      <c r="H3" s="2506"/>
      <c r="I3" s="2506"/>
      <c r="J3" s="2506"/>
      <c r="K3" s="2506"/>
      <c r="L3" s="1376"/>
    </row>
    <row r="4" spans="1:12" ht="12.75" customHeight="1" x14ac:dyDescent="0.2">
      <c r="B4" s="2506" t="str">
        <f>'Single Audit Cover'!A4</f>
        <v>Year Ending June 30, 2018</v>
      </c>
      <c r="C4" s="2506"/>
      <c r="D4" s="2506"/>
      <c r="E4" s="2506"/>
      <c r="F4" s="2506"/>
      <c r="G4" s="2506"/>
      <c r="H4" s="2506"/>
      <c r="I4" s="2506"/>
      <c r="J4" s="2506"/>
      <c r="K4" s="2506"/>
      <c r="L4" s="1376"/>
    </row>
    <row r="5" spans="1:12" ht="5.25" customHeight="1" x14ac:dyDescent="0.2">
      <c r="B5" s="1259" t="s">
        <v>1231</v>
      </c>
      <c r="C5" s="1259"/>
      <c r="L5" s="321"/>
    </row>
    <row r="6" spans="1:12" ht="30.75" customHeight="1" x14ac:dyDescent="0.2">
      <c r="A6" s="321"/>
      <c r="B6" s="2515" t="s">
        <v>1375</v>
      </c>
      <c r="C6" s="2515"/>
      <c r="D6" s="2515"/>
      <c r="E6" s="2515"/>
      <c r="F6" s="2515"/>
      <c r="G6" s="2515"/>
      <c r="H6" s="2515"/>
      <c r="I6" s="2515"/>
      <c r="J6" s="2515"/>
      <c r="K6" s="2515"/>
      <c r="L6" s="321"/>
    </row>
    <row r="7" spans="1:12" ht="4.5" customHeight="1" x14ac:dyDescent="0.2">
      <c r="B7" s="1378"/>
      <c r="C7" s="1378"/>
      <c r="D7" s="1378"/>
      <c r="E7" s="1378"/>
      <c r="F7" s="1378"/>
      <c r="G7" s="1379"/>
      <c r="H7" s="1378"/>
      <c r="I7" s="1379"/>
      <c r="J7" s="1378"/>
      <c r="K7" s="1378"/>
      <c r="L7" s="321"/>
    </row>
    <row r="8" spans="1:12" ht="13.5" customHeight="1" x14ac:dyDescent="0.2">
      <c r="B8" s="1386" t="s">
        <v>1857</v>
      </c>
      <c r="C8" s="1466" t="s">
        <v>1950</v>
      </c>
      <c r="D8" s="1467" t="s">
        <v>2140</v>
      </c>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97"/>
      <c r="G12" s="2497"/>
      <c r="H12" s="2497"/>
      <c r="I12" s="2497"/>
      <c r="J12" s="2497"/>
      <c r="K12" s="2497"/>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510"/>
      <c r="E14" s="2510"/>
      <c r="F14" s="2510"/>
      <c r="H14" s="1474" t="s">
        <v>1370</v>
      </c>
      <c r="I14" s="2511"/>
      <c r="J14" s="2511"/>
      <c r="K14" s="2511"/>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511"/>
      <c r="E16" s="2511"/>
      <c r="F16" s="2511"/>
      <c r="G16" s="2511"/>
      <c r="H16" s="2511"/>
      <c r="I16" s="2511"/>
      <c r="J16" s="2511"/>
      <c r="K16" s="2511"/>
      <c r="L16" s="321"/>
    </row>
    <row r="17" spans="2:12" ht="13.5" customHeight="1" x14ac:dyDescent="0.2">
      <c r="B17" s="1386" t="s">
        <v>1368</v>
      </c>
      <c r="C17" s="1386"/>
      <c r="D17" s="2512"/>
      <c r="E17" s="2512"/>
      <c r="F17" s="2512"/>
      <c r="G17" s="2512"/>
      <c r="H17" s="2512"/>
      <c r="I17" s="2512"/>
      <c r="J17" s="2512"/>
      <c r="K17" s="2512"/>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505"/>
      <c r="C20" s="2505"/>
      <c r="D20" s="2505"/>
      <c r="E20" s="2505"/>
      <c r="F20" s="2505"/>
      <c r="G20" s="2505"/>
      <c r="H20" s="2505"/>
      <c r="I20" s="2505"/>
      <c r="J20" s="2505"/>
      <c r="K20" s="2505"/>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1"/>
      <c r="E22" s="321"/>
      <c r="F22" s="321"/>
      <c r="G22" s="1382"/>
      <c r="H22" s="321"/>
      <c r="I22" s="1382"/>
      <c r="J22" s="321"/>
      <c r="K22" s="321"/>
      <c r="L22" s="321"/>
    </row>
    <row r="23" spans="2:12" ht="37.5" customHeight="1" x14ac:dyDescent="0.2">
      <c r="B23" s="2505"/>
      <c r="C23" s="2505"/>
      <c r="D23" s="2505"/>
      <c r="E23" s="2505"/>
      <c r="F23" s="2505"/>
      <c r="G23" s="2505"/>
      <c r="H23" s="2505"/>
      <c r="I23" s="2505"/>
      <c r="J23" s="2505"/>
      <c r="K23" s="2505"/>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1859</v>
      </c>
      <c r="C25" s="1476"/>
      <c r="D25" s="321"/>
      <c r="E25" s="321"/>
      <c r="F25" s="321"/>
      <c r="G25" s="1382"/>
      <c r="H25" s="321"/>
      <c r="I25" s="1382"/>
      <c r="J25" s="321"/>
      <c r="K25" s="321"/>
      <c r="L25" s="321"/>
    </row>
    <row r="26" spans="2:12" ht="37.5" customHeight="1" x14ac:dyDescent="0.2">
      <c r="B26" s="2505"/>
      <c r="C26" s="2505"/>
      <c r="D26" s="2505"/>
      <c r="E26" s="2505"/>
      <c r="F26" s="2505"/>
      <c r="G26" s="2505"/>
      <c r="H26" s="2505"/>
      <c r="I26" s="2505"/>
      <c r="J26" s="2505"/>
      <c r="K26" s="2505"/>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1860</v>
      </c>
      <c r="C28" s="1476"/>
      <c r="D28" s="321"/>
      <c r="E28" s="321"/>
      <c r="F28" s="321"/>
      <c r="G28" s="1382"/>
      <c r="H28" s="321"/>
      <c r="I28" s="1382"/>
      <c r="J28" s="321"/>
      <c r="K28" s="321"/>
      <c r="L28" s="321"/>
    </row>
    <row r="29" spans="2:12" ht="37.5" customHeight="1" x14ac:dyDescent="0.2">
      <c r="B29" s="2505"/>
      <c r="C29" s="2505"/>
      <c r="D29" s="2505"/>
      <c r="E29" s="2505"/>
      <c r="F29" s="2505"/>
      <c r="G29" s="2505"/>
      <c r="H29" s="2505"/>
      <c r="I29" s="2505"/>
      <c r="J29" s="2505"/>
      <c r="K29" s="2505"/>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505"/>
      <c r="C32" s="2505"/>
      <c r="D32" s="2505"/>
      <c r="E32" s="2505"/>
      <c r="F32" s="2505"/>
      <c r="G32" s="2505"/>
      <c r="H32" s="2505"/>
      <c r="I32" s="2505"/>
      <c r="J32" s="2505"/>
      <c r="K32" s="2505"/>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505"/>
      <c r="C35" s="2505"/>
      <c r="D35" s="2505"/>
      <c r="E35" s="2505"/>
      <c r="F35" s="2505"/>
      <c r="G35" s="2505"/>
      <c r="H35" s="2505"/>
      <c r="I35" s="2505"/>
      <c r="J35" s="2505"/>
      <c r="K35" s="2505"/>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505"/>
      <c r="C38" s="2505"/>
      <c r="D38" s="2505"/>
      <c r="E38" s="2505"/>
      <c r="F38" s="2505"/>
      <c r="G38" s="2505"/>
      <c r="H38" s="2505"/>
      <c r="I38" s="2505"/>
      <c r="J38" s="2505"/>
      <c r="K38" s="2505"/>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1861</v>
      </c>
      <c r="C40" s="1402"/>
      <c r="D40" s="1377"/>
      <c r="E40" s="1378"/>
      <c r="F40" s="1378"/>
      <c r="G40" s="1379"/>
      <c r="H40" s="1378"/>
      <c r="I40" s="1379"/>
      <c r="J40" s="1378"/>
      <c r="K40" s="1378"/>
    </row>
    <row r="41" spans="2:12" s="321" customFormat="1" ht="33.75" customHeight="1" x14ac:dyDescent="0.2">
      <c r="B41" s="2505"/>
      <c r="C41" s="2505"/>
      <c r="D41" s="2505"/>
      <c r="E41" s="2505"/>
      <c r="F41" s="2505"/>
      <c r="G41" s="2505"/>
      <c r="H41" s="2505"/>
      <c r="I41" s="2505"/>
      <c r="J41" s="2505"/>
      <c r="K41" s="2505"/>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1"/>
      <c r="E48" s="321"/>
      <c r="F48" s="321"/>
    </row>
    <row r="49" spans="2:3" s="316" customFormat="1" ht="10.5" customHeight="1" x14ac:dyDescent="0.2">
      <c r="B49" s="1419" t="s">
        <v>1863</v>
      </c>
      <c r="C49" s="1419"/>
    </row>
    <row r="50" spans="2:3" s="316" customFormat="1" ht="11.1" customHeight="1" x14ac:dyDescent="0.2">
      <c r="B50" s="1419" t="s">
        <v>1864</v>
      </c>
      <c r="C50" s="1419"/>
    </row>
    <row r="51" spans="2:3" s="316" customFormat="1" ht="11.1" customHeight="1" x14ac:dyDescent="0.2">
      <c r="B51" s="1419" t="s">
        <v>1865</v>
      </c>
      <c r="C51" s="1419"/>
    </row>
    <row r="52" spans="2:3" s="316" customFormat="1" ht="11.1" customHeight="1" x14ac:dyDescent="0.2">
      <c r="B52" s="1419" t="s">
        <v>1866</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E15" sqref="E15"/>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90" t="str">
        <f>'Single Audit Cover'!A7</f>
        <v>General George Patton S 133</v>
      </c>
      <c r="C1" s="2490"/>
      <c r="D1" s="2490"/>
      <c r="E1" s="1490"/>
    </row>
    <row r="2" spans="2:5" s="1281" customFormat="1" ht="12.75" customHeight="1" x14ac:dyDescent="0.2">
      <c r="B2" s="2492">
        <f>'Single Audit Cover'!E7</f>
        <v>7016133002</v>
      </c>
      <c r="C2" s="2492"/>
      <c r="D2" s="2492"/>
      <c r="E2" s="1491"/>
    </row>
    <row r="3" spans="2:5" ht="12.75" customHeight="1" x14ac:dyDescent="0.2">
      <c r="B3" s="2506" t="s">
        <v>1867</v>
      </c>
      <c r="C3" s="2506"/>
      <c r="D3" s="2506"/>
      <c r="E3" s="1273"/>
    </row>
    <row r="4" spans="2:5" s="1281" customFormat="1" ht="12.75" customHeight="1" x14ac:dyDescent="0.2">
      <c r="B4" s="2516" t="str">
        <f>'Single Audit Cover'!A4</f>
        <v>Year Ending June 30, 2018</v>
      </c>
      <c r="C4" s="2516"/>
      <c r="D4" s="2516"/>
      <c r="E4" s="1492"/>
    </row>
    <row r="5" spans="2:5" s="1281" customFormat="1" ht="40.15" customHeight="1" x14ac:dyDescent="0.2">
      <c r="B5" s="1493" t="s">
        <v>1868</v>
      </c>
      <c r="C5" s="327"/>
      <c r="D5" s="327"/>
      <c r="E5" s="327"/>
    </row>
    <row r="6" spans="2:5" s="1281" customFormat="1" ht="13.5" customHeight="1" x14ac:dyDescent="0.2">
      <c r="B6" s="1494" t="s">
        <v>1382</v>
      </c>
      <c r="C6" s="1494" t="s">
        <v>1381</v>
      </c>
      <c r="D6" s="1494" t="s">
        <v>1869</v>
      </c>
    </row>
    <row r="7" spans="2:5" ht="13.5" customHeight="1" x14ac:dyDescent="0.2">
      <c r="B7" s="1495" t="s">
        <v>2145</v>
      </c>
      <c r="C7" s="323" t="s">
        <v>2146</v>
      </c>
      <c r="D7" s="323" t="s">
        <v>2151</v>
      </c>
      <c r="E7" s="323"/>
    </row>
    <row r="8" spans="2:5" ht="13.5" customHeight="1" x14ac:dyDescent="0.2">
      <c r="B8" s="1495"/>
      <c r="C8" s="323" t="s">
        <v>2147</v>
      </c>
      <c r="D8" s="323"/>
      <c r="E8" s="323"/>
    </row>
    <row r="9" spans="2:5" ht="13.5" customHeight="1" x14ac:dyDescent="0.2">
      <c r="B9" s="1496"/>
      <c r="C9" s="1968" t="s">
        <v>2148</v>
      </c>
      <c r="D9" s="322"/>
      <c r="E9" s="322"/>
    </row>
    <row r="10" spans="2:5" ht="13.5" customHeight="1" x14ac:dyDescent="0.2">
      <c r="B10" s="1495"/>
      <c r="C10" s="322" t="s">
        <v>2149</v>
      </c>
      <c r="D10" s="322"/>
      <c r="E10" s="322"/>
    </row>
    <row r="11" spans="2:5" ht="13.5" customHeight="1" x14ac:dyDescent="0.2">
      <c r="B11" s="1495"/>
      <c r="C11" s="322" t="s">
        <v>2150</v>
      </c>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1870</v>
      </c>
    </row>
    <row r="46" spans="2:5" ht="12.2" customHeight="1" x14ac:dyDescent="0.2">
      <c r="B46" s="1504" t="s">
        <v>1871</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http://purl.org/dc/terms/"/>
    <ds:schemaRef ds:uri="http://schemas.microsoft.com/office/2006/metadata/properties"/>
    <ds:schemaRef ds:uri="http://www.w3.org/XML/1998/namespace"/>
    <ds:schemaRef ds:uri="http://schemas.microsoft.com/office/2006/documentManagement/types"/>
    <ds:schemaRef ds:uri="d21dc803-237d-4c68-8692-8d731fd29118"/>
    <ds:schemaRef ds:uri="http://purl.org/dc/elements/1.1/"/>
    <ds:schemaRef ds:uri="http://schemas.microsoft.com/office/infopath/2007/PartnerControls"/>
    <ds:schemaRef ds:uri="http://schemas.openxmlformats.org/package/2006/metadata/core-propertie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2018-09-25T01:09:14Z</cp:lastPrinted>
  <dcterms:created xsi:type="dcterms:W3CDTF">2003-10-29T19:06:34Z</dcterms:created>
  <dcterms:modified xsi:type="dcterms:W3CDTF">2018-11-08T14:25:48Z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